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Workpaper\"/>
    </mc:Choice>
  </mc:AlternateContent>
  <xr:revisionPtr revIDLastSave="0" documentId="13_ncr:1_{D4D51D5B-7638-42DD-BDE1-E67FF11D3756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Total One Time Adjustment-Rev" sheetId="3" r:id="rId1"/>
    <sheet name="One Time Adjust for TUTRR-Rev" sheetId="1" r:id="rId2"/>
    <sheet name="2019 Wildfire Adj-Rev" sheetId="6" r:id="rId3"/>
    <sheet name="TO2018 WF-Sch4-TUTRR-Rev" sheetId="49" r:id="rId4"/>
    <sheet name="TO2018WF-Sch5-ROR-2-Rev" sheetId="42" r:id="rId5"/>
    <sheet name="TO2018WF-Sch9-ADIT" sheetId="25" r:id="rId6"/>
    <sheet name="TO2018WF-Sch10-CWIP" sheetId="50" r:id="rId7"/>
    <sheet name="TO2018WF-Sch20-AandG-Rev" sheetId="33" r:id="rId8"/>
    <sheet name="TO2018WF Sch34-UnfundedReserves" sheetId="28" r:id="rId9"/>
    <sheet name="2019 EDIT Amortization Adj" sheetId="5" r:id="rId10"/>
    <sheet name="TO2018EDIT Sch4-TUTRR-Rev" sheetId="51" r:id="rId11"/>
    <sheet name="TO2018EDIT Sch1-BaseTRR-Rev" sheetId="55" r:id="rId12"/>
    <sheet name="TO2018EDIT Sch5-ROR-2-Rev" sheetId="45" r:id="rId13"/>
    <sheet name="TO2018EDIT Sch10-CWIP" sheetId="52" r:id="rId14"/>
    <sheet name="TO2018EDIT Sch20-AandG-Rev" sheetId="40" r:id="rId15"/>
    <sheet name="TO2021EDIT Sch4-TUTRR-Rev" sheetId="53" r:id="rId16"/>
    <sheet name="TO2021EDIT Sch1-BaseTRR-Rev" sheetId="56" r:id="rId17"/>
    <sheet name="TO2021EDIT Sch5-ROR-2-Rev" sheetId="48" r:id="rId18"/>
    <sheet name="TO2021EDIT Sch10-CWIP" sheetId="54" r:id="rId19"/>
    <sheet name="TO2021EDIT Sch20-AandG-Rev" sheetId="39" r:id="rId20"/>
  </sheets>
  <definedNames>
    <definedName name="_xlnm.Print_Area" localSheetId="1">'One Time Adjust for TUTRR-Rev'!$A$1:$L$40</definedName>
    <definedName name="_xlnm.Print_Area" localSheetId="3">'TO2018 WF-Sch4-TUTRR-Rev'!$A$1:$L$109</definedName>
    <definedName name="_xlnm.Print_Area" localSheetId="13">'TO2018EDIT Sch10-CWIP'!$A$1:$K$444</definedName>
    <definedName name="_xlnm.Print_Area" localSheetId="11">'TO2018EDIT Sch1-BaseTRR-Rev'!$A$1:$K$175</definedName>
    <definedName name="_xlnm.Print_Area" localSheetId="14">'TO2018EDIT Sch20-AandG-Rev'!$A$1:$J$105</definedName>
    <definedName name="_xlnm.Print_Area" localSheetId="10">'TO2018EDIT Sch4-TUTRR-Rev'!$A$1:$L$109</definedName>
    <definedName name="_xlnm.Print_Area" localSheetId="12">'TO2018EDIT Sch5-ROR-2-Rev'!$A$1:$P$82</definedName>
    <definedName name="_xlnm.Print_Area" localSheetId="8">'TO2018WF Sch34-UnfundedReserves'!$A$1:$K$39</definedName>
    <definedName name="_xlnm.Print_Area" localSheetId="6">'TO2018WF-Sch10-CWIP'!$A$1:$K$444</definedName>
    <definedName name="_xlnm.Print_Area" localSheetId="7">'TO2018WF-Sch20-AandG-Rev'!$A$1:$J$105</definedName>
    <definedName name="_xlnm.Print_Area" localSheetId="4">'TO2018WF-Sch5-ROR-2-Rev'!$A$1:$P$82</definedName>
    <definedName name="_xlnm.Print_Area" localSheetId="5">'TO2018WF-Sch9-ADIT'!$A$1:$J$188</definedName>
    <definedName name="_xlnm.Print_Area" localSheetId="18">'TO2021EDIT Sch10-CWIP'!$A$1:$K$452</definedName>
    <definedName name="_xlnm.Print_Area" localSheetId="16">'TO2021EDIT Sch1-BaseTRR-Rev'!$A$1:$K$173</definedName>
    <definedName name="_xlnm.Print_Area" localSheetId="19">'TO2021EDIT Sch20-AandG-Rev'!$A$1:$J$109</definedName>
    <definedName name="_xlnm.Print_Area" localSheetId="15">'TO2021EDIT Sch4-TUTRR-Rev'!$A$1:$L$108</definedName>
    <definedName name="_xlnm.Print_Area" localSheetId="17">'TO2021EDIT Sch5-ROR-2-Rev'!$A$1:$P$68</definedName>
    <definedName name="_xlnm.Print_Area" localSheetId="0">'Total One Time Adjustment-Rev'!$A$1:$N$38</definedName>
    <definedName name="_xlnm.Print_Titles" localSheetId="11">'TO2018EDIT Sch1-BaseTRR-Rev'!$1:$6</definedName>
    <definedName name="_xlnm.Print_Titles" localSheetId="16">'TO2021EDIT Sch1-BaseTRR-Rev'!$1:$6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5" l="1"/>
  <c r="E38" i="1" l="1"/>
  <c r="E37" i="1"/>
  <c r="K110" i="56" l="1"/>
  <c r="K75" i="56"/>
  <c r="K85" i="56"/>
  <c r="K44" i="56"/>
  <c r="K52" i="56" s="1"/>
  <c r="K17" i="56"/>
  <c r="K18" i="56"/>
  <c r="A10" i="56"/>
  <c r="K136" i="55"/>
  <c r="K108" i="55"/>
  <c r="K102" i="55"/>
  <c r="K84" i="55"/>
  <c r="K83" i="55"/>
  <c r="K75" i="55"/>
  <c r="K80" i="55" s="1"/>
  <c r="K90" i="55" s="1"/>
  <c r="K44" i="55"/>
  <c r="K52" i="55" s="1"/>
  <c r="K54" i="55" s="1"/>
  <c r="K56" i="55" s="1"/>
  <c r="K41" i="55"/>
  <c r="K24" i="55"/>
  <c r="K17" i="55"/>
  <c r="K18" i="55"/>
  <c r="A12" i="55"/>
  <c r="A15" i="55" s="1"/>
  <c r="A11" i="55"/>
  <c r="A10" i="55"/>
  <c r="K34" i="55"/>
  <c r="K82" i="56" l="1"/>
  <c r="K81" i="56"/>
  <c r="K91" i="56" s="1"/>
  <c r="K54" i="56"/>
  <c r="K24" i="56"/>
  <c r="K34" i="56"/>
  <c r="A11" i="56"/>
  <c r="A12" i="56" s="1"/>
  <c r="A15" i="56" s="1"/>
  <c r="K138" i="56"/>
  <c r="K41" i="56"/>
  <c r="K104" i="56"/>
  <c r="K86" i="56"/>
  <c r="K110" i="55"/>
  <c r="K132" i="55" s="1"/>
  <c r="K58" i="55"/>
  <c r="K129" i="55" s="1"/>
  <c r="K79" i="55"/>
  <c r="K89" i="55" s="1"/>
  <c r="K93" i="55" s="1"/>
  <c r="A16" i="55"/>
  <c r="A17" i="55" s="1"/>
  <c r="A18" i="55" s="1"/>
  <c r="A21" i="55" s="1"/>
  <c r="K78" i="55"/>
  <c r="K81" i="55" s="1"/>
  <c r="K88" i="55"/>
  <c r="K91" i="55" s="1"/>
  <c r="K95" i="55" s="1"/>
  <c r="K131" i="55" s="1"/>
  <c r="K137" i="55" s="1"/>
  <c r="K56" i="56" l="1"/>
  <c r="A16" i="56"/>
  <c r="A17" i="56" s="1"/>
  <c r="A18" i="56" s="1"/>
  <c r="A21" i="56" s="1"/>
  <c r="K80" i="56"/>
  <c r="K92" i="56"/>
  <c r="K142" i="55"/>
  <c r="K147" i="55" s="1"/>
  <c r="K152" i="55" s="1"/>
  <c r="K155" i="55" s="1"/>
  <c r="K157" i="55" s="1"/>
  <c r="A22" i="55"/>
  <c r="A23" i="55" s="1"/>
  <c r="A24" i="55" s="1"/>
  <c r="I24" i="55"/>
  <c r="I18" i="55"/>
  <c r="A22" i="56" l="1"/>
  <c r="A23" i="56" s="1"/>
  <c r="A24" i="56" s="1"/>
  <c r="I18" i="56"/>
  <c r="K95" i="56"/>
  <c r="K83" i="56"/>
  <c r="K90" i="56"/>
  <c r="K58" i="56"/>
  <c r="A26" i="55"/>
  <c r="I34" i="55"/>
  <c r="I24" i="56" l="1"/>
  <c r="K131" i="56"/>
  <c r="K93" i="56"/>
  <c r="A26" i="56"/>
  <c r="I34" i="56"/>
  <c r="K112" i="56"/>
  <c r="A28" i="55"/>
  <c r="A30" i="55" s="1"/>
  <c r="A31" i="55" s="1"/>
  <c r="A32" i="55" s="1"/>
  <c r="A34" i="55" s="1"/>
  <c r="K134" i="56" l="1"/>
  <c r="A28" i="56"/>
  <c r="A30" i="56" s="1"/>
  <c r="A31" i="56" s="1"/>
  <c r="A32" i="56" s="1"/>
  <c r="A34" i="56" s="1"/>
  <c r="I35" i="56"/>
  <c r="K97" i="56"/>
  <c r="I115" i="55"/>
  <c r="A39" i="55"/>
  <c r="I35" i="55"/>
  <c r="K133" i="56" l="1"/>
  <c r="I117" i="56"/>
  <c r="A39" i="56"/>
  <c r="A40" i="55"/>
  <c r="A41" i="55" s="1"/>
  <c r="I41" i="55"/>
  <c r="A40" i="56" l="1"/>
  <c r="A41" i="56" s="1"/>
  <c r="K139" i="56"/>
  <c r="A43" i="55"/>
  <c r="A44" i="55" s="1"/>
  <c r="I41" i="56" l="1"/>
  <c r="A43" i="56"/>
  <c r="A44" i="56" s="1"/>
  <c r="A45" i="55"/>
  <c r="K144" i="56" l="1"/>
  <c r="A45" i="56"/>
  <c r="A46" i="55"/>
  <c r="A47" i="55" s="1"/>
  <c r="A48" i="55" s="1"/>
  <c r="I44" i="55"/>
  <c r="A46" i="56" l="1"/>
  <c r="A47" i="56" s="1"/>
  <c r="A48" i="56" s="1"/>
  <c r="K149" i="56"/>
  <c r="A49" i="55"/>
  <c r="A50" i="55" s="1"/>
  <c r="A51" i="55" s="1"/>
  <c r="A52" i="55" s="1"/>
  <c r="I52" i="55"/>
  <c r="K154" i="56" l="1"/>
  <c r="I44" i="56"/>
  <c r="A49" i="56"/>
  <c r="A50" i="56" s="1"/>
  <c r="A51" i="56" s="1"/>
  <c r="A52" i="56" s="1"/>
  <c r="A53" i="55"/>
  <c r="A54" i="55" s="1"/>
  <c r="I54" i="55"/>
  <c r="I52" i="56" l="1"/>
  <c r="A53" i="56"/>
  <c r="A54" i="56" s="1"/>
  <c r="K157" i="56"/>
  <c r="A55" i="55"/>
  <c r="A56" i="55" s="1"/>
  <c r="I54" i="56" l="1"/>
  <c r="K159" i="56"/>
  <c r="A55" i="56"/>
  <c r="A56" i="56" s="1"/>
  <c r="A58" i="55"/>
  <c r="I58" i="55"/>
  <c r="I56" i="55"/>
  <c r="I56" i="56" l="1"/>
  <c r="A58" i="56"/>
  <c r="I58" i="56"/>
  <c r="I129" i="55"/>
  <c r="A63" i="55"/>
  <c r="A63" i="56" l="1"/>
  <c r="I131" i="56"/>
  <c r="A64" i="55"/>
  <c r="A65" i="55" s="1"/>
  <c r="A64" i="56" l="1"/>
  <c r="A65" i="56" s="1"/>
  <c r="I83" i="55"/>
  <c r="A68" i="55"/>
  <c r="I85" i="56" l="1"/>
  <c r="A68" i="56"/>
  <c r="A69" i="55"/>
  <c r="A70" i="55" s="1"/>
  <c r="A69" i="56" l="1"/>
  <c r="A70" i="56" s="1"/>
  <c r="I84" i="55"/>
  <c r="A73" i="55"/>
  <c r="A73" i="56" l="1"/>
  <c r="I86" i="56"/>
  <c r="A75" i="55"/>
  <c r="I75" i="55"/>
  <c r="A75" i="56" l="1"/>
  <c r="I82" i="56"/>
  <c r="I75" i="56"/>
  <c r="A78" i="55"/>
  <c r="I78" i="55"/>
  <c r="I79" i="55"/>
  <c r="I80" i="55"/>
  <c r="A80" i="56" l="1"/>
  <c r="I81" i="56"/>
  <c r="A79" i="55"/>
  <c r="I88" i="55"/>
  <c r="A81" i="56" l="1"/>
  <c r="I90" i="56"/>
  <c r="A80" i="55"/>
  <c r="I89" i="55"/>
  <c r="A82" i="56" l="1"/>
  <c r="I83" i="56" s="1"/>
  <c r="I80" i="56"/>
  <c r="I91" i="56"/>
  <c r="I90" i="55"/>
  <c r="A83" i="55"/>
  <c r="A84" i="55" s="1"/>
  <c r="A85" i="55" s="1"/>
  <c r="A88" i="55" s="1"/>
  <c r="I81" i="55"/>
  <c r="A85" i="56" l="1"/>
  <c r="A86" i="56" s="1"/>
  <c r="A87" i="56" s="1"/>
  <c r="A90" i="56" s="1"/>
  <c r="A89" i="55"/>
  <c r="I92" i="56" l="1"/>
  <c r="A91" i="56"/>
  <c r="I91" i="55"/>
  <c r="A90" i="55"/>
  <c r="A91" i="55" s="1"/>
  <c r="I93" i="55"/>
  <c r="A92" i="56" l="1"/>
  <c r="A93" i="56" s="1"/>
  <c r="I93" i="56"/>
  <c r="A93" i="55"/>
  <c r="I95" i="55"/>
  <c r="A95" i="56" l="1"/>
  <c r="I97" i="56"/>
  <c r="I95" i="56"/>
  <c r="A95" i="55"/>
  <c r="I116" i="55"/>
  <c r="I118" i="56" l="1"/>
  <c r="A97" i="56"/>
  <c r="I131" i="55"/>
  <c r="A100" i="55"/>
  <c r="I133" i="56" l="1"/>
  <c r="A102" i="56"/>
  <c r="A101" i="55"/>
  <c r="A102" i="55" s="1"/>
  <c r="I102" i="55"/>
  <c r="A103" i="56" l="1"/>
  <c r="A104" i="56" s="1"/>
  <c r="I104" i="56"/>
  <c r="I117" i="55"/>
  <c r="A105" i="55"/>
  <c r="I119" i="56" l="1"/>
  <c r="A107" i="56"/>
  <c r="A106" i="55"/>
  <c r="A107" i="55" s="1"/>
  <c r="A108" i="55" s="1"/>
  <c r="A108" i="56" l="1"/>
  <c r="A109" i="56" s="1"/>
  <c r="A110" i="56" s="1"/>
  <c r="I110" i="56"/>
  <c r="A110" i="55"/>
  <c r="I118" i="55"/>
  <c r="I108" i="55"/>
  <c r="I120" i="56" l="1"/>
  <c r="A112" i="56"/>
  <c r="A112" i="55"/>
  <c r="I132" i="55"/>
  <c r="A114" i="56" l="1"/>
  <c r="I134" i="56"/>
  <c r="A124" i="55"/>
  <c r="I110" i="55"/>
  <c r="I112" i="56" l="1"/>
  <c r="A126" i="56"/>
  <c r="A125" i="55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7" i="55" s="1"/>
  <c r="A127" i="56" l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9" i="56" s="1"/>
  <c r="I139" i="56"/>
  <c r="I17" i="56"/>
  <c r="A139" i="55"/>
  <c r="A140" i="55" s="1"/>
  <c r="A142" i="55" s="1"/>
  <c r="I17" i="55"/>
  <c r="I137" i="55"/>
  <c r="A141" i="56" l="1"/>
  <c r="A142" i="56" s="1"/>
  <c r="A144" i="56" s="1"/>
  <c r="I147" i="55"/>
  <c r="A147" i="55"/>
  <c r="I142" i="55"/>
  <c r="I149" i="56" l="1"/>
  <c r="A149" i="56"/>
  <c r="I144" i="56"/>
  <c r="I152" i="55"/>
  <c r="A148" i="55"/>
  <c r="A149" i="55" s="1"/>
  <c r="A150" i="55" s="1"/>
  <c r="A152" i="55" s="1"/>
  <c r="A150" i="56" l="1"/>
  <c r="A151" i="56" s="1"/>
  <c r="A152" i="56" s="1"/>
  <c r="A154" i="56" s="1"/>
  <c r="I154" i="56"/>
  <c r="A155" i="55"/>
  <c r="I155" i="55"/>
  <c r="I157" i="56" l="1"/>
  <c r="A157" i="56"/>
  <c r="A156" i="55"/>
  <c r="A157" i="55" s="1"/>
  <c r="A158" i="56" l="1"/>
  <c r="A159" i="56" s="1"/>
  <c r="I157" i="55"/>
  <c r="I159" i="56" l="1"/>
  <c r="J71" i="51" l="1"/>
  <c r="E10" i="5"/>
  <c r="E9" i="5"/>
  <c r="E7" i="6" l="1"/>
  <c r="F442" i="54" l="1"/>
  <c r="F441" i="54"/>
  <c r="F440" i="54"/>
  <c r="F439" i="54"/>
  <c r="F438" i="54"/>
  <c r="F437" i="54"/>
  <c r="F436" i="54"/>
  <c r="F435" i="54"/>
  <c r="F434" i="54"/>
  <c r="F433" i="54"/>
  <c r="F432" i="54"/>
  <c r="F431" i="54"/>
  <c r="F430" i="54"/>
  <c r="F429" i="54"/>
  <c r="F428" i="54"/>
  <c r="F427" i="54"/>
  <c r="F426" i="54"/>
  <c r="F425" i="54"/>
  <c r="F424" i="54"/>
  <c r="F423" i="54"/>
  <c r="F422" i="54"/>
  <c r="F421" i="54"/>
  <c r="F420" i="54"/>
  <c r="F419" i="54"/>
  <c r="J419" i="54" s="1"/>
  <c r="K419" i="54" s="1"/>
  <c r="K417" i="54"/>
  <c r="J417" i="54"/>
  <c r="I417" i="54"/>
  <c r="H417" i="54"/>
  <c r="F417" i="54"/>
  <c r="E417" i="54"/>
  <c r="D417" i="54"/>
  <c r="K416" i="54"/>
  <c r="J416" i="54"/>
  <c r="I416" i="54"/>
  <c r="H416" i="54"/>
  <c r="F416" i="54"/>
  <c r="E416" i="54"/>
  <c r="D416" i="54"/>
  <c r="F409" i="54"/>
  <c r="F408" i="54"/>
  <c r="F407" i="54"/>
  <c r="F406" i="54"/>
  <c r="F405" i="54"/>
  <c r="F404" i="54"/>
  <c r="F403" i="54"/>
  <c r="F402" i="54"/>
  <c r="F401" i="54"/>
  <c r="F400" i="54"/>
  <c r="F399" i="54"/>
  <c r="F398" i="54"/>
  <c r="F397" i="54"/>
  <c r="F396" i="54"/>
  <c r="F395" i="54"/>
  <c r="F394" i="54"/>
  <c r="F393" i="54"/>
  <c r="F392" i="54"/>
  <c r="F391" i="54"/>
  <c r="F390" i="54"/>
  <c r="F389" i="54"/>
  <c r="F388" i="54"/>
  <c r="F387" i="54"/>
  <c r="F386" i="54"/>
  <c r="K384" i="54"/>
  <c r="J384" i="54"/>
  <c r="I384" i="54"/>
  <c r="H384" i="54"/>
  <c r="G384" i="54"/>
  <c r="F384" i="54"/>
  <c r="E384" i="54"/>
  <c r="D384" i="54"/>
  <c r="K383" i="54"/>
  <c r="J383" i="54"/>
  <c r="I383" i="54"/>
  <c r="H383" i="54"/>
  <c r="G383" i="54"/>
  <c r="F383" i="54"/>
  <c r="E383" i="54"/>
  <c r="D383" i="54"/>
  <c r="G382" i="54"/>
  <c r="F376" i="54"/>
  <c r="F375" i="54"/>
  <c r="F374" i="54"/>
  <c r="F373" i="54"/>
  <c r="F372" i="54"/>
  <c r="F371" i="54"/>
  <c r="F370" i="54"/>
  <c r="F369" i="54"/>
  <c r="F368" i="54"/>
  <c r="F367" i="54"/>
  <c r="F366" i="54"/>
  <c r="F365" i="54"/>
  <c r="F364" i="54"/>
  <c r="F363" i="54"/>
  <c r="F362" i="54"/>
  <c r="F361" i="54"/>
  <c r="F360" i="54"/>
  <c r="F359" i="54"/>
  <c r="F358" i="54"/>
  <c r="F357" i="54"/>
  <c r="F356" i="54"/>
  <c r="F355" i="54"/>
  <c r="F354" i="54"/>
  <c r="F353" i="54"/>
  <c r="K351" i="54"/>
  <c r="J351" i="54"/>
  <c r="I351" i="54"/>
  <c r="H351" i="54"/>
  <c r="G351" i="54"/>
  <c r="F351" i="54"/>
  <c r="E351" i="54"/>
  <c r="D351" i="54"/>
  <c r="K350" i="54"/>
  <c r="J350" i="54"/>
  <c r="I350" i="54"/>
  <c r="H350" i="54"/>
  <c r="G350" i="54"/>
  <c r="F350" i="54"/>
  <c r="E350" i="54"/>
  <c r="D350" i="54"/>
  <c r="G349" i="54"/>
  <c r="F343" i="54"/>
  <c r="F342" i="54"/>
  <c r="F341" i="54"/>
  <c r="F340" i="54"/>
  <c r="F339" i="54"/>
  <c r="F338" i="54"/>
  <c r="F337" i="54"/>
  <c r="F336" i="54"/>
  <c r="F335" i="54"/>
  <c r="F334" i="54"/>
  <c r="F333" i="54"/>
  <c r="F332" i="54"/>
  <c r="F331" i="54"/>
  <c r="F330" i="54"/>
  <c r="F329" i="54"/>
  <c r="F328" i="54"/>
  <c r="F327" i="54"/>
  <c r="F326" i="54"/>
  <c r="F325" i="54"/>
  <c r="F324" i="54"/>
  <c r="F323" i="54"/>
  <c r="F322" i="54"/>
  <c r="F321" i="54"/>
  <c r="F320" i="54"/>
  <c r="K318" i="54"/>
  <c r="J318" i="54"/>
  <c r="I318" i="54"/>
  <c r="H318" i="54"/>
  <c r="G318" i="54"/>
  <c r="F318" i="54"/>
  <c r="E318" i="54"/>
  <c r="D318" i="54"/>
  <c r="K317" i="54"/>
  <c r="J317" i="54"/>
  <c r="I317" i="54"/>
  <c r="H317" i="54"/>
  <c r="G317" i="54"/>
  <c r="F317" i="54"/>
  <c r="E317" i="54"/>
  <c r="D317" i="54"/>
  <c r="G316" i="54"/>
  <c r="F310" i="54"/>
  <c r="F309" i="54"/>
  <c r="F308" i="54"/>
  <c r="F307" i="54"/>
  <c r="F306" i="54"/>
  <c r="F305" i="54"/>
  <c r="F304" i="54"/>
  <c r="F303" i="54"/>
  <c r="F302" i="54"/>
  <c r="F301" i="54"/>
  <c r="F300" i="54"/>
  <c r="F299" i="54"/>
  <c r="F298" i="54"/>
  <c r="F297" i="54"/>
  <c r="F296" i="54"/>
  <c r="F295" i="54"/>
  <c r="F294" i="54"/>
  <c r="F293" i="54"/>
  <c r="F292" i="54"/>
  <c r="F291" i="54"/>
  <c r="F290" i="54"/>
  <c r="F289" i="54"/>
  <c r="F288" i="54"/>
  <c r="F287" i="54"/>
  <c r="J286" i="54"/>
  <c r="J287" i="54" s="1"/>
  <c r="K285" i="54"/>
  <c r="J285" i="54"/>
  <c r="I285" i="54"/>
  <c r="H285" i="54"/>
  <c r="G285" i="54"/>
  <c r="F285" i="54"/>
  <c r="E285" i="54"/>
  <c r="D285" i="54"/>
  <c r="K284" i="54"/>
  <c r="J284" i="54"/>
  <c r="I284" i="54"/>
  <c r="H284" i="54"/>
  <c r="G284" i="54"/>
  <c r="F284" i="54"/>
  <c r="E284" i="54"/>
  <c r="D284" i="54"/>
  <c r="G283" i="54"/>
  <c r="F277" i="54"/>
  <c r="F276" i="54"/>
  <c r="F275" i="54"/>
  <c r="F274" i="54"/>
  <c r="F273" i="54"/>
  <c r="F272" i="54"/>
  <c r="F271" i="54"/>
  <c r="F270" i="54"/>
  <c r="F269" i="54"/>
  <c r="F268" i="54"/>
  <c r="F267" i="54"/>
  <c r="F266" i="54"/>
  <c r="F265" i="54"/>
  <c r="F264" i="54"/>
  <c r="F263" i="54"/>
  <c r="F262" i="54"/>
  <c r="F261" i="54"/>
  <c r="F260" i="54"/>
  <c r="F259" i="54"/>
  <c r="F258" i="54"/>
  <c r="F257" i="54"/>
  <c r="F256" i="54"/>
  <c r="I56" i="54"/>
  <c r="F255" i="54"/>
  <c r="F254" i="54"/>
  <c r="J254" i="54" s="1"/>
  <c r="J253" i="54"/>
  <c r="K252" i="54"/>
  <c r="J252" i="54"/>
  <c r="I252" i="54"/>
  <c r="H252" i="54"/>
  <c r="F252" i="54"/>
  <c r="E252" i="54"/>
  <c r="D252" i="54"/>
  <c r="K251" i="54"/>
  <c r="J251" i="54"/>
  <c r="I251" i="54"/>
  <c r="H251" i="54"/>
  <c r="F251" i="54"/>
  <c r="E251" i="54"/>
  <c r="D251" i="54"/>
  <c r="F244" i="54"/>
  <c r="F243" i="54"/>
  <c r="F242" i="54"/>
  <c r="I75" i="54"/>
  <c r="F241" i="54"/>
  <c r="F240" i="54"/>
  <c r="F239" i="54"/>
  <c r="F238" i="54"/>
  <c r="F237" i="54"/>
  <c r="F236" i="54"/>
  <c r="F235" i="54"/>
  <c r="F234" i="54"/>
  <c r="F233" i="54"/>
  <c r="F232" i="54"/>
  <c r="F231" i="54"/>
  <c r="F230" i="54"/>
  <c r="I63" i="54"/>
  <c r="F229" i="54"/>
  <c r="F228" i="54"/>
  <c r="F227" i="54"/>
  <c r="F226" i="54"/>
  <c r="F225" i="54"/>
  <c r="F224" i="54"/>
  <c r="F223" i="54"/>
  <c r="F222" i="54"/>
  <c r="J221" i="54"/>
  <c r="F221" i="54"/>
  <c r="J220" i="54"/>
  <c r="K219" i="54"/>
  <c r="J219" i="54"/>
  <c r="I219" i="54"/>
  <c r="H219" i="54"/>
  <c r="G219" i="54"/>
  <c r="F219" i="54"/>
  <c r="E219" i="54"/>
  <c r="D219" i="54"/>
  <c r="K218" i="54"/>
  <c r="J218" i="54"/>
  <c r="I218" i="54"/>
  <c r="H218" i="54"/>
  <c r="G218" i="54"/>
  <c r="F218" i="54"/>
  <c r="E218" i="54"/>
  <c r="D218" i="54"/>
  <c r="G217" i="54"/>
  <c r="F211" i="54"/>
  <c r="F210" i="54"/>
  <c r="F209" i="54"/>
  <c r="F208" i="54"/>
  <c r="F207" i="54"/>
  <c r="F206" i="54"/>
  <c r="F205" i="54"/>
  <c r="F204" i="54"/>
  <c r="F203" i="54"/>
  <c r="F202" i="54"/>
  <c r="F201" i="54"/>
  <c r="F200" i="54"/>
  <c r="F199" i="54"/>
  <c r="F198" i="54"/>
  <c r="F197" i="54"/>
  <c r="F196" i="54"/>
  <c r="F195" i="54"/>
  <c r="F194" i="54"/>
  <c r="F193" i="54"/>
  <c r="F192" i="54"/>
  <c r="F191" i="54"/>
  <c r="F190" i="54"/>
  <c r="F189" i="54"/>
  <c r="F188" i="54"/>
  <c r="J187" i="54"/>
  <c r="K186" i="54"/>
  <c r="J186" i="54"/>
  <c r="I186" i="54"/>
  <c r="H186" i="54"/>
  <c r="G186" i="54"/>
  <c r="F186" i="54"/>
  <c r="E186" i="54"/>
  <c r="D186" i="54"/>
  <c r="K185" i="54"/>
  <c r="J185" i="54"/>
  <c r="I185" i="54"/>
  <c r="H185" i="54"/>
  <c r="G185" i="54"/>
  <c r="F185" i="54"/>
  <c r="E185" i="54"/>
  <c r="D185" i="54"/>
  <c r="G184" i="54"/>
  <c r="I78" i="54"/>
  <c r="F178" i="54"/>
  <c r="F177" i="54"/>
  <c r="F176" i="54"/>
  <c r="F175" i="54"/>
  <c r="F174" i="54"/>
  <c r="F173" i="54"/>
  <c r="F172" i="54"/>
  <c r="F171" i="54"/>
  <c r="F170" i="54"/>
  <c r="F169" i="54"/>
  <c r="F168" i="54"/>
  <c r="F167" i="54"/>
  <c r="F166" i="54"/>
  <c r="F165" i="54"/>
  <c r="F164" i="54"/>
  <c r="F163" i="54"/>
  <c r="F162" i="54"/>
  <c r="F161" i="54"/>
  <c r="F160" i="54"/>
  <c r="F159" i="54"/>
  <c r="F158" i="54"/>
  <c r="F157" i="54"/>
  <c r="F57" i="54" s="1"/>
  <c r="F156" i="54"/>
  <c r="K155" i="54"/>
  <c r="F155" i="54"/>
  <c r="J155" i="54" s="1"/>
  <c r="J156" i="54" s="1"/>
  <c r="J154" i="54"/>
  <c r="K153" i="54"/>
  <c r="J153" i="54"/>
  <c r="I153" i="54"/>
  <c r="H153" i="54"/>
  <c r="G153" i="54"/>
  <c r="F153" i="54"/>
  <c r="E153" i="54"/>
  <c r="D153" i="54"/>
  <c r="K152" i="54"/>
  <c r="J152" i="54"/>
  <c r="I152" i="54"/>
  <c r="H152" i="54"/>
  <c r="G152" i="54"/>
  <c r="F152" i="54"/>
  <c r="E152" i="54"/>
  <c r="D152" i="54"/>
  <c r="G151" i="54"/>
  <c r="F145" i="54"/>
  <c r="F144" i="54"/>
  <c r="F143" i="54"/>
  <c r="F142" i="54"/>
  <c r="F141" i="54"/>
  <c r="F140" i="54"/>
  <c r="F139" i="54"/>
  <c r="F138" i="54"/>
  <c r="F137" i="54"/>
  <c r="F136" i="54"/>
  <c r="F135" i="54"/>
  <c r="F134" i="54"/>
  <c r="F133" i="54"/>
  <c r="F132" i="54"/>
  <c r="F131" i="54"/>
  <c r="F130" i="54"/>
  <c r="F63" i="54" s="1"/>
  <c r="F129" i="54"/>
  <c r="F128" i="54"/>
  <c r="F127" i="54"/>
  <c r="F126" i="54"/>
  <c r="F125" i="54"/>
  <c r="F124" i="54"/>
  <c r="J123" i="54"/>
  <c r="F123" i="54"/>
  <c r="F122" i="54"/>
  <c r="J121" i="54"/>
  <c r="J122" i="54" s="1"/>
  <c r="K122" i="54" s="1"/>
  <c r="K120" i="54"/>
  <c r="J120" i="54"/>
  <c r="I120" i="54"/>
  <c r="H120" i="54"/>
  <c r="G120" i="54"/>
  <c r="F120" i="54"/>
  <c r="E120" i="54"/>
  <c r="D120" i="54"/>
  <c r="K119" i="54"/>
  <c r="J119" i="54"/>
  <c r="I119" i="54"/>
  <c r="H119" i="54"/>
  <c r="G119" i="54"/>
  <c r="F119" i="54"/>
  <c r="E119" i="54"/>
  <c r="D119" i="54"/>
  <c r="G118" i="54"/>
  <c r="F112" i="54"/>
  <c r="F111" i="54"/>
  <c r="F110" i="54"/>
  <c r="F76" i="54" s="1"/>
  <c r="F109" i="54"/>
  <c r="F75" i="54" s="1"/>
  <c r="F108" i="54"/>
  <c r="F74" i="54" s="1"/>
  <c r="I73" i="54"/>
  <c r="F107" i="54"/>
  <c r="E72" i="54"/>
  <c r="F105" i="54"/>
  <c r="I70" i="54"/>
  <c r="F104" i="54"/>
  <c r="E69" i="54"/>
  <c r="F102" i="54"/>
  <c r="F68" i="54" s="1"/>
  <c r="F101" i="54"/>
  <c r="F67" i="54" s="1"/>
  <c r="F100" i="54"/>
  <c r="F66" i="54" s="1"/>
  <c r="I65" i="54"/>
  <c r="F99" i="54"/>
  <c r="E64" i="54"/>
  <c r="F97" i="54"/>
  <c r="I62" i="54"/>
  <c r="F96" i="54"/>
  <c r="E61" i="54"/>
  <c r="F94" i="54"/>
  <c r="F60" i="54" s="1"/>
  <c r="F93" i="54"/>
  <c r="F59" i="54" s="1"/>
  <c r="F92" i="54"/>
  <c r="F58" i="54" s="1"/>
  <c r="I57" i="54"/>
  <c r="F91" i="54"/>
  <c r="F90" i="54"/>
  <c r="F56" i="54" s="1"/>
  <c r="F89" i="54"/>
  <c r="J88" i="54"/>
  <c r="J89" i="54" s="1"/>
  <c r="K89" i="54" s="1"/>
  <c r="K87" i="54"/>
  <c r="J87" i="54"/>
  <c r="I87" i="54"/>
  <c r="H87" i="54"/>
  <c r="G87" i="54"/>
  <c r="G417" i="54" s="1"/>
  <c r="F87" i="54"/>
  <c r="E87" i="54"/>
  <c r="D87" i="54"/>
  <c r="K86" i="54"/>
  <c r="J86" i="54"/>
  <c r="I86" i="54"/>
  <c r="H86" i="54"/>
  <c r="G86" i="54"/>
  <c r="G416" i="54" s="1"/>
  <c r="F86" i="54"/>
  <c r="E86" i="54"/>
  <c r="D86" i="54"/>
  <c r="G85" i="54"/>
  <c r="G415" i="54" s="1"/>
  <c r="H78" i="54"/>
  <c r="G78" i="54"/>
  <c r="F78" i="54"/>
  <c r="E78" i="54"/>
  <c r="D78" i="54"/>
  <c r="I77" i="54"/>
  <c r="H77" i="54"/>
  <c r="G77" i="54"/>
  <c r="F77" i="54"/>
  <c r="E77" i="54"/>
  <c r="D77" i="54"/>
  <c r="I76" i="54"/>
  <c r="H76" i="54"/>
  <c r="G76" i="54"/>
  <c r="E76" i="54"/>
  <c r="D76" i="54"/>
  <c r="H75" i="54"/>
  <c r="G75" i="54"/>
  <c r="E75" i="54"/>
  <c r="D75" i="54"/>
  <c r="I74" i="54"/>
  <c r="H74" i="54"/>
  <c r="G74" i="54"/>
  <c r="D74" i="54"/>
  <c r="H73" i="54"/>
  <c r="G73" i="54"/>
  <c r="F73" i="54"/>
  <c r="E73" i="54"/>
  <c r="D73" i="54"/>
  <c r="I72" i="54"/>
  <c r="H72" i="54"/>
  <c r="G72" i="54"/>
  <c r="D72" i="54"/>
  <c r="I71" i="54"/>
  <c r="H71" i="54"/>
  <c r="G71" i="54"/>
  <c r="F71" i="54"/>
  <c r="E71" i="54"/>
  <c r="D71" i="54"/>
  <c r="H70" i="54"/>
  <c r="G70" i="54"/>
  <c r="F70" i="54"/>
  <c r="E70" i="54"/>
  <c r="D70" i="54"/>
  <c r="I69" i="54"/>
  <c r="H69" i="54"/>
  <c r="G69" i="54"/>
  <c r="D69" i="54"/>
  <c r="I68" i="54"/>
  <c r="H68" i="54"/>
  <c r="G68" i="54"/>
  <c r="D68" i="54"/>
  <c r="I67" i="54"/>
  <c r="H67" i="54"/>
  <c r="G67" i="54"/>
  <c r="E67" i="54"/>
  <c r="D67" i="54"/>
  <c r="I66" i="54"/>
  <c r="H66" i="54"/>
  <c r="G66" i="54"/>
  <c r="D66" i="54"/>
  <c r="H65" i="54"/>
  <c r="G65" i="54"/>
  <c r="F65" i="54"/>
  <c r="E65" i="54"/>
  <c r="D65" i="54"/>
  <c r="I64" i="54"/>
  <c r="H64" i="54"/>
  <c r="G64" i="54"/>
  <c r="D64" i="54"/>
  <c r="H63" i="54"/>
  <c r="G63" i="54"/>
  <c r="E63" i="54"/>
  <c r="D63" i="54"/>
  <c r="H62" i="54"/>
  <c r="G62" i="54"/>
  <c r="F62" i="54"/>
  <c r="E62" i="54"/>
  <c r="D62" i="54"/>
  <c r="I61" i="54"/>
  <c r="H61" i="54"/>
  <c r="G61" i="54"/>
  <c r="D61" i="54"/>
  <c r="I60" i="54"/>
  <c r="H60" i="54"/>
  <c r="G60" i="54"/>
  <c r="E60" i="54"/>
  <c r="D60" i="54"/>
  <c r="I59" i="54"/>
  <c r="H59" i="54"/>
  <c r="G59" i="54"/>
  <c r="E59" i="54"/>
  <c r="D59" i="54"/>
  <c r="I58" i="54"/>
  <c r="H58" i="54"/>
  <c r="G58" i="54"/>
  <c r="D58" i="54"/>
  <c r="H57" i="54"/>
  <c r="G57" i="54"/>
  <c r="D57" i="54"/>
  <c r="H56" i="54"/>
  <c r="G56" i="54"/>
  <c r="D56" i="54"/>
  <c r="H55" i="54"/>
  <c r="G55" i="54"/>
  <c r="D55" i="54"/>
  <c r="E46" i="54"/>
  <c r="D46" i="54"/>
  <c r="H45" i="54"/>
  <c r="J385" i="54" s="1"/>
  <c r="J386" i="54" s="1"/>
  <c r="G45" i="54"/>
  <c r="J352" i="54" s="1"/>
  <c r="J353" i="54" s="1"/>
  <c r="F45" i="54"/>
  <c r="J319" i="54" s="1"/>
  <c r="J320" i="54" s="1"/>
  <c r="H44" i="54"/>
  <c r="G44" i="54"/>
  <c r="F44" i="54"/>
  <c r="D24" i="54" s="1"/>
  <c r="H43" i="54"/>
  <c r="G43" i="54"/>
  <c r="F43" i="54"/>
  <c r="H42" i="54"/>
  <c r="G42" i="54"/>
  <c r="F42" i="54"/>
  <c r="D22" i="54" s="1"/>
  <c r="H41" i="54"/>
  <c r="G41" i="54"/>
  <c r="F41" i="54"/>
  <c r="H40" i="54"/>
  <c r="G40" i="54"/>
  <c r="F40" i="54"/>
  <c r="D20" i="54" s="1"/>
  <c r="H39" i="54"/>
  <c r="G39" i="54"/>
  <c r="F39" i="54"/>
  <c r="H38" i="54"/>
  <c r="G38" i="54"/>
  <c r="F38" i="54"/>
  <c r="D18" i="54" s="1"/>
  <c r="H37" i="54"/>
  <c r="G37" i="54"/>
  <c r="F37" i="54"/>
  <c r="H36" i="54"/>
  <c r="G36" i="54"/>
  <c r="F36" i="54"/>
  <c r="D16" i="54" s="1"/>
  <c r="H35" i="54"/>
  <c r="G35" i="54"/>
  <c r="F35" i="54"/>
  <c r="H34" i="54"/>
  <c r="H46" i="54" s="1"/>
  <c r="G34" i="54"/>
  <c r="G46" i="54" s="1"/>
  <c r="F34" i="54"/>
  <c r="D14" i="54" s="1"/>
  <c r="H33" i="54"/>
  <c r="G33" i="54"/>
  <c r="F33" i="54"/>
  <c r="I26" i="54"/>
  <c r="H26" i="54"/>
  <c r="G26" i="54"/>
  <c r="F26" i="54"/>
  <c r="E26" i="54"/>
  <c r="D25" i="54"/>
  <c r="J54" i="54" s="1"/>
  <c r="D23" i="54"/>
  <c r="D21" i="54"/>
  <c r="D19" i="54"/>
  <c r="D17" i="54"/>
  <c r="D15" i="54"/>
  <c r="A14" i="54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A272" i="54" s="1"/>
  <c r="A273" i="54" s="1"/>
  <c r="A274" i="54" s="1"/>
  <c r="A275" i="54" s="1"/>
  <c r="A276" i="54" s="1"/>
  <c r="A277" i="54" s="1"/>
  <c r="A278" i="54" s="1"/>
  <c r="A286" i="54" s="1"/>
  <c r="A287" i="54" s="1"/>
  <c r="A288" i="54" s="1"/>
  <c r="A289" i="54" s="1"/>
  <c r="A290" i="54" s="1"/>
  <c r="A291" i="54" s="1"/>
  <c r="A292" i="54" s="1"/>
  <c r="A293" i="54" s="1"/>
  <c r="A294" i="54" s="1"/>
  <c r="A295" i="54" s="1"/>
  <c r="A296" i="54" s="1"/>
  <c r="A297" i="54" s="1"/>
  <c r="A298" i="54" s="1"/>
  <c r="A299" i="54" s="1"/>
  <c r="A300" i="54" s="1"/>
  <c r="A301" i="54" s="1"/>
  <c r="A302" i="54" s="1"/>
  <c r="A303" i="54" s="1"/>
  <c r="A304" i="54" s="1"/>
  <c r="A305" i="54" s="1"/>
  <c r="A306" i="54" s="1"/>
  <c r="A307" i="54" s="1"/>
  <c r="A308" i="54" s="1"/>
  <c r="A309" i="54" s="1"/>
  <c r="A310" i="54" s="1"/>
  <c r="A311" i="54" s="1"/>
  <c r="A319" i="54" s="1"/>
  <c r="A320" i="54" s="1"/>
  <c r="A321" i="54" s="1"/>
  <c r="A322" i="54" s="1"/>
  <c r="A323" i="54" s="1"/>
  <c r="A324" i="54" s="1"/>
  <c r="A325" i="54" s="1"/>
  <c r="A326" i="54" s="1"/>
  <c r="A327" i="54" s="1"/>
  <c r="A328" i="54" s="1"/>
  <c r="A329" i="54" s="1"/>
  <c r="A330" i="54" s="1"/>
  <c r="A331" i="54" s="1"/>
  <c r="A332" i="54" s="1"/>
  <c r="A333" i="54" s="1"/>
  <c r="A334" i="54" s="1"/>
  <c r="A335" i="54" s="1"/>
  <c r="A336" i="54" s="1"/>
  <c r="A337" i="54" s="1"/>
  <c r="A338" i="54" s="1"/>
  <c r="A339" i="54" s="1"/>
  <c r="A340" i="54" s="1"/>
  <c r="A341" i="54" s="1"/>
  <c r="A342" i="54" s="1"/>
  <c r="A343" i="54" s="1"/>
  <c r="A344" i="54" s="1"/>
  <c r="A352" i="54" s="1"/>
  <c r="A353" i="54" s="1"/>
  <c r="A354" i="54" s="1"/>
  <c r="A355" i="54" s="1"/>
  <c r="A356" i="54" s="1"/>
  <c r="A357" i="54" s="1"/>
  <c r="A358" i="54" s="1"/>
  <c r="A359" i="54" s="1"/>
  <c r="A360" i="54" s="1"/>
  <c r="A361" i="54" s="1"/>
  <c r="A362" i="54" s="1"/>
  <c r="A363" i="54" s="1"/>
  <c r="A364" i="54" s="1"/>
  <c r="A365" i="54" s="1"/>
  <c r="A366" i="54" s="1"/>
  <c r="A367" i="54" s="1"/>
  <c r="A368" i="54" s="1"/>
  <c r="A369" i="54" s="1"/>
  <c r="A370" i="54" s="1"/>
  <c r="A371" i="54" s="1"/>
  <c r="A372" i="54" s="1"/>
  <c r="A373" i="54" s="1"/>
  <c r="A374" i="54" s="1"/>
  <c r="A375" i="54" s="1"/>
  <c r="A376" i="54" s="1"/>
  <c r="A377" i="54" s="1"/>
  <c r="A385" i="54" s="1"/>
  <c r="A386" i="54" s="1"/>
  <c r="A387" i="54" s="1"/>
  <c r="A388" i="54" s="1"/>
  <c r="A389" i="54" s="1"/>
  <c r="A390" i="54" s="1"/>
  <c r="A391" i="54" s="1"/>
  <c r="A392" i="54" s="1"/>
  <c r="A393" i="54" s="1"/>
  <c r="A394" i="54" s="1"/>
  <c r="A395" i="54" s="1"/>
  <c r="A396" i="54" s="1"/>
  <c r="A397" i="54" s="1"/>
  <c r="A398" i="54" s="1"/>
  <c r="A399" i="54" s="1"/>
  <c r="A400" i="54" s="1"/>
  <c r="A401" i="54" s="1"/>
  <c r="A402" i="54" s="1"/>
  <c r="A403" i="54" s="1"/>
  <c r="A404" i="54" s="1"/>
  <c r="A405" i="54" s="1"/>
  <c r="A406" i="54" s="1"/>
  <c r="A407" i="54" s="1"/>
  <c r="A408" i="54" s="1"/>
  <c r="A409" i="54" s="1"/>
  <c r="A410" i="54" s="1"/>
  <c r="A418" i="54" s="1"/>
  <c r="A419" i="54" s="1"/>
  <c r="A420" i="54" s="1"/>
  <c r="A421" i="54" s="1"/>
  <c r="A422" i="54" s="1"/>
  <c r="A423" i="54" s="1"/>
  <c r="A424" i="54" s="1"/>
  <c r="A425" i="54" s="1"/>
  <c r="A426" i="54" s="1"/>
  <c r="A427" i="54" s="1"/>
  <c r="A428" i="54" s="1"/>
  <c r="A429" i="54" s="1"/>
  <c r="A430" i="54" s="1"/>
  <c r="A431" i="54" s="1"/>
  <c r="A432" i="54" s="1"/>
  <c r="A433" i="54" s="1"/>
  <c r="A434" i="54" s="1"/>
  <c r="A435" i="54" s="1"/>
  <c r="A436" i="54" s="1"/>
  <c r="A437" i="54" s="1"/>
  <c r="A438" i="54" s="1"/>
  <c r="A439" i="54" s="1"/>
  <c r="A440" i="54" s="1"/>
  <c r="A441" i="54" s="1"/>
  <c r="A442" i="54" s="1"/>
  <c r="A443" i="54" s="1"/>
  <c r="D13" i="54"/>
  <c r="F104" i="53"/>
  <c r="F99" i="53"/>
  <c r="E88" i="53"/>
  <c r="J87" i="53"/>
  <c r="J62" i="53"/>
  <c r="H42" i="53"/>
  <c r="H33" i="53"/>
  <c r="J21" i="53"/>
  <c r="J15" i="53"/>
  <c r="A7" i="53"/>
  <c r="A8" i="53" s="1"/>
  <c r="A9" i="53" s="1"/>
  <c r="A12" i="53" s="1"/>
  <c r="J29" i="53"/>
  <c r="D26" i="54" l="1"/>
  <c r="J124" i="54"/>
  <c r="K123" i="54"/>
  <c r="E55" i="54"/>
  <c r="J222" i="54"/>
  <c r="K221" i="54"/>
  <c r="F46" i="54"/>
  <c r="F98" i="54"/>
  <c r="F64" i="54" s="1"/>
  <c r="F95" i="54"/>
  <c r="F61" i="54" s="1"/>
  <c r="F103" i="54"/>
  <c r="F69" i="54" s="1"/>
  <c r="J288" i="54"/>
  <c r="K287" i="54"/>
  <c r="K254" i="54"/>
  <c r="J255" i="54"/>
  <c r="E56" i="54"/>
  <c r="F106" i="54"/>
  <c r="F72" i="54" s="1"/>
  <c r="E57" i="54"/>
  <c r="J354" i="54"/>
  <c r="K353" i="54"/>
  <c r="I55" i="54"/>
  <c r="K156" i="54"/>
  <c r="J157" i="54"/>
  <c r="J188" i="54"/>
  <c r="F55" i="54"/>
  <c r="K320" i="54"/>
  <c r="J321" i="54"/>
  <c r="E58" i="54"/>
  <c r="E66" i="54"/>
  <c r="E74" i="54"/>
  <c r="J90" i="54"/>
  <c r="K386" i="54"/>
  <c r="J387" i="54"/>
  <c r="E68" i="54"/>
  <c r="J420" i="54"/>
  <c r="J41" i="53"/>
  <c r="A13" i="53"/>
  <c r="A14" i="53" s="1"/>
  <c r="A15" i="53" s="1"/>
  <c r="A18" i="53" s="1"/>
  <c r="E99" i="53"/>
  <c r="J33" i="53" s="1"/>
  <c r="J34" i="53" s="1"/>
  <c r="J55" i="53" s="1"/>
  <c r="E104" i="53"/>
  <c r="J42" i="53" s="1"/>
  <c r="J38" i="53" s="1"/>
  <c r="J56" i="53" s="1"/>
  <c r="K157" i="54" l="1"/>
  <c r="J158" i="54"/>
  <c r="K288" i="54"/>
  <c r="J289" i="54"/>
  <c r="J256" i="54"/>
  <c r="K255" i="54"/>
  <c r="J223" i="54"/>
  <c r="K222" i="54"/>
  <c r="J421" i="54"/>
  <c r="K420" i="54"/>
  <c r="K321" i="54"/>
  <c r="J322" i="54"/>
  <c r="J355" i="54"/>
  <c r="K354" i="54"/>
  <c r="K124" i="54"/>
  <c r="J125" i="54"/>
  <c r="K188" i="54"/>
  <c r="K55" i="54" s="1"/>
  <c r="J189" i="54"/>
  <c r="J56" i="54" s="1"/>
  <c r="J91" i="54"/>
  <c r="K90" i="54"/>
  <c r="J55" i="54"/>
  <c r="K387" i="54"/>
  <c r="J388" i="54"/>
  <c r="J59" i="53"/>
  <c r="J64" i="53" s="1"/>
  <c r="E68" i="53" s="1"/>
  <c r="H15" i="53"/>
  <c r="H21" i="53"/>
  <c r="A19" i="53"/>
  <c r="A20" i="53" s="1"/>
  <c r="A21" i="53" s="1"/>
  <c r="A23" i="53" s="1"/>
  <c r="H29" i="53"/>
  <c r="K388" i="54" l="1"/>
  <c r="J389" i="54"/>
  <c r="K421" i="54"/>
  <c r="J422" i="54"/>
  <c r="J257" i="54"/>
  <c r="K256" i="54"/>
  <c r="K91" i="54"/>
  <c r="J57" i="54"/>
  <c r="J92" i="54"/>
  <c r="J323" i="54"/>
  <c r="K322" i="54"/>
  <c r="K289" i="54"/>
  <c r="J290" i="54"/>
  <c r="K223" i="54"/>
  <c r="J224" i="54"/>
  <c r="K56" i="54"/>
  <c r="K125" i="54"/>
  <c r="J126" i="54"/>
  <c r="K355" i="54"/>
  <c r="J356" i="54"/>
  <c r="K189" i="54"/>
  <c r="J190" i="54"/>
  <c r="J159" i="54"/>
  <c r="K158" i="54"/>
  <c r="A24" i="53"/>
  <c r="A25" i="53" s="1"/>
  <c r="A26" i="53" s="1"/>
  <c r="A27" i="53" s="1"/>
  <c r="A29" i="53" s="1"/>
  <c r="E70" i="53"/>
  <c r="E73" i="53" s="1"/>
  <c r="J70" i="53" s="1"/>
  <c r="E72" i="53"/>
  <c r="K224" i="54" l="1"/>
  <c r="J225" i="54"/>
  <c r="J93" i="54"/>
  <c r="K92" i="54"/>
  <c r="J58" i="54"/>
  <c r="J160" i="54"/>
  <c r="K159" i="54"/>
  <c r="K290" i="54"/>
  <c r="J291" i="54"/>
  <c r="K257" i="54"/>
  <c r="J258" i="54"/>
  <c r="K356" i="54"/>
  <c r="J357" i="54"/>
  <c r="K422" i="54"/>
  <c r="J423" i="54"/>
  <c r="J191" i="54"/>
  <c r="K190" i="54"/>
  <c r="K57" i="54" s="1"/>
  <c r="K126" i="54"/>
  <c r="J127" i="54"/>
  <c r="K323" i="54"/>
  <c r="J324" i="54"/>
  <c r="J390" i="54"/>
  <c r="K389" i="54"/>
  <c r="J72" i="53"/>
  <c r="H30" i="53"/>
  <c r="H41" i="53"/>
  <c r="A33" i="53"/>
  <c r="A34" i="53" s="1"/>
  <c r="K160" i="54" l="1"/>
  <c r="J161" i="54"/>
  <c r="K390" i="54"/>
  <c r="J391" i="54"/>
  <c r="K423" i="54"/>
  <c r="J424" i="54"/>
  <c r="K324" i="54"/>
  <c r="J325" i="54"/>
  <c r="J259" i="54"/>
  <c r="K258" i="54"/>
  <c r="J358" i="54"/>
  <c r="K357" i="54"/>
  <c r="J128" i="54"/>
  <c r="K127" i="54"/>
  <c r="J94" i="54"/>
  <c r="K93" i="54"/>
  <c r="J292" i="54"/>
  <c r="K291" i="54"/>
  <c r="J226" i="54"/>
  <c r="K225" i="54"/>
  <c r="K191" i="54"/>
  <c r="K58" i="54" s="1"/>
  <c r="J192" i="54"/>
  <c r="J59" i="54" s="1"/>
  <c r="A38" i="53"/>
  <c r="H55" i="53"/>
  <c r="H34" i="53"/>
  <c r="J425" i="54" l="1"/>
  <c r="K424" i="54"/>
  <c r="K391" i="54"/>
  <c r="J392" i="54"/>
  <c r="K192" i="54"/>
  <c r="J193" i="54"/>
  <c r="K128" i="54"/>
  <c r="J129" i="54"/>
  <c r="J227" i="54"/>
  <c r="K226" i="54"/>
  <c r="J359" i="54"/>
  <c r="K358" i="54"/>
  <c r="K292" i="54"/>
  <c r="J293" i="54"/>
  <c r="K59" i="54"/>
  <c r="J260" i="54"/>
  <c r="K259" i="54"/>
  <c r="K161" i="54"/>
  <c r="J162" i="54"/>
  <c r="J60" i="54"/>
  <c r="J95" i="54"/>
  <c r="K94" i="54"/>
  <c r="K325" i="54"/>
  <c r="J326" i="54"/>
  <c r="A41" i="53"/>
  <c r="A42" i="53" s="1"/>
  <c r="A43" i="53" s="1"/>
  <c r="A44" i="53" s="1"/>
  <c r="A45" i="53" s="1"/>
  <c r="A48" i="53" s="1"/>
  <c r="H56" i="53"/>
  <c r="K293" i="54" l="1"/>
  <c r="J294" i="54"/>
  <c r="K193" i="54"/>
  <c r="J194" i="54"/>
  <c r="K129" i="54"/>
  <c r="J130" i="54"/>
  <c r="K95" i="54"/>
  <c r="J61" i="54"/>
  <c r="J96" i="54"/>
  <c r="J261" i="54"/>
  <c r="K260" i="54"/>
  <c r="K392" i="54"/>
  <c r="J393" i="54"/>
  <c r="J163" i="54"/>
  <c r="K162" i="54"/>
  <c r="K359" i="54"/>
  <c r="J360" i="54"/>
  <c r="J327" i="54"/>
  <c r="K326" i="54"/>
  <c r="K60" i="54"/>
  <c r="K227" i="54"/>
  <c r="J228" i="54"/>
  <c r="K425" i="54"/>
  <c r="J426" i="54"/>
  <c r="A49" i="53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J97" i="54" l="1"/>
  <c r="K96" i="54"/>
  <c r="K426" i="54"/>
  <c r="J427" i="54"/>
  <c r="J394" i="54"/>
  <c r="K393" i="54"/>
  <c r="K228" i="54"/>
  <c r="J229" i="54"/>
  <c r="J195" i="54"/>
  <c r="K194" i="54"/>
  <c r="K61" i="54" s="1"/>
  <c r="K130" i="54"/>
  <c r="J131" i="54"/>
  <c r="K360" i="54"/>
  <c r="J361" i="54"/>
  <c r="J164" i="54"/>
  <c r="K163" i="54"/>
  <c r="K327" i="54"/>
  <c r="J328" i="54"/>
  <c r="J262" i="54"/>
  <c r="K261" i="54"/>
  <c r="J295" i="54"/>
  <c r="K294" i="54"/>
  <c r="A61" i="53"/>
  <c r="A64" i="53" s="1"/>
  <c r="H64" i="53"/>
  <c r="H59" i="53"/>
  <c r="K427" i="54" l="1"/>
  <c r="J428" i="54"/>
  <c r="K394" i="54"/>
  <c r="J395" i="54"/>
  <c r="K328" i="54"/>
  <c r="J329" i="54"/>
  <c r="K195" i="54"/>
  <c r="K62" i="54" s="1"/>
  <c r="J196" i="54"/>
  <c r="J230" i="54"/>
  <c r="K229" i="54"/>
  <c r="J62" i="54"/>
  <c r="J362" i="54"/>
  <c r="K361" i="54"/>
  <c r="J296" i="54"/>
  <c r="K295" i="54"/>
  <c r="J132" i="54"/>
  <c r="K131" i="54"/>
  <c r="K262" i="54"/>
  <c r="J263" i="54"/>
  <c r="K164" i="54"/>
  <c r="J165" i="54"/>
  <c r="K97" i="54"/>
  <c r="J63" i="54"/>
  <c r="J98" i="54"/>
  <c r="G68" i="53"/>
  <c r="A68" i="53"/>
  <c r="K196" i="54" l="1"/>
  <c r="J197" i="54"/>
  <c r="K63" i="54"/>
  <c r="K296" i="54"/>
  <c r="J297" i="54"/>
  <c r="K165" i="54"/>
  <c r="J166" i="54"/>
  <c r="K329" i="54"/>
  <c r="J330" i="54"/>
  <c r="J363" i="54"/>
  <c r="K362" i="54"/>
  <c r="J264" i="54"/>
  <c r="K263" i="54"/>
  <c r="K395" i="54"/>
  <c r="J396" i="54"/>
  <c r="J231" i="54"/>
  <c r="K230" i="54"/>
  <c r="J429" i="54"/>
  <c r="K428" i="54"/>
  <c r="J64" i="54"/>
  <c r="K98" i="54"/>
  <c r="J99" i="54"/>
  <c r="K132" i="54"/>
  <c r="J133" i="54"/>
  <c r="G70" i="53"/>
  <c r="A69" i="53"/>
  <c r="A70" i="53" s="1"/>
  <c r="A71" i="53" s="1"/>
  <c r="A72" i="53" s="1"/>
  <c r="A73" i="53" s="1"/>
  <c r="K133" i="54" l="1"/>
  <c r="J134" i="54"/>
  <c r="K396" i="54"/>
  <c r="J397" i="54"/>
  <c r="K297" i="54"/>
  <c r="J298" i="54"/>
  <c r="K231" i="54"/>
  <c r="J232" i="54"/>
  <c r="K99" i="54"/>
  <c r="J100" i="54"/>
  <c r="J167" i="54"/>
  <c r="K166" i="54"/>
  <c r="J265" i="54"/>
  <c r="K264" i="54"/>
  <c r="K429" i="54"/>
  <c r="J430" i="54"/>
  <c r="K363" i="54"/>
  <c r="J364" i="54"/>
  <c r="K197" i="54"/>
  <c r="K64" i="54" s="1"/>
  <c r="J198" i="54"/>
  <c r="J65" i="54" s="1"/>
  <c r="J331" i="54"/>
  <c r="K330" i="54"/>
  <c r="G73" i="53"/>
  <c r="G72" i="53"/>
  <c r="K331" i="54" l="1"/>
  <c r="J332" i="54"/>
  <c r="J266" i="54"/>
  <c r="K265" i="54"/>
  <c r="J168" i="54"/>
  <c r="K167" i="54"/>
  <c r="J398" i="54"/>
  <c r="K397" i="54"/>
  <c r="K364" i="54"/>
  <c r="J365" i="54"/>
  <c r="J101" i="54"/>
  <c r="K100" i="54"/>
  <c r="J66" i="54"/>
  <c r="K298" i="54"/>
  <c r="J299" i="54"/>
  <c r="K430" i="54"/>
  <c r="J431" i="54"/>
  <c r="K134" i="54"/>
  <c r="J135" i="54"/>
  <c r="J199" i="54"/>
  <c r="K198" i="54"/>
  <c r="K65" i="54" s="1"/>
  <c r="K232" i="54"/>
  <c r="J233" i="54"/>
  <c r="K398" i="54" l="1"/>
  <c r="J399" i="54"/>
  <c r="K168" i="54"/>
  <c r="J169" i="54"/>
  <c r="J300" i="54"/>
  <c r="K299" i="54"/>
  <c r="J102" i="54"/>
  <c r="K101" i="54"/>
  <c r="K199" i="54"/>
  <c r="J200" i="54"/>
  <c r="J67" i="54" s="1"/>
  <c r="J136" i="54"/>
  <c r="K135" i="54"/>
  <c r="J366" i="54"/>
  <c r="K365" i="54"/>
  <c r="K266" i="54"/>
  <c r="J267" i="54"/>
  <c r="K431" i="54"/>
  <c r="J432" i="54"/>
  <c r="K332" i="54"/>
  <c r="J333" i="54"/>
  <c r="J234" i="54"/>
  <c r="K233" i="54"/>
  <c r="J268" i="54" l="1"/>
  <c r="K267" i="54"/>
  <c r="K300" i="54"/>
  <c r="J301" i="54"/>
  <c r="K169" i="54"/>
  <c r="J170" i="54"/>
  <c r="J235" i="54"/>
  <c r="K234" i="54"/>
  <c r="K333" i="54"/>
  <c r="J334" i="54"/>
  <c r="J367" i="54"/>
  <c r="K366" i="54"/>
  <c r="K102" i="54"/>
  <c r="J103" i="54"/>
  <c r="K399" i="54"/>
  <c r="J400" i="54"/>
  <c r="J433" i="54"/>
  <c r="K432" i="54"/>
  <c r="K136" i="54"/>
  <c r="J137" i="54"/>
  <c r="K66" i="54"/>
  <c r="K200" i="54"/>
  <c r="J201" i="54"/>
  <c r="K433" i="54" l="1"/>
  <c r="J434" i="54"/>
  <c r="K367" i="54"/>
  <c r="J368" i="54"/>
  <c r="K301" i="54"/>
  <c r="J302" i="54"/>
  <c r="K400" i="54"/>
  <c r="J401" i="54"/>
  <c r="K67" i="54"/>
  <c r="J335" i="54"/>
  <c r="K334" i="54"/>
  <c r="J269" i="54"/>
  <c r="K268" i="54"/>
  <c r="K201" i="54"/>
  <c r="J202" i="54"/>
  <c r="J68" i="54"/>
  <c r="K137" i="54"/>
  <c r="J138" i="54"/>
  <c r="K103" i="54"/>
  <c r="J69" i="54"/>
  <c r="J104" i="54"/>
  <c r="K235" i="54"/>
  <c r="J236" i="54"/>
  <c r="J171" i="54"/>
  <c r="K170" i="54"/>
  <c r="K68" i="54"/>
  <c r="K138" i="54" l="1"/>
  <c r="J139" i="54"/>
  <c r="J172" i="54"/>
  <c r="K171" i="54"/>
  <c r="K236" i="54"/>
  <c r="J237" i="54"/>
  <c r="K368" i="54"/>
  <c r="J369" i="54"/>
  <c r="J203" i="54"/>
  <c r="K202" i="54"/>
  <c r="K335" i="54"/>
  <c r="J336" i="54"/>
  <c r="K434" i="54"/>
  <c r="J435" i="54"/>
  <c r="J105" i="54"/>
  <c r="J70" i="54"/>
  <c r="K104" i="54"/>
  <c r="J402" i="54"/>
  <c r="K401" i="54"/>
  <c r="K69" i="54"/>
  <c r="K269" i="54"/>
  <c r="J270" i="54"/>
  <c r="K302" i="54"/>
  <c r="J303" i="54"/>
  <c r="K172" i="54" l="1"/>
  <c r="J173" i="54"/>
  <c r="K203" i="54"/>
  <c r="K70" i="54" s="1"/>
  <c r="J204" i="54"/>
  <c r="J71" i="54" s="1"/>
  <c r="K402" i="54"/>
  <c r="J403" i="54"/>
  <c r="J304" i="54"/>
  <c r="K303" i="54"/>
  <c r="J370" i="54"/>
  <c r="K369" i="54"/>
  <c r="J140" i="54"/>
  <c r="K139" i="54"/>
  <c r="K105" i="54"/>
  <c r="J106" i="54"/>
  <c r="K336" i="54"/>
  <c r="J337" i="54"/>
  <c r="J271" i="54"/>
  <c r="K270" i="54"/>
  <c r="K435" i="54"/>
  <c r="J436" i="54"/>
  <c r="J238" i="54"/>
  <c r="K237" i="54"/>
  <c r="J371" i="54" l="1"/>
  <c r="K370" i="54"/>
  <c r="J107" i="54"/>
  <c r="K106" i="54"/>
  <c r="K304" i="54"/>
  <c r="J305" i="54"/>
  <c r="J272" i="54"/>
  <c r="K271" i="54"/>
  <c r="J239" i="54"/>
  <c r="K238" i="54"/>
  <c r="K403" i="54"/>
  <c r="J404" i="54"/>
  <c r="K204" i="54"/>
  <c r="K71" i="54" s="1"/>
  <c r="J205" i="54"/>
  <c r="J437" i="54"/>
  <c r="K436" i="54"/>
  <c r="K173" i="54"/>
  <c r="J174" i="54"/>
  <c r="K337" i="54"/>
  <c r="J338" i="54"/>
  <c r="K140" i="54"/>
  <c r="J141" i="54"/>
  <c r="K437" i="54" l="1"/>
  <c r="J438" i="54"/>
  <c r="J273" i="54"/>
  <c r="K272" i="54"/>
  <c r="J339" i="54"/>
  <c r="K338" i="54"/>
  <c r="K404" i="54"/>
  <c r="J405" i="54"/>
  <c r="K107" i="54"/>
  <c r="J108" i="54"/>
  <c r="K205" i="54"/>
  <c r="K72" i="54" s="1"/>
  <c r="J206" i="54"/>
  <c r="K239" i="54"/>
  <c r="J240" i="54"/>
  <c r="K141" i="54"/>
  <c r="J142" i="54"/>
  <c r="K305" i="54"/>
  <c r="J306" i="54"/>
  <c r="J175" i="54"/>
  <c r="K174" i="54"/>
  <c r="J72" i="54"/>
  <c r="K371" i="54"/>
  <c r="J372" i="54"/>
  <c r="K273" i="54" l="1"/>
  <c r="J274" i="54"/>
  <c r="J207" i="54"/>
  <c r="K206" i="54"/>
  <c r="J176" i="54"/>
  <c r="K175" i="54"/>
  <c r="K306" i="54"/>
  <c r="J307" i="54"/>
  <c r="J109" i="54"/>
  <c r="K108" i="54"/>
  <c r="J74" i="54"/>
  <c r="K142" i="54"/>
  <c r="J143" i="54"/>
  <c r="K73" i="54"/>
  <c r="K339" i="54"/>
  <c r="J340" i="54"/>
  <c r="J73" i="54"/>
  <c r="K372" i="54"/>
  <c r="J373" i="54"/>
  <c r="J406" i="54"/>
  <c r="K405" i="54"/>
  <c r="K438" i="54"/>
  <c r="J439" i="54"/>
  <c r="K240" i="54"/>
  <c r="J241" i="54"/>
  <c r="K439" i="54" l="1"/>
  <c r="J440" i="54"/>
  <c r="K176" i="54"/>
  <c r="J177" i="54"/>
  <c r="K406" i="54"/>
  <c r="J407" i="54"/>
  <c r="K340" i="54"/>
  <c r="J341" i="54"/>
  <c r="J374" i="54"/>
  <c r="K373" i="54"/>
  <c r="K207" i="54"/>
  <c r="K74" i="54" s="1"/>
  <c r="J208" i="54"/>
  <c r="J308" i="54"/>
  <c r="K307" i="54"/>
  <c r="J144" i="54"/>
  <c r="K143" i="54"/>
  <c r="J275" i="54"/>
  <c r="K274" i="54"/>
  <c r="J242" i="54"/>
  <c r="K241" i="54"/>
  <c r="J75" i="54"/>
  <c r="J110" i="54"/>
  <c r="K109" i="54"/>
  <c r="J111" i="54" l="1"/>
  <c r="K110" i="54"/>
  <c r="K144" i="54"/>
  <c r="J145" i="54"/>
  <c r="K145" i="54" s="1"/>
  <c r="K146" i="54" s="1"/>
  <c r="K177" i="54"/>
  <c r="J178" i="54"/>
  <c r="K178" i="54" s="1"/>
  <c r="K179" i="54" s="1"/>
  <c r="K341" i="54"/>
  <c r="J342" i="54"/>
  <c r="K407" i="54"/>
  <c r="J408" i="54"/>
  <c r="K308" i="54"/>
  <c r="J309" i="54"/>
  <c r="K208" i="54"/>
  <c r="J209" i="54"/>
  <c r="J276" i="54"/>
  <c r="K275" i="54"/>
  <c r="J441" i="54"/>
  <c r="K440" i="54"/>
  <c r="J243" i="54"/>
  <c r="K242" i="54"/>
  <c r="K75" i="54"/>
  <c r="J375" i="54"/>
  <c r="K374" i="54"/>
  <c r="K209" i="54" l="1"/>
  <c r="J210" i="54"/>
  <c r="J277" i="54"/>
  <c r="K277" i="54" s="1"/>
  <c r="K276" i="54"/>
  <c r="K243" i="54"/>
  <c r="J244" i="54"/>
  <c r="K244" i="54" s="1"/>
  <c r="K245" i="54" s="1"/>
  <c r="K375" i="54"/>
  <c r="J376" i="54"/>
  <c r="K376" i="54" s="1"/>
  <c r="K377" i="54" s="1"/>
  <c r="K408" i="54"/>
  <c r="J409" i="54"/>
  <c r="K409" i="54" s="1"/>
  <c r="K410" i="54" s="1"/>
  <c r="J76" i="54"/>
  <c r="K76" i="54"/>
  <c r="K309" i="54"/>
  <c r="J310" i="54"/>
  <c r="K310" i="54" s="1"/>
  <c r="K311" i="54" s="1"/>
  <c r="K441" i="54"/>
  <c r="J442" i="54"/>
  <c r="K442" i="54" s="1"/>
  <c r="K443" i="54" s="1"/>
  <c r="J343" i="54"/>
  <c r="K343" i="54" s="1"/>
  <c r="K342" i="54"/>
  <c r="J112" i="54"/>
  <c r="K111" i="54"/>
  <c r="J77" i="54"/>
  <c r="K278" i="54" l="1"/>
  <c r="J211" i="54"/>
  <c r="K211" i="54" s="1"/>
  <c r="K212" i="54" s="1"/>
  <c r="K210" i="54"/>
  <c r="K77" i="54"/>
  <c r="K112" i="54"/>
  <c r="J78" i="54"/>
  <c r="K344" i="54"/>
  <c r="K78" i="54" l="1"/>
  <c r="K79" i="54" s="1"/>
  <c r="K113" i="54"/>
  <c r="F434" i="52" l="1"/>
  <c r="F433" i="52"/>
  <c r="F432" i="52"/>
  <c r="F431" i="52"/>
  <c r="F430" i="52"/>
  <c r="F429" i="52"/>
  <c r="F428" i="52"/>
  <c r="F427" i="52"/>
  <c r="F426" i="52"/>
  <c r="F425" i="52"/>
  <c r="F424" i="52"/>
  <c r="F423" i="52"/>
  <c r="F422" i="52"/>
  <c r="F421" i="52"/>
  <c r="F420" i="52"/>
  <c r="F419" i="52"/>
  <c r="F418" i="52"/>
  <c r="F417" i="52"/>
  <c r="F416" i="52"/>
  <c r="F415" i="52"/>
  <c r="F414" i="52"/>
  <c r="F413" i="52"/>
  <c r="F412" i="52"/>
  <c r="F411" i="52"/>
  <c r="J411" i="52" s="1"/>
  <c r="K409" i="52"/>
  <c r="J409" i="52"/>
  <c r="I409" i="52"/>
  <c r="H409" i="52"/>
  <c r="F409" i="52"/>
  <c r="E409" i="52"/>
  <c r="D409" i="52"/>
  <c r="K408" i="52"/>
  <c r="J408" i="52"/>
  <c r="I408" i="52"/>
  <c r="H408" i="52"/>
  <c r="F408" i="52"/>
  <c r="E408" i="52"/>
  <c r="D408" i="52"/>
  <c r="F401" i="52"/>
  <c r="F400" i="52"/>
  <c r="F399" i="52"/>
  <c r="F398" i="52"/>
  <c r="F397" i="52"/>
  <c r="F396" i="52"/>
  <c r="F395" i="52"/>
  <c r="F394" i="52"/>
  <c r="F393" i="52"/>
  <c r="F392" i="52"/>
  <c r="F391" i="52"/>
  <c r="F390" i="52"/>
  <c r="F389" i="52"/>
  <c r="F388" i="52"/>
  <c r="F387" i="52"/>
  <c r="F386" i="52"/>
  <c r="F385" i="52"/>
  <c r="F384" i="52"/>
  <c r="F383" i="52"/>
  <c r="F382" i="52"/>
  <c r="F381" i="52"/>
  <c r="F380" i="52"/>
  <c r="F379" i="52"/>
  <c r="F378" i="52"/>
  <c r="J378" i="52" s="1"/>
  <c r="K376" i="52"/>
  <c r="J376" i="52"/>
  <c r="I376" i="52"/>
  <c r="H376" i="52"/>
  <c r="G376" i="52"/>
  <c r="F376" i="52"/>
  <c r="E376" i="52"/>
  <c r="D376" i="52"/>
  <c r="K375" i="52"/>
  <c r="J375" i="52"/>
  <c r="I375" i="52"/>
  <c r="H375" i="52"/>
  <c r="G375" i="52"/>
  <c r="F375" i="52"/>
  <c r="E375" i="52"/>
  <c r="D375" i="52"/>
  <c r="G374" i="52"/>
  <c r="F368" i="52"/>
  <c r="F367" i="52"/>
  <c r="F366" i="52"/>
  <c r="F365" i="52"/>
  <c r="F364" i="52"/>
  <c r="F363" i="52"/>
  <c r="F362" i="52"/>
  <c r="F361" i="52"/>
  <c r="F360" i="52"/>
  <c r="F359" i="52"/>
  <c r="F358" i="52"/>
  <c r="F357" i="52"/>
  <c r="F356" i="52"/>
  <c r="F355" i="52"/>
  <c r="F354" i="52"/>
  <c r="E63" i="52"/>
  <c r="F352" i="52"/>
  <c r="F351" i="52"/>
  <c r="F350" i="52"/>
  <c r="F349" i="52"/>
  <c r="F348" i="52"/>
  <c r="F347" i="52"/>
  <c r="F346" i="52"/>
  <c r="F345" i="52"/>
  <c r="K343" i="52"/>
  <c r="J343" i="52"/>
  <c r="I343" i="52"/>
  <c r="H343" i="52"/>
  <c r="G343" i="52"/>
  <c r="F343" i="52"/>
  <c r="E343" i="52"/>
  <c r="D343" i="52"/>
  <c r="K342" i="52"/>
  <c r="J342" i="52"/>
  <c r="I342" i="52"/>
  <c r="H342" i="52"/>
  <c r="G342" i="52"/>
  <c r="F342" i="52"/>
  <c r="E342" i="52"/>
  <c r="D342" i="52"/>
  <c r="G341" i="52"/>
  <c r="F337" i="52"/>
  <c r="F336" i="52"/>
  <c r="F335" i="52"/>
  <c r="F334" i="52"/>
  <c r="F333" i="52"/>
  <c r="F332" i="52"/>
  <c r="F331" i="52"/>
  <c r="F330" i="52"/>
  <c r="F329" i="52"/>
  <c r="F328" i="52"/>
  <c r="F327" i="52"/>
  <c r="F326" i="52"/>
  <c r="F325" i="52"/>
  <c r="F324" i="52"/>
  <c r="F323" i="52"/>
  <c r="F322" i="52"/>
  <c r="F321" i="52"/>
  <c r="F320" i="52"/>
  <c r="F319" i="52"/>
  <c r="F318" i="52"/>
  <c r="F317" i="52"/>
  <c r="F316" i="52"/>
  <c r="F315" i="52"/>
  <c r="F314" i="52"/>
  <c r="K312" i="52"/>
  <c r="J312" i="52"/>
  <c r="I312" i="52"/>
  <c r="H312" i="52"/>
  <c r="G312" i="52"/>
  <c r="F312" i="52"/>
  <c r="E312" i="52"/>
  <c r="D312" i="52"/>
  <c r="K311" i="52"/>
  <c r="J311" i="52"/>
  <c r="I311" i="52"/>
  <c r="H311" i="52"/>
  <c r="G311" i="52"/>
  <c r="F311" i="52"/>
  <c r="E311" i="52"/>
  <c r="D311" i="52"/>
  <c r="G310" i="52"/>
  <c r="F304" i="52"/>
  <c r="F303" i="52"/>
  <c r="F302" i="52"/>
  <c r="E75" i="52"/>
  <c r="F300" i="52"/>
  <c r="F299" i="52"/>
  <c r="F298" i="52"/>
  <c r="F297" i="52"/>
  <c r="F296" i="52"/>
  <c r="F295" i="52"/>
  <c r="F294" i="52"/>
  <c r="E67" i="52"/>
  <c r="F292" i="52"/>
  <c r="F291" i="52"/>
  <c r="F290" i="52"/>
  <c r="F289" i="52"/>
  <c r="F288" i="52"/>
  <c r="F287" i="52"/>
  <c r="F286" i="52"/>
  <c r="F285" i="52"/>
  <c r="F284" i="52"/>
  <c r="F283" i="52"/>
  <c r="F282" i="52"/>
  <c r="F281" i="52"/>
  <c r="J281" i="52" s="1"/>
  <c r="J280" i="52"/>
  <c r="K279" i="52"/>
  <c r="J279" i="52"/>
  <c r="I279" i="52"/>
  <c r="H279" i="52"/>
  <c r="G279" i="52"/>
  <c r="F279" i="52"/>
  <c r="E279" i="52"/>
  <c r="D279" i="52"/>
  <c r="K278" i="52"/>
  <c r="J278" i="52"/>
  <c r="I278" i="52"/>
  <c r="H278" i="52"/>
  <c r="G278" i="52"/>
  <c r="F278" i="52"/>
  <c r="E278" i="52"/>
  <c r="D278" i="52"/>
  <c r="G277" i="52"/>
  <c r="I78" i="52"/>
  <c r="F273" i="52"/>
  <c r="F272" i="52"/>
  <c r="F271" i="52"/>
  <c r="F270" i="52"/>
  <c r="F269" i="52"/>
  <c r="F268" i="52"/>
  <c r="F267" i="52"/>
  <c r="F266" i="52"/>
  <c r="F265" i="52"/>
  <c r="F264" i="52"/>
  <c r="F263" i="52"/>
  <c r="F262" i="52"/>
  <c r="F261" i="52"/>
  <c r="F260" i="52"/>
  <c r="F259" i="52"/>
  <c r="F258" i="52"/>
  <c r="F257" i="52"/>
  <c r="F256" i="52"/>
  <c r="F255" i="52"/>
  <c r="F254" i="52"/>
  <c r="F253" i="52"/>
  <c r="F252" i="52"/>
  <c r="F251" i="52"/>
  <c r="F250" i="52"/>
  <c r="J249" i="52"/>
  <c r="K248" i="52"/>
  <c r="J248" i="52"/>
  <c r="I248" i="52"/>
  <c r="H248" i="52"/>
  <c r="F248" i="52"/>
  <c r="E248" i="52"/>
  <c r="D248" i="52"/>
  <c r="K247" i="52"/>
  <c r="J247" i="52"/>
  <c r="I247" i="52"/>
  <c r="H247" i="52"/>
  <c r="F247" i="52"/>
  <c r="E247" i="52"/>
  <c r="D247" i="52"/>
  <c r="F240" i="52"/>
  <c r="F239" i="52"/>
  <c r="F238" i="52"/>
  <c r="F237" i="52"/>
  <c r="F236" i="52"/>
  <c r="F235" i="52"/>
  <c r="F234" i="52"/>
  <c r="F233" i="52"/>
  <c r="F232" i="52"/>
  <c r="F231" i="52"/>
  <c r="F230" i="52"/>
  <c r="F229" i="52"/>
  <c r="F228" i="52"/>
  <c r="F227" i="52"/>
  <c r="F226" i="52"/>
  <c r="F225" i="52"/>
  <c r="F224" i="52"/>
  <c r="F223" i="52"/>
  <c r="F222" i="52"/>
  <c r="F221" i="52"/>
  <c r="F220" i="52"/>
  <c r="F219" i="52"/>
  <c r="F218" i="52"/>
  <c r="F217" i="52"/>
  <c r="J216" i="52"/>
  <c r="K215" i="52"/>
  <c r="J215" i="52"/>
  <c r="I215" i="52"/>
  <c r="H215" i="52"/>
  <c r="G215" i="52"/>
  <c r="F215" i="52"/>
  <c r="E215" i="52"/>
  <c r="D215" i="52"/>
  <c r="K214" i="52"/>
  <c r="J214" i="52"/>
  <c r="I214" i="52"/>
  <c r="H214" i="52"/>
  <c r="G214" i="52"/>
  <c r="F214" i="52"/>
  <c r="E214" i="52"/>
  <c r="D214" i="52"/>
  <c r="G213" i="52"/>
  <c r="F209" i="52"/>
  <c r="F208" i="52"/>
  <c r="F207" i="52"/>
  <c r="F206" i="52"/>
  <c r="F205" i="52"/>
  <c r="F204" i="52"/>
  <c r="F203" i="52"/>
  <c r="F202" i="52"/>
  <c r="F201" i="52"/>
  <c r="F200" i="52"/>
  <c r="F199" i="52"/>
  <c r="F198" i="52"/>
  <c r="F197" i="52"/>
  <c r="F196" i="52"/>
  <c r="F195" i="52"/>
  <c r="F194" i="52"/>
  <c r="F193" i="52"/>
  <c r="F192" i="52"/>
  <c r="F191" i="52"/>
  <c r="F190" i="52"/>
  <c r="F189" i="52"/>
  <c r="F188" i="52"/>
  <c r="F187" i="52"/>
  <c r="F186" i="52"/>
  <c r="J186" i="52" s="1"/>
  <c r="K186" i="52" s="1"/>
  <c r="J185" i="52"/>
  <c r="K184" i="52"/>
  <c r="J184" i="52"/>
  <c r="I184" i="52"/>
  <c r="H184" i="52"/>
  <c r="G184" i="52"/>
  <c r="F184" i="52"/>
  <c r="E184" i="52"/>
  <c r="D184" i="52"/>
  <c r="K183" i="52"/>
  <c r="J183" i="52"/>
  <c r="I183" i="52"/>
  <c r="H183" i="52"/>
  <c r="G183" i="52"/>
  <c r="F183" i="52"/>
  <c r="E183" i="52"/>
  <c r="D183" i="52"/>
  <c r="G182" i="52"/>
  <c r="F176" i="52"/>
  <c r="F175" i="52"/>
  <c r="F174" i="52"/>
  <c r="F173" i="52"/>
  <c r="F172" i="52"/>
  <c r="F171" i="52"/>
  <c r="F170" i="52"/>
  <c r="F169" i="52"/>
  <c r="F168" i="52"/>
  <c r="F167" i="52"/>
  <c r="F166" i="52"/>
  <c r="F165" i="52"/>
  <c r="F164" i="52"/>
  <c r="E65" i="52"/>
  <c r="F162" i="52"/>
  <c r="F161" i="52"/>
  <c r="F160" i="52"/>
  <c r="I61" i="52"/>
  <c r="F159" i="52"/>
  <c r="F158" i="52"/>
  <c r="F157" i="52"/>
  <c r="I58" i="52"/>
  <c r="F156" i="52"/>
  <c r="F155" i="52"/>
  <c r="F154" i="52"/>
  <c r="F153" i="52"/>
  <c r="J152" i="52"/>
  <c r="K151" i="52"/>
  <c r="J151" i="52"/>
  <c r="I151" i="52"/>
  <c r="H151" i="52"/>
  <c r="G151" i="52"/>
  <c r="F151" i="52"/>
  <c r="E151" i="52"/>
  <c r="D151" i="52"/>
  <c r="K150" i="52"/>
  <c r="J150" i="52"/>
  <c r="I150" i="52"/>
  <c r="H150" i="52"/>
  <c r="G150" i="52"/>
  <c r="F150" i="52"/>
  <c r="E150" i="52"/>
  <c r="D150" i="52"/>
  <c r="G149" i="52"/>
  <c r="F145" i="52"/>
  <c r="I77" i="52"/>
  <c r="F144" i="52"/>
  <c r="F143" i="52"/>
  <c r="F142" i="52"/>
  <c r="F141" i="52"/>
  <c r="F140" i="52"/>
  <c r="F139" i="52"/>
  <c r="F138" i="52"/>
  <c r="I70" i="52"/>
  <c r="F137" i="52"/>
  <c r="F136" i="52"/>
  <c r="F135" i="52"/>
  <c r="F134" i="52"/>
  <c r="F133" i="52"/>
  <c r="F132" i="52"/>
  <c r="F131" i="52"/>
  <c r="F130" i="52"/>
  <c r="F129" i="52"/>
  <c r="F128" i="52"/>
  <c r="F127" i="52"/>
  <c r="F126" i="52"/>
  <c r="F125" i="52"/>
  <c r="F124" i="52"/>
  <c r="F57" i="52" s="1"/>
  <c r="F123" i="52"/>
  <c r="F122" i="52"/>
  <c r="J122" i="52" s="1"/>
  <c r="K122" i="52" s="1"/>
  <c r="J121" i="52"/>
  <c r="K120" i="52"/>
  <c r="J120" i="52"/>
  <c r="I120" i="52"/>
  <c r="H120" i="52"/>
  <c r="G120" i="52"/>
  <c r="F120" i="52"/>
  <c r="E120" i="52"/>
  <c r="D120" i="52"/>
  <c r="K119" i="52"/>
  <c r="J119" i="52"/>
  <c r="I119" i="52"/>
  <c r="H119" i="52"/>
  <c r="G119" i="52"/>
  <c r="F119" i="52"/>
  <c r="E119" i="52"/>
  <c r="D119" i="52"/>
  <c r="G118" i="52"/>
  <c r="F112" i="52"/>
  <c r="F111" i="52"/>
  <c r="F110" i="52"/>
  <c r="I75" i="52"/>
  <c r="F109" i="52"/>
  <c r="I74" i="52"/>
  <c r="F108" i="52"/>
  <c r="F74" i="52" s="1"/>
  <c r="F107" i="52"/>
  <c r="I72" i="52"/>
  <c r="F106" i="52"/>
  <c r="I71" i="52"/>
  <c r="F104" i="52"/>
  <c r="F103" i="52"/>
  <c r="E68" i="52"/>
  <c r="F101" i="52"/>
  <c r="I66" i="52"/>
  <c r="F100" i="52"/>
  <c r="I65" i="52"/>
  <c r="F99" i="52"/>
  <c r="E64" i="52"/>
  <c r="I63" i="52"/>
  <c r="F97" i="52"/>
  <c r="I62" i="52"/>
  <c r="F96" i="52"/>
  <c r="F95" i="52"/>
  <c r="F94" i="52"/>
  <c r="F93" i="52"/>
  <c r="F92" i="52"/>
  <c r="I57" i="52"/>
  <c r="F91" i="52"/>
  <c r="J89" i="52"/>
  <c r="F89" i="52"/>
  <c r="J88" i="52"/>
  <c r="K87" i="52"/>
  <c r="J87" i="52"/>
  <c r="I87" i="52"/>
  <c r="H87" i="52"/>
  <c r="G87" i="52"/>
  <c r="G409" i="52" s="1"/>
  <c r="F87" i="52"/>
  <c r="E87" i="52"/>
  <c r="D87" i="52"/>
  <c r="K86" i="52"/>
  <c r="J86" i="52"/>
  <c r="I86" i="52"/>
  <c r="H86" i="52"/>
  <c r="G86" i="52"/>
  <c r="G408" i="52" s="1"/>
  <c r="F86" i="52"/>
  <c r="E86" i="52"/>
  <c r="D86" i="52"/>
  <c r="G85" i="52"/>
  <c r="G407" i="52" s="1"/>
  <c r="H78" i="52"/>
  <c r="G78" i="52"/>
  <c r="D78" i="52"/>
  <c r="H77" i="52"/>
  <c r="G77" i="52"/>
  <c r="D77" i="52"/>
  <c r="H76" i="52"/>
  <c r="G76" i="52"/>
  <c r="D76" i="52"/>
  <c r="H75" i="52"/>
  <c r="G75" i="52"/>
  <c r="D75" i="52"/>
  <c r="H74" i="52"/>
  <c r="G74" i="52"/>
  <c r="E74" i="52"/>
  <c r="D74" i="52"/>
  <c r="H73" i="52"/>
  <c r="G73" i="52"/>
  <c r="D73" i="52"/>
  <c r="H72" i="52"/>
  <c r="G72" i="52"/>
  <c r="D72" i="52"/>
  <c r="H71" i="52"/>
  <c r="G71" i="52"/>
  <c r="D71" i="52"/>
  <c r="H70" i="52"/>
  <c r="G70" i="52"/>
  <c r="D70" i="52"/>
  <c r="H69" i="52"/>
  <c r="G69" i="52"/>
  <c r="E69" i="52"/>
  <c r="D69" i="52"/>
  <c r="H68" i="52"/>
  <c r="G68" i="52"/>
  <c r="D68" i="52"/>
  <c r="H67" i="52"/>
  <c r="G67" i="52"/>
  <c r="D67" i="52"/>
  <c r="H66" i="52"/>
  <c r="G66" i="52"/>
  <c r="D66" i="52"/>
  <c r="H65" i="52"/>
  <c r="G65" i="52"/>
  <c r="D65" i="52"/>
  <c r="H64" i="52"/>
  <c r="G64" i="52"/>
  <c r="D64" i="52"/>
  <c r="H63" i="52"/>
  <c r="G63" i="52"/>
  <c r="D63" i="52"/>
  <c r="H62" i="52"/>
  <c r="G62" i="52"/>
  <c r="D62" i="52"/>
  <c r="H61" i="52"/>
  <c r="G61" i="52"/>
  <c r="D61" i="52"/>
  <c r="H60" i="52"/>
  <c r="G60" i="52"/>
  <c r="D60" i="52"/>
  <c r="I59" i="52"/>
  <c r="H59" i="52"/>
  <c r="G59" i="52"/>
  <c r="D59" i="52"/>
  <c r="H58" i="52"/>
  <c r="G58" i="52"/>
  <c r="D58" i="52"/>
  <c r="H57" i="52"/>
  <c r="G57" i="52"/>
  <c r="D57" i="52"/>
  <c r="H56" i="52"/>
  <c r="G56" i="52"/>
  <c r="D56" i="52"/>
  <c r="H55" i="52"/>
  <c r="G55" i="52"/>
  <c r="E55" i="52"/>
  <c r="D55" i="52"/>
  <c r="H46" i="52"/>
  <c r="E46" i="52"/>
  <c r="D46" i="52"/>
  <c r="H45" i="52"/>
  <c r="G45" i="52"/>
  <c r="J344" i="52" s="1"/>
  <c r="F45" i="52"/>
  <c r="J313" i="52" s="1"/>
  <c r="J314" i="52" s="1"/>
  <c r="H44" i="52"/>
  <c r="G44" i="52"/>
  <c r="F44" i="52"/>
  <c r="D24" i="52" s="1"/>
  <c r="H43" i="52"/>
  <c r="G43" i="52"/>
  <c r="F43" i="52"/>
  <c r="D23" i="52" s="1"/>
  <c r="H42" i="52"/>
  <c r="G42" i="52"/>
  <c r="F42" i="52"/>
  <c r="D22" i="52" s="1"/>
  <c r="H41" i="52"/>
  <c r="G41" i="52"/>
  <c r="F41" i="52"/>
  <c r="D21" i="52" s="1"/>
  <c r="H40" i="52"/>
  <c r="G40" i="52"/>
  <c r="F40" i="52"/>
  <c r="D20" i="52" s="1"/>
  <c r="H39" i="52"/>
  <c r="G39" i="52"/>
  <c r="F39" i="52"/>
  <c r="D19" i="52" s="1"/>
  <c r="H38" i="52"/>
  <c r="G38" i="52"/>
  <c r="F38" i="52"/>
  <c r="D18" i="52" s="1"/>
  <c r="H37" i="52"/>
  <c r="G37" i="52"/>
  <c r="F37" i="52"/>
  <c r="D17" i="52" s="1"/>
  <c r="H36" i="52"/>
  <c r="G36" i="52"/>
  <c r="F36" i="52"/>
  <c r="D16" i="52" s="1"/>
  <c r="H35" i="52"/>
  <c r="G35" i="52"/>
  <c r="F35" i="52"/>
  <c r="D15" i="52" s="1"/>
  <c r="H34" i="52"/>
  <c r="G34" i="52"/>
  <c r="F34" i="52"/>
  <c r="D14" i="52" s="1"/>
  <c r="H33" i="52"/>
  <c r="G33" i="52"/>
  <c r="G46" i="52" s="1"/>
  <c r="F33" i="52"/>
  <c r="D13" i="52" s="1"/>
  <c r="I26" i="52"/>
  <c r="H26" i="52"/>
  <c r="G26" i="52"/>
  <c r="F26" i="52"/>
  <c r="E26" i="52"/>
  <c r="A14" i="52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A272" i="52" s="1"/>
  <c r="A273" i="52" s="1"/>
  <c r="A274" i="52" s="1"/>
  <c r="A280" i="52" s="1"/>
  <c r="A281" i="52" s="1"/>
  <c r="A282" i="52" s="1"/>
  <c r="A283" i="52" s="1"/>
  <c r="A284" i="52" s="1"/>
  <c r="A285" i="52" s="1"/>
  <c r="A286" i="52" s="1"/>
  <c r="A287" i="52" s="1"/>
  <c r="A288" i="52" s="1"/>
  <c r="A289" i="52" s="1"/>
  <c r="A290" i="52" s="1"/>
  <c r="A291" i="52" s="1"/>
  <c r="A292" i="52" s="1"/>
  <c r="A293" i="52" s="1"/>
  <c r="A294" i="52" s="1"/>
  <c r="A295" i="52" s="1"/>
  <c r="A296" i="52" s="1"/>
  <c r="A297" i="52" s="1"/>
  <c r="A298" i="52" s="1"/>
  <c r="A299" i="52" s="1"/>
  <c r="A300" i="52" s="1"/>
  <c r="A301" i="52" s="1"/>
  <c r="A302" i="52" s="1"/>
  <c r="A303" i="52" s="1"/>
  <c r="A304" i="52" s="1"/>
  <c r="A305" i="52" s="1"/>
  <c r="A313" i="52" s="1"/>
  <c r="A314" i="52" s="1"/>
  <c r="A315" i="52" s="1"/>
  <c r="A316" i="52" s="1"/>
  <c r="A317" i="52" s="1"/>
  <c r="A318" i="52" s="1"/>
  <c r="A319" i="52" s="1"/>
  <c r="A320" i="52" s="1"/>
  <c r="A321" i="52" s="1"/>
  <c r="A322" i="52" s="1"/>
  <c r="A323" i="52" s="1"/>
  <c r="A324" i="52" s="1"/>
  <c r="A325" i="52" s="1"/>
  <c r="A326" i="52" s="1"/>
  <c r="A327" i="52" s="1"/>
  <c r="A328" i="52" s="1"/>
  <c r="A329" i="52" s="1"/>
  <c r="A330" i="52" s="1"/>
  <c r="A331" i="52" s="1"/>
  <c r="A332" i="52" s="1"/>
  <c r="A333" i="52" s="1"/>
  <c r="A334" i="52" s="1"/>
  <c r="A335" i="52" s="1"/>
  <c r="A336" i="52" s="1"/>
  <c r="A337" i="52" s="1"/>
  <c r="A338" i="52" s="1"/>
  <c r="A344" i="52" s="1"/>
  <c r="A345" i="52" s="1"/>
  <c r="A346" i="52" s="1"/>
  <c r="A347" i="52" s="1"/>
  <c r="A348" i="52" s="1"/>
  <c r="A349" i="52" s="1"/>
  <c r="A350" i="52" s="1"/>
  <c r="A351" i="52" s="1"/>
  <c r="A352" i="52" s="1"/>
  <c r="A353" i="52" s="1"/>
  <c r="A354" i="52" s="1"/>
  <c r="A355" i="52" s="1"/>
  <c r="A356" i="52" s="1"/>
  <c r="A357" i="52" s="1"/>
  <c r="A358" i="52" s="1"/>
  <c r="A359" i="52" s="1"/>
  <c r="A360" i="52" s="1"/>
  <c r="A361" i="52" s="1"/>
  <c r="A362" i="52" s="1"/>
  <c r="A363" i="52" s="1"/>
  <c r="A364" i="52" s="1"/>
  <c r="A365" i="52" s="1"/>
  <c r="A366" i="52" s="1"/>
  <c r="A367" i="52" s="1"/>
  <c r="A368" i="52" s="1"/>
  <c r="A369" i="52" s="1"/>
  <c r="A377" i="52" s="1"/>
  <c r="A378" i="52" s="1"/>
  <c r="A379" i="52" s="1"/>
  <c r="A380" i="52" s="1"/>
  <c r="A381" i="52" s="1"/>
  <c r="A382" i="52" s="1"/>
  <c r="A383" i="52" s="1"/>
  <c r="A384" i="52" s="1"/>
  <c r="A385" i="52" s="1"/>
  <c r="A386" i="52" s="1"/>
  <c r="A387" i="52" s="1"/>
  <c r="A388" i="52" s="1"/>
  <c r="A389" i="52" s="1"/>
  <c r="A390" i="52" s="1"/>
  <c r="A391" i="52" s="1"/>
  <c r="A392" i="52" s="1"/>
  <c r="A393" i="52" s="1"/>
  <c r="A394" i="52" s="1"/>
  <c r="A395" i="52" s="1"/>
  <c r="A396" i="52" s="1"/>
  <c r="A397" i="52" s="1"/>
  <c r="A398" i="52" s="1"/>
  <c r="A399" i="52" s="1"/>
  <c r="A400" i="52" s="1"/>
  <c r="A401" i="52" s="1"/>
  <c r="A402" i="52" s="1"/>
  <c r="A410" i="52" s="1"/>
  <c r="A411" i="52" s="1"/>
  <c r="A412" i="52" s="1"/>
  <c r="A413" i="52" s="1"/>
  <c r="A414" i="52" s="1"/>
  <c r="A415" i="52" s="1"/>
  <c r="A416" i="52" s="1"/>
  <c r="A417" i="52" s="1"/>
  <c r="A418" i="52" s="1"/>
  <c r="A419" i="52" s="1"/>
  <c r="A420" i="52" s="1"/>
  <c r="A421" i="52" s="1"/>
  <c r="A422" i="52" s="1"/>
  <c r="A423" i="52" s="1"/>
  <c r="A424" i="52" s="1"/>
  <c r="A425" i="52" s="1"/>
  <c r="A426" i="52" s="1"/>
  <c r="A427" i="52" s="1"/>
  <c r="A428" i="52" s="1"/>
  <c r="A429" i="52" s="1"/>
  <c r="A430" i="52" s="1"/>
  <c r="A431" i="52" s="1"/>
  <c r="A432" i="52" s="1"/>
  <c r="A433" i="52" s="1"/>
  <c r="A434" i="52" s="1"/>
  <c r="A435" i="52" s="1"/>
  <c r="F103" i="51"/>
  <c r="F98" i="51"/>
  <c r="E87" i="51"/>
  <c r="J86" i="51"/>
  <c r="J62" i="51"/>
  <c r="H42" i="51"/>
  <c r="H33" i="51"/>
  <c r="J21" i="51"/>
  <c r="A7" i="51"/>
  <c r="A8" i="51" s="1"/>
  <c r="A9" i="51" s="1"/>
  <c r="A12" i="51" s="1"/>
  <c r="K411" i="52" l="1"/>
  <c r="J412" i="52"/>
  <c r="F69" i="52"/>
  <c r="F72" i="52"/>
  <c r="F75" i="52"/>
  <c r="F163" i="52"/>
  <c r="J217" i="52"/>
  <c r="J218" i="52" s="1"/>
  <c r="F293" i="52"/>
  <c r="F301" i="52"/>
  <c r="F353" i="52"/>
  <c r="F78" i="52"/>
  <c r="E103" i="51"/>
  <c r="J42" i="51" s="1"/>
  <c r="E57" i="52"/>
  <c r="E61" i="52"/>
  <c r="F61" i="52"/>
  <c r="F65" i="52"/>
  <c r="J15" i="51"/>
  <c r="F58" i="52"/>
  <c r="J187" i="52"/>
  <c r="J188" i="52" s="1"/>
  <c r="F60" i="52"/>
  <c r="E73" i="52"/>
  <c r="F76" i="52"/>
  <c r="F73" i="52"/>
  <c r="I69" i="52"/>
  <c r="J345" i="52"/>
  <c r="F59" i="52"/>
  <c r="I73" i="52"/>
  <c r="I76" i="52"/>
  <c r="J153" i="52"/>
  <c r="E58" i="52"/>
  <c r="E56" i="52"/>
  <c r="F77" i="52"/>
  <c r="E62" i="52"/>
  <c r="E66" i="52"/>
  <c r="I56" i="52"/>
  <c r="F62" i="52"/>
  <c r="F66" i="52"/>
  <c r="K89" i="52"/>
  <c r="F46" i="52"/>
  <c r="D25" i="52"/>
  <c r="J54" i="52" s="1"/>
  <c r="I55" i="52"/>
  <c r="F90" i="52"/>
  <c r="F56" i="52" s="1"/>
  <c r="E60" i="52"/>
  <c r="I67" i="52"/>
  <c r="E71" i="52"/>
  <c r="F105" i="52"/>
  <c r="F71" i="52" s="1"/>
  <c r="K314" i="52"/>
  <c r="J315" i="52"/>
  <c r="K345" i="52"/>
  <c r="J346" i="52"/>
  <c r="E78" i="52"/>
  <c r="J413" i="52"/>
  <c r="K412" i="52"/>
  <c r="E77" i="52"/>
  <c r="I60" i="52"/>
  <c r="F98" i="52"/>
  <c r="F64" i="52" s="1"/>
  <c r="E59" i="52"/>
  <c r="I64" i="52"/>
  <c r="F102" i="52"/>
  <c r="F68" i="52" s="1"/>
  <c r="E72" i="52"/>
  <c r="E70" i="52"/>
  <c r="F55" i="52"/>
  <c r="I68" i="52"/>
  <c r="F70" i="52"/>
  <c r="E76" i="52"/>
  <c r="J123" i="52"/>
  <c r="F63" i="52"/>
  <c r="F67" i="52"/>
  <c r="K187" i="52"/>
  <c r="J250" i="52"/>
  <c r="K378" i="52"/>
  <c r="J379" i="52"/>
  <c r="J282" i="52"/>
  <c r="K281" i="52"/>
  <c r="A13" i="51"/>
  <c r="A14" i="51" s="1"/>
  <c r="A15" i="51" s="1"/>
  <c r="A18" i="51" s="1"/>
  <c r="H15" i="51"/>
  <c r="E98" i="51"/>
  <c r="J33" i="51" s="1"/>
  <c r="J29" i="51"/>
  <c r="J154" i="52" l="1"/>
  <c r="K153" i="52"/>
  <c r="K217" i="52"/>
  <c r="K188" i="52"/>
  <c r="J189" i="52"/>
  <c r="J219" i="52"/>
  <c r="K218" i="52"/>
  <c r="D26" i="52"/>
  <c r="K413" i="52"/>
  <c r="J414" i="52"/>
  <c r="K379" i="52"/>
  <c r="J380" i="52"/>
  <c r="J90" i="52"/>
  <c r="K250" i="52"/>
  <c r="K55" i="52" s="1"/>
  <c r="J251" i="52"/>
  <c r="K282" i="52"/>
  <c r="J283" i="52"/>
  <c r="J124" i="52"/>
  <c r="K123" i="52"/>
  <c r="J347" i="52"/>
  <c r="K346" i="52"/>
  <c r="J55" i="52"/>
  <c r="K315" i="52"/>
  <c r="J316" i="52"/>
  <c r="J41" i="51"/>
  <c r="J38" i="51"/>
  <c r="J56" i="51" s="1"/>
  <c r="J34" i="51"/>
  <c r="J55" i="51" s="1"/>
  <c r="J59" i="51" s="1"/>
  <c r="J64" i="51" s="1"/>
  <c r="E68" i="51" s="1"/>
  <c r="A19" i="51"/>
  <c r="A20" i="51" s="1"/>
  <c r="A21" i="51" s="1"/>
  <c r="K154" i="52" l="1"/>
  <c r="J155" i="52"/>
  <c r="J220" i="52"/>
  <c r="K219" i="52"/>
  <c r="K283" i="52"/>
  <c r="J284" i="52"/>
  <c r="K380" i="52"/>
  <c r="J381" i="52"/>
  <c r="K124" i="52"/>
  <c r="J125" i="52"/>
  <c r="J317" i="52"/>
  <c r="K316" i="52"/>
  <c r="K347" i="52"/>
  <c r="J348" i="52"/>
  <c r="K189" i="52"/>
  <c r="J190" i="52"/>
  <c r="K414" i="52"/>
  <c r="J415" i="52"/>
  <c r="J252" i="52"/>
  <c r="K251" i="52"/>
  <c r="J56" i="52"/>
  <c r="J91" i="52"/>
  <c r="K90" i="52"/>
  <c r="H21" i="51"/>
  <c r="E73" i="51"/>
  <c r="A23" i="51"/>
  <c r="H29" i="51"/>
  <c r="J70" i="51" l="1"/>
  <c r="J72" i="51" s="1"/>
  <c r="E6" i="5"/>
  <c r="K155" i="52"/>
  <c r="J156" i="52"/>
  <c r="K56" i="52"/>
  <c r="J253" i="52"/>
  <c r="K252" i="52"/>
  <c r="K415" i="52"/>
  <c r="J416" i="52"/>
  <c r="J126" i="52"/>
  <c r="K125" i="52"/>
  <c r="J221" i="52"/>
  <c r="K220" i="52"/>
  <c r="K190" i="52"/>
  <c r="J191" i="52"/>
  <c r="J382" i="52"/>
  <c r="K381" i="52"/>
  <c r="J318" i="52"/>
  <c r="K317" i="52"/>
  <c r="J92" i="52"/>
  <c r="K91" i="52"/>
  <c r="J57" i="52"/>
  <c r="K348" i="52"/>
  <c r="J349" i="52"/>
  <c r="K284" i="52"/>
  <c r="J285" i="52"/>
  <c r="A24" i="51"/>
  <c r="A25" i="51" s="1"/>
  <c r="A26" i="51" s="1"/>
  <c r="A27" i="51" s="1"/>
  <c r="A29" i="51" s="1"/>
  <c r="K57" i="52" l="1"/>
  <c r="K156" i="52"/>
  <c r="J157" i="52"/>
  <c r="K92" i="52"/>
  <c r="J58" i="52"/>
  <c r="J93" i="52"/>
  <c r="J222" i="52"/>
  <c r="K221" i="52"/>
  <c r="J254" i="52"/>
  <c r="K253" i="52"/>
  <c r="J286" i="52"/>
  <c r="K285" i="52"/>
  <c r="K318" i="52"/>
  <c r="J319" i="52"/>
  <c r="K126" i="52"/>
  <c r="J127" i="52"/>
  <c r="J417" i="52"/>
  <c r="K416" i="52"/>
  <c r="K349" i="52"/>
  <c r="J350" i="52"/>
  <c r="K382" i="52"/>
  <c r="J383" i="52"/>
  <c r="J192" i="52"/>
  <c r="K191" i="52"/>
  <c r="H30" i="51"/>
  <c r="H41" i="51"/>
  <c r="A33" i="51"/>
  <c r="A34" i="51" s="1"/>
  <c r="K157" i="52" l="1"/>
  <c r="J158" i="52"/>
  <c r="K383" i="52"/>
  <c r="J384" i="52"/>
  <c r="J59" i="52"/>
  <c r="K93" i="52"/>
  <c r="J94" i="52"/>
  <c r="J351" i="52"/>
  <c r="K350" i="52"/>
  <c r="K58" i="52"/>
  <c r="K286" i="52"/>
  <c r="J287" i="52"/>
  <c r="K319" i="52"/>
  <c r="J320" i="52"/>
  <c r="K417" i="52"/>
  <c r="J418" i="52"/>
  <c r="K254" i="52"/>
  <c r="J255" i="52"/>
  <c r="J128" i="52"/>
  <c r="K127" i="52"/>
  <c r="K192" i="52"/>
  <c r="J193" i="52"/>
  <c r="J223" i="52"/>
  <c r="K222" i="52"/>
  <c r="A38" i="51"/>
  <c r="H55" i="51"/>
  <c r="H34" i="51"/>
  <c r="K158" i="52" l="1"/>
  <c r="J159" i="52"/>
  <c r="J256" i="52"/>
  <c r="K255" i="52"/>
  <c r="K384" i="52"/>
  <c r="J385" i="52"/>
  <c r="K418" i="52"/>
  <c r="J419" i="52"/>
  <c r="J224" i="52"/>
  <c r="K223" i="52"/>
  <c r="J95" i="52"/>
  <c r="J60" i="52"/>
  <c r="K94" i="52"/>
  <c r="K193" i="52"/>
  <c r="J194" i="52"/>
  <c r="K351" i="52"/>
  <c r="J352" i="52"/>
  <c r="J321" i="52"/>
  <c r="K320" i="52"/>
  <c r="K59" i="52"/>
  <c r="K128" i="52"/>
  <c r="J129" i="52"/>
  <c r="K287" i="52"/>
  <c r="J288" i="52"/>
  <c r="H56" i="51"/>
  <c r="A41" i="51"/>
  <c r="A42" i="51" s="1"/>
  <c r="A43" i="51" s="1"/>
  <c r="A44" i="51" s="1"/>
  <c r="A45" i="51" s="1"/>
  <c r="A48" i="51" s="1"/>
  <c r="J160" i="52" l="1"/>
  <c r="K159" i="52"/>
  <c r="J96" i="52"/>
  <c r="J61" i="52"/>
  <c r="K95" i="52"/>
  <c r="K61" i="52" s="1"/>
  <c r="J322" i="52"/>
  <c r="K321" i="52"/>
  <c r="K352" i="52"/>
  <c r="J353" i="52"/>
  <c r="J257" i="52"/>
  <c r="K256" i="52"/>
  <c r="K288" i="52"/>
  <c r="J289" i="52"/>
  <c r="K194" i="52"/>
  <c r="J195" i="52"/>
  <c r="J225" i="52"/>
  <c r="K224" i="52"/>
  <c r="J130" i="52"/>
  <c r="K129" i="52"/>
  <c r="K419" i="52"/>
  <c r="J420" i="52"/>
  <c r="K60" i="52"/>
  <c r="J386" i="52"/>
  <c r="K385" i="52"/>
  <c r="A49" i="5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1" i="51" s="1"/>
  <c r="A64" i="51" s="1"/>
  <c r="J161" i="52" l="1"/>
  <c r="K160" i="52"/>
  <c r="K130" i="52"/>
  <c r="J131" i="52"/>
  <c r="J258" i="52"/>
  <c r="K257" i="52"/>
  <c r="K96" i="52"/>
  <c r="J97" i="52"/>
  <c r="J62" i="52"/>
  <c r="J226" i="52"/>
  <c r="K225" i="52"/>
  <c r="K386" i="52"/>
  <c r="J387" i="52"/>
  <c r="J196" i="52"/>
  <c r="K195" i="52"/>
  <c r="K353" i="52"/>
  <c r="J354" i="52"/>
  <c r="J421" i="52"/>
  <c r="K420" i="52"/>
  <c r="J290" i="52"/>
  <c r="K289" i="52"/>
  <c r="K322" i="52"/>
  <c r="J323" i="52"/>
  <c r="H59" i="51"/>
  <c r="A68" i="51"/>
  <c r="G68" i="51"/>
  <c r="K62" i="52" l="1"/>
  <c r="K161" i="52"/>
  <c r="J162" i="52"/>
  <c r="K421" i="52"/>
  <c r="J422" i="52"/>
  <c r="J227" i="52"/>
  <c r="K226" i="52"/>
  <c r="J132" i="52"/>
  <c r="K131" i="52"/>
  <c r="J355" i="52"/>
  <c r="K354" i="52"/>
  <c r="K97" i="52"/>
  <c r="J98" i="52"/>
  <c r="J63" i="52"/>
  <c r="K258" i="52"/>
  <c r="J259" i="52"/>
  <c r="K323" i="52"/>
  <c r="J324" i="52"/>
  <c r="K196" i="52"/>
  <c r="J197" i="52"/>
  <c r="K387" i="52"/>
  <c r="J388" i="52"/>
  <c r="K290" i="52"/>
  <c r="J291" i="52"/>
  <c r="A69" i="51"/>
  <c r="A70" i="51" s="1"/>
  <c r="J163" i="52" l="1"/>
  <c r="K162" i="52"/>
  <c r="K355" i="52"/>
  <c r="J356" i="52"/>
  <c r="K388" i="52"/>
  <c r="J389" i="52"/>
  <c r="J260" i="52"/>
  <c r="K259" i="52"/>
  <c r="K132" i="52"/>
  <c r="J133" i="52"/>
  <c r="K291" i="52"/>
  <c r="J292" i="52"/>
  <c r="J228" i="52"/>
  <c r="K227" i="52"/>
  <c r="K98" i="52"/>
  <c r="J64" i="52"/>
  <c r="J99" i="52"/>
  <c r="K422" i="52"/>
  <c r="J423" i="52"/>
  <c r="J325" i="52"/>
  <c r="K324" i="52"/>
  <c r="K197" i="52"/>
  <c r="J198" i="52"/>
  <c r="K63" i="52"/>
  <c r="A71" i="51"/>
  <c r="A72" i="51" s="1"/>
  <c r="A73" i="51" s="1"/>
  <c r="G70" i="51"/>
  <c r="K64" i="52" l="1"/>
  <c r="K163" i="52"/>
  <c r="J164" i="52"/>
  <c r="K198" i="52"/>
  <c r="J199" i="52"/>
  <c r="J261" i="52"/>
  <c r="K260" i="52"/>
  <c r="K133" i="52"/>
  <c r="J134" i="52"/>
  <c r="J390" i="52"/>
  <c r="K389" i="52"/>
  <c r="K423" i="52"/>
  <c r="J424" i="52"/>
  <c r="K292" i="52"/>
  <c r="J293" i="52"/>
  <c r="K356" i="52"/>
  <c r="J357" i="52"/>
  <c r="K228" i="52"/>
  <c r="J229" i="52"/>
  <c r="J326" i="52"/>
  <c r="K325" i="52"/>
  <c r="J100" i="52"/>
  <c r="J65" i="52"/>
  <c r="K99" i="52"/>
  <c r="G72" i="51"/>
  <c r="G73" i="51"/>
  <c r="J165" i="52" l="1"/>
  <c r="K164" i="52"/>
  <c r="K100" i="52"/>
  <c r="J66" i="52"/>
  <c r="J101" i="52"/>
  <c r="K326" i="52"/>
  <c r="J327" i="52"/>
  <c r="J262" i="52"/>
  <c r="K261" i="52"/>
  <c r="J294" i="52"/>
  <c r="K293" i="52"/>
  <c r="J230" i="52"/>
  <c r="K229" i="52"/>
  <c r="J200" i="52"/>
  <c r="K199" i="52"/>
  <c r="K65" i="52"/>
  <c r="K357" i="52"/>
  <c r="J358" i="52"/>
  <c r="K390" i="52"/>
  <c r="J391" i="52"/>
  <c r="K134" i="52"/>
  <c r="J135" i="52"/>
  <c r="J425" i="52"/>
  <c r="K424" i="52"/>
  <c r="K165" i="52" l="1"/>
  <c r="J166" i="52"/>
  <c r="J67" i="52"/>
  <c r="K101" i="52"/>
  <c r="J102" i="52"/>
  <c r="K294" i="52"/>
  <c r="J295" i="52"/>
  <c r="K425" i="52"/>
  <c r="J426" i="52"/>
  <c r="K200" i="52"/>
  <c r="J201" i="52"/>
  <c r="K327" i="52"/>
  <c r="J328" i="52"/>
  <c r="K66" i="52"/>
  <c r="J359" i="52"/>
  <c r="K358" i="52"/>
  <c r="J136" i="52"/>
  <c r="K135" i="52"/>
  <c r="K262" i="52"/>
  <c r="J263" i="52"/>
  <c r="K391" i="52"/>
  <c r="J392" i="52"/>
  <c r="J231" i="52"/>
  <c r="K230" i="52"/>
  <c r="K166" i="52" l="1"/>
  <c r="J167" i="52"/>
  <c r="K295" i="52"/>
  <c r="J296" i="52"/>
  <c r="J329" i="52"/>
  <c r="K328" i="52"/>
  <c r="K102" i="52"/>
  <c r="J103" i="52"/>
  <c r="J68" i="52"/>
  <c r="K67" i="52"/>
  <c r="K426" i="52"/>
  <c r="J427" i="52"/>
  <c r="J264" i="52"/>
  <c r="K263" i="52"/>
  <c r="K136" i="52"/>
  <c r="J137" i="52"/>
  <c r="K201" i="52"/>
  <c r="J202" i="52"/>
  <c r="J232" i="52"/>
  <c r="K231" i="52"/>
  <c r="K392" i="52"/>
  <c r="J393" i="52"/>
  <c r="K359" i="52"/>
  <c r="J360" i="52"/>
  <c r="K167" i="52" l="1"/>
  <c r="J168" i="52"/>
  <c r="K68" i="52"/>
  <c r="J330" i="52"/>
  <c r="K329" i="52"/>
  <c r="J138" i="52"/>
  <c r="K137" i="52"/>
  <c r="J265" i="52"/>
  <c r="K264" i="52"/>
  <c r="K427" i="52"/>
  <c r="J428" i="52"/>
  <c r="K296" i="52"/>
  <c r="J297" i="52"/>
  <c r="K360" i="52"/>
  <c r="J361" i="52"/>
  <c r="J394" i="52"/>
  <c r="K393" i="52"/>
  <c r="K232" i="52"/>
  <c r="J233" i="52"/>
  <c r="K202" i="52"/>
  <c r="J203" i="52"/>
  <c r="J104" i="52"/>
  <c r="K103" i="52"/>
  <c r="K69" i="52" s="1"/>
  <c r="J69" i="52"/>
  <c r="J169" i="52" l="1"/>
  <c r="K168" i="52"/>
  <c r="J429" i="52"/>
  <c r="K428" i="52"/>
  <c r="K394" i="52"/>
  <c r="J395" i="52"/>
  <c r="K104" i="52"/>
  <c r="J105" i="52"/>
  <c r="J70" i="52"/>
  <c r="K330" i="52"/>
  <c r="J331" i="52"/>
  <c r="K361" i="52"/>
  <c r="J362" i="52"/>
  <c r="J266" i="52"/>
  <c r="K265" i="52"/>
  <c r="J204" i="52"/>
  <c r="K203" i="52"/>
  <c r="J234" i="52"/>
  <c r="K233" i="52"/>
  <c r="K138" i="52"/>
  <c r="J139" i="52"/>
  <c r="J298" i="52"/>
  <c r="K297" i="52"/>
  <c r="J170" i="52" l="1"/>
  <c r="K169" i="52"/>
  <c r="K395" i="52"/>
  <c r="J396" i="52"/>
  <c r="K105" i="52"/>
  <c r="K71" i="52" s="1"/>
  <c r="J106" i="52"/>
  <c r="J71" i="52"/>
  <c r="J363" i="52"/>
  <c r="K362" i="52"/>
  <c r="J140" i="52"/>
  <c r="K139" i="52"/>
  <c r="K266" i="52"/>
  <c r="J267" i="52"/>
  <c r="J235" i="52"/>
  <c r="K234" i="52"/>
  <c r="K331" i="52"/>
  <c r="J332" i="52"/>
  <c r="K204" i="52"/>
  <c r="J205" i="52"/>
  <c r="K429" i="52"/>
  <c r="J430" i="52"/>
  <c r="K70" i="52"/>
  <c r="K298" i="52"/>
  <c r="J299" i="52"/>
  <c r="J171" i="52" l="1"/>
  <c r="K170" i="52"/>
  <c r="J333" i="52"/>
  <c r="K332" i="52"/>
  <c r="K106" i="52"/>
  <c r="J72" i="52"/>
  <c r="J107" i="52"/>
  <c r="K140" i="52"/>
  <c r="J141" i="52"/>
  <c r="K363" i="52"/>
  <c r="J364" i="52"/>
  <c r="K299" i="52"/>
  <c r="J300" i="52"/>
  <c r="J236" i="52"/>
  <c r="K235" i="52"/>
  <c r="J268" i="52"/>
  <c r="K267" i="52"/>
  <c r="K396" i="52"/>
  <c r="J397" i="52"/>
  <c r="K430" i="52"/>
  <c r="J431" i="52"/>
  <c r="K205" i="52"/>
  <c r="J206" i="52"/>
  <c r="K171" i="52" l="1"/>
  <c r="J172" i="52"/>
  <c r="J269" i="52"/>
  <c r="K268" i="52"/>
  <c r="K236" i="52"/>
  <c r="J237" i="52"/>
  <c r="J108" i="52"/>
  <c r="J73" i="52"/>
  <c r="K107" i="52"/>
  <c r="K72" i="52"/>
  <c r="K141" i="52"/>
  <c r="J142" i="52"/>
  <c r="K431" i="52"/>
  <c r="J432" i="52"/>
  <c r="K206" i="52"/>
  <c r="J207" i="52"/>
  <c r="K300" i="52"/>
  <c r="J301" i="52"/>
  <c r="J398" i="52"/>
  <c r="K397" i="52"/>
  <c r="K364" i="52"/>
  <c r="J365" i="52"/>
  <c r="J334" i="52"/>
  <c r="K333" i="52"/>
  <c r="K172" i="52" l="1"/>
  <c r="J173" i="52"/>
  <c r="K73" i="52"/>
  <c r="K365" i="52"/>
  <c r="J366" i="52"/>
  <c r="K398" i="52"/>
  <c r="J399" i="52"/>
  <c r="J74" i="52"/>
  <c r="K108" i="52"/>
  <c r="J109" i="52"/>
  <c r="J302" i="52"/>
  <c r="K301" i="52"/>
  <c r="K334" i="52"/>
  <c r="J335" i="52"/>
  <c r="J433" i="52"/>
  <c r="K432" i="52"/>
  <c r="J238" i="52"/>
  <c r="K237" i="52"/>
  <c r="K142" i="52"/>
  <c r="J143" i="52"/>
  <c r="J208" i="52"/>
  <c r="K207" i="52"/>
  <c r="J270" i="52"/>
  <c r="K269" i="52"/>
  <c r="K173" i="52" l="1"/>
  <c r="J174" i="52"/>
  <c r="K302" i="52"/>
  <c r="J303" i="52"/>
  <c r="J75" i="52"/>
  <c r="K109" i="52"/>
  <c r="K75" i="52" s="1"/>
  <c r="J110" i="52"/>
  <c r="J239" i="52"/>
  <c r="K238" i="52"/>
  <c r="K399" i="52"/>
  <c r="J400" i="52"/>
  <c r="K74" i="52"/>
  <c r="K270" i="52"/>
  <c r="J271" i="52"/>
  <c r="K208" i="52"/>
  <c r="J209" i="52"/>
  <c r="K209" i="52" s="1"/>
  <c r="K210" i="52" s="1"/>
  <c r="J367" i="52"/>
  <c r="K366" i="52"/>
  <c r="K433" i="52"/>
  <c r="J434" i="52"/>
  <c r="K434" i="52" s="1"/>
  <c r="K435" i="52" s="1"/>
  <c r="K335" i="52"/>
  <c r="J336" i="52"/>
  <c r="J144" i="52"/>
  <c r="K143" i="52"/>
  <c r="K174" i="52" l="1"/>
  <c r="J175" i="52"/>
  <c r="K144" i="52"/>
  <c r="J145" i="52"/>
  <c r="K145" i="52" s="1"/>
  <c r="K146" i="52" s="1"/>
  <c r="J240" i="52"/>
  <c r="K240" i="52" s="1"/>
  <c r="K241" i="52" s="1"/>
  <c r="K239" i="52"/>
  <c r="J337" i="52"/>
  <c r="K337" i="52" s="1"/>
  <c r="K338" i="52" s="1"/>
  <c r="K336" i="52"/>
  <c r="K110" i="52"/>
  <c r="J111" i="52"/>
  <c r="J76" i="52"/>
  <c r="J272" i="52"/>
  <c r="K271" i="52"/>
  <c r="K303" i="52"/>
  <c r="J304" i="52"/>
  <c r="K304" i="52" s="1"/>
  <c r="K305" i="52" s="1"/>
  <c r="K367" i="52"/>
  <c r="J368" i="52"/>
  <c r="K368" i="52" s="1"/>
  <c r="K400" i="52"/>
  <c r="J401" i="52"/>
  <c r="K401" i="52" s="1"/>
  <c r="K175" i="52" l="1"/>
  <c r="J176" i="52"/>
  <c r="K176" i="52" s="1"/>
  <c r="K177" i="52" s="1"/>
  <c r="K369" i="52"/>
  <c r="K76" i="52"/>
  <c r="J112" i="52"/>
  <c r="K111" i="52"/>
  <c r="J77" i="52"/>
  <c r="J273" i="52"/>
  <c r="K273" i="52" s="1"/>
  <c r="K274" i="52" s="1"/>
  <c r="K272" i="52"/>
  <c r="K402" i="52"/>
  <c r="K77" i="52" l="1"/>
  <c r="K112" i="52"/>
  <c r="J78" i="52"/>
  <c r="K78" i="52" l="1"/>
  <c r="K79" i="52" s="1"/>
  <c r="K113" i="52"/>
  <c r="F434" i="50" l="1"/>
  <c r="F433" i="50"/>
  <c r="F432" i="50"/>
  <c r="F431" i="50"/>
  <c r="F430" i="50"/>
  <c r="F429" i="50"/>
  <c r="F428" i="50"/>
  <c r="F427" i="50"/>
  <c r="F426" i="50"/>
  <c r="F425" i="50"/>
  <c r="F424" i="50"/>
  <c r="F423" i="50"/>
  <c r="F422" i="50"/>
  <c r="F421" i="50"/>
  <c r="F420" i="50"/>
  <c r="F419" i="50"/>
  <c r="F418" i="50"/>
  <c r="F417" i="50"/>
  <c r="F416" i="50"/>
  <c r="F415" i="50"/>
  <c r="F414" i="50"/>
  <c r="F413" i="50"/>
  <c r="F412" i="50"/>
  <c r="F411" i="50"/>
  <c r="J411" i="50" s="1"/>
  <c r="K409" i="50"/>
  <c r="J409" i="50"/>
  <c r="I409" i="50"/>
  <c r="H409" i="50"/>
  <c r="F409" i="50"/>
  <c r="E409" i="50"/>
  <c r="D409" i="50"/>
  <c r="K408" i="50"/>
  <c r="J408" i="50"/>
  <c r="I408" i="50"/>
  <c r="H408" i="50"/>
  <c r="F408" i="50"/>
  <c r="E408" i="50"/>
  <c r="D408" i="50"/>
  <c r="F401" i="50"/>
  <c r="F400" i="50"/>
  <c r="F399" i="50"/>
  <c r="F398" i="50"/>
  <c r="F397" i="50"/>
  <c r="F396" i="50"/>
  <c r="F395" i="50"/>
  <c r="F394" i="50"/>
  <c r="F393" i="50"/>
  <c r="F392" i="50"/>
  <c r="F391" i="50"/>
  <c r="F390" i="50"/>
  <c r="F389" i="50"/>
  <c r="F388" i="50"/>
  <c r="F387" i="50"/>
  <c r="F386" i="50"/>
  <c r="F385" i="50"/>
  <c r="F384" i="50"/>
  <c r="F383" i="50"/>
  <c r="F382" i="50"/>
  <c r="F381" i="50"/>
  <c r="F380" i="50"/>
  <c r="F379" i="50"/>
  <c r="F378" i="50"/>
  <c r="K376" i="50"/>
  <c r="J376" i="50"/>
  <c r="I376" i="50"/>
  <c r="H376" i="50"/>
  <c r="G376" i="50"/>
  <c r="F376" i="50"/>
  <c r="E376" i="50"/>
  <c r="D376" i="50"/>
  <c r="K375" i="50"/>
  <c r="J375" i="50"/>
  <c r="I375" i="50"/>
  <c r="H375" i="50"/>
  <c r="G375" i="50"/>
  <c r="F375" i="50"/>
  <c r="E375" i="50"/>
  <c r="D375" i="50"/>
  <c r="G374" i="50"/>
  <c r="F368" i="50"/>
  <c r="F367" i="50"/>
  <c r="F366" i="50"/>
  <c r="F365" i="50"/>
  <c r="F364" i="50"/>
  <c r="F363" i="50"/>
  <c r="F362" i="50"/>
  <c r="F361" i="50"/>
  <c r="I70" i="50"/>
  <c r="F360" i="50"/>
  <c r="F359" i="50"/>
  <c r="F358" i="50"/>
  <c r="F357" i="50"/>
  <c r="F356" i="50"/>
  <c r="F355" i="50"/>
  <c r="F354" i="50"/>
  <c r="F353" i="50"/>
  <c r="F352" i="50"/>
  <c r="F351" i="50"/>
  <c r="F350" i="50"/>
  <c r="F349" i="50"/>
  <c r="F348" i="50"/>
  <c r="F347" i="50"/>
  <c r="F346" i="50"/>
  <c r="F345" i="50"/>
  <c r="K343" i="50"/>
  <c r="J343" i="50"/>
  <c r="I343" i="50"/>
  <c r="H343" i="50"/>
  <c r="G343" i="50"/>
  <c r="F343" i="50"/>
  <c r="E343" i="50"/>
  <c r="D343" i="50"/>
  <c r="K342" i="50"/>
  <c r="J342" i="50"/>
  <c r="I342" i="50"/>
  <c r="H342" i="50"/>
  <c r="G342" i="50"/>
  <c r="F342" i="50"/>
  <c r="E342" i="50"/>
  <c r="D342" i="50"/>
  <c r="G341" i="50"/>
  <c r="F337" i="50"/>
  <c r="F336" i="50"/>
  <c r="F335" i="50"/>
  <c r="F334" i="50"/>
  <c r="F333" i="50"/>
  <c r="F332" i="50"/>
  <c r="F331" i="50"/>
  <c r="F330" i="50"/>
  <c r="F329" i="50"/>
  <c r="F328" i="50"/>
  <c r="F327" i="50"/>
  <c r="F326" i="50"/>
  <c r="E66" i="50"/>
  <c r="F324" i="50"/>
  <c r="F323" i="50"/>
  <c r="F322" i="50"/>
  <c r="F321" i="50"/>
  <c r="F320" i="50"/>
  <c r="F319" i="50"/>
  <c r="F318" i="50"/>
  <c r="F317" i="50"/>
  <c r="F316" i="50"/>
  <c r="F315" i="50"/>
  <c r="F314" i="50"/>
  <c r="K312" i="50"/>
  <c r="J312" i="50"/>
  <c r="I312" i="50"/>
  <c r="H312" i="50"/>
  <c r="G312" i="50"/>
  <c r="F312" i="50"/>
  <c r="E312" i="50"/>
  <c r="D312" i="50"/>
  <c r="K311" i="50"/>
  <c r="J311" i="50"/>
  <c r="I311" i="50"/>
  <c r="H311" i="50"/>
  <c r="G311" i="50"/>
  <c r="F311" i="50"/>
  <c r="E311" i="50"/>
  <c r="D311" i="50"/>
  <c r="G310" i="50"/>
  <c r="F304" i="50"/>
  <c r="F303" i="50"/>
  <c r="F302" i="50"/>
  <c r="F301" i="50"/>
  <c r="I74" i="50"/>
  <c r="F300" i="50"/>
  <c r="F299" i="50"/>
  <c r="F298" i="50"/>
  <c r="F297" i="50"/>
  <c r="F296" i="50"/>
  <c r="F295" i="50"/>
  <c r="F294" i="50"/>
  <c r="I67" i="50"/>
  <c r="F293" i="50"/>
  <c r="F292" i="50"/>
  <c r="F291" i="50"/>
  <c r="F290" i="50"/>
  <c r="F289" i="50"/>
  <c r="F288" i="50"/>
  <c r="F287" i="50"/>
  <c r="F286" i="50"/>
  <c r="F285" i="50"/>
  <c r="F284" i="50"/>
  <c r="F283" i="50"/>
  <c r="F282" i="50"/>
  <c r="J281" i="50"/>
  <c r="F281" i="50"/>
  <c r="J280" i="50"/>
  <c r="K279" i="50"/>
  <c r="J279" i="50"/>
  <c r="I279" i="50"/>
  <c r="H279" i="50"/>
  <c r="G279" i="50"/>
  <c r="F279" i="50"/>
  <c r="E279" i="50"/>
  <c r="D279" i="50"/>
  <c r="K278" i="50"/>
  <c r="J278" i="50"/>
  <c r="I278" i="50"/>
  <c r="H278" i="50"/>
  <c r="G278" i="50"/>
  <c r="F278" i="50"/>
  <c r="E278" i="50"/>
  <c r="D278" i="50"/>
  <c r="G277" i="50"/>
  <c r="I78" i="50"/>
  <c r="F273" i="50"/>
  <c r="F272" i="50"/>
  <c r="F271" i="50"/>
  <c r="F270" i="50"/>
  <c r="F269" i="50"/>
  <c r="F268" i="50"/>
  <c r="F267" i="50"/>
  <c r="F266" i="50"/>
  <c r="F265" i="50"/>
  <c r="F264" i="50"/>
  <c r="F263" i="50"/>
  <c r="F262" i="50"/>
  <c r="F261" i="50"/>
  <c r="F260" i="50"/>
  <c r="F259" i="50"/>
  <c r="F258" i="50"/>
  <c r="F257" i="50"/>
  <c r="F256" i="50"/>
  <c r="I60" i="50"/>
  <c r="F255" i="50"/>
  <c r="F254" i="50"/>
  <c r="F253" i="50"/>
  <c r="F252" i="50"/>
  <c r="I56" i="50"/>
  <c r="F251" i="50"/>
  <c r="F250" i="50"/>
  <c r="J249" i="50"/>
  <c r="K248" i="50"/>
  <c r="J248" i="50"/>
  <c r="I248" i="50"/>
  <c r="H248" i="50"/>
  <c r="F248" i="50"/>
  <c r="E248" i="50"/>
  <c r="D248" i="50"/>
  <c r="K247" i="50"/>
  <c r="J247" i="50"/>
  <c r="I247" i="50"/>
  <c r="H247" i="50"/>
  <c r="F247" i="50"/>
  <c r="E247" i="50"/>
  <c r="D247" i="50"/>
  <c r="F240" i="50"/>
  <c r="F239" i="50"/>
  <c r="F238" i="50"/>
  <c r="F237" i="50"/>
  <c r="F236" i="50"/>
  <c r="F235" i="50"/>
  <c r="F234" i="50"/>
  <c r="F233" i="50"/>
  <c r="F232" i="50"/>
  <c r="F231" i="50"/>
  <c r="F230" i="50"/>
  <c r="F229" i="50"/>
  <c r="F228" i="50"/>
  <c r="F227" i="50"/>
  <c r="F226" i="50"/>
  <c r="F225" i="50"/>
  <c r="F224" i="50"/>
  <c r="F223" i="50"/>
  <c r="F222" i="50"/>
  <c r="F221" i="50"/>
  <c r="F220" i="50"/>
  <c r="F219" i="50"/>
  <c r="F218" i="50"/>
  <c r="F217" i="50"/>
  <c r="J216" i="50"/>
  <c r="K215" i="50"/>
  <c r="J215" i="50"/>
  <c r="I215" i="50"/>
  <c r="H215" i="50"/>
  <c r="G215" i="50"/>
  <c r="F215" i="50"/>
  <c r="E215" i="50"/>
  <c r="D215" i="50"/>
  <c r="K214" i="50"/>
  <c r="J214" i="50"/>
  <c r="I214" i="50"/>
  <c r="H214" i="50"/>
  <c r="G214" i="50"/>
  <c r="F214" i="50"/>
  <c r="E214" i="50"/>
  <c r="D214" i="50"/>
  <c r="G213" i="50"/>
  <c r="F209" i="50"/>
  <c r="F208" i="50"/>
  <c r="F207" i="50"/>
  <c r="F206" i="50"/>
  <c r="F205" i="50"/>
  <c r="F204" i="50"/>
  <c r="I72" i="50"/>
  <c r="F203" i="50"/>
  <c r="F202" i="50"/>
  <c r="F201" i="50"/>
  <c r="F200" i="50"/>
  <c r="F199" i="50"/>
  <c r="F198" i="50"/>
  <c r="F197" i="50"/>
  <c r="F196" i="50"/>
  <c r="I64" i="50"/>
  <c r="F195" i="50"/>
  <c r="F194" i="50"/>
  <c r="F193" i="50"/>
  <c r="F192" i="50"/>
  <c r="F191" i="50"/>
  <c r="F190" i="50"/>
  <c r="F189" i="50"/>
  <c r="F188" i="50"/>
  <c r="F187" i="50"/>
  <c r="F186" i="50"/>
  <c r="J186" i="50" s="1"/>
  <c r="J185" i="50"/>
  <c r="K184" i="50"/>
  <c r="J184" i="50"/>
  <c r="I184" i="50"/>
  <c r="H184" i="50"/>
  <c r="G184" i="50"/>
  <c r="F184" i="50"/>
  <c r="E184" i="50"/>
  <c r="D184" i="50"/>
  <c r="K183" i="50"/>
  <c r="J183" i="50"/>
  <c r="I183" i="50"/>
  <c r="H183" i="50"/>
  <c r="G183" i="50"/>
  <c r="F183" i="50"/>
  <c r="E183" i="50"/>
  <c r="D183" i="50"/>
  <c r="G182" i="50"/>
  <c r="F176" i="50"/>
  <c r="F175" i="50"/>
  <c r="F174" i="50"/>
  <c r="F173" i="50"/>
  <c r="F172" i="50"/>
  <c r="F171" i="50"/>
  <c r="F170" i="50"/>
  <c r="F169" i="50"/>
  <c r="F168" i="50"/>
  <c r="F167" i="50"/>
  <c r="F166" i="50"/>
  <c r="F165" i="50"/>
  <c r="F164" i="50"/>
  <c r="F163" i="50"/>
  <c r="F162" i="50"/>
  <c r="F161" i="50"/>
  <c r="F160" i="50"/>
  <c r="F159" i="50"/>
  <c r="F158" i="50"/>
  <c r="F157" i="50"/>
  <c r="F156" i="50"/>
  <c r="F155" i="50"/>
  <c r="F154" i="50"/>
  <c r="F153" i="50"/>
  <c r="J152" i="50"/>
  <c r="K151" i="50"/>
  <c r="J151" i="50"/>
  <c r="I151" i="50"/>
  <c r="H151" i="50"/>
  <c r="G151" i="50"/>
  <c r="F151" i="50"/>
  <c r="E151" i="50"/>
  <c r="D151" i="50"/>
  <c r="K150" i="50"/>
  <c r="J150" i="50"/>
  <c r="I150" i="50"/>
  <c r="H150" i="50"/>
  <c r="G150" i="50"/>
  <c r="F150" i="50"/>
  <c r="E150" i="50"/>
  <c r="D150" i="50"/>
  <c r="G149" i="50"/>
  <c r="F145" i="50"/>
  <c r="E77" i="50"/>
  <c r="F143" i="50"/>
  <c r="F142" i="50"/>
  <c r="F75" i="50" s="1"/>
  <c r="F141" i="50"/>
  <c r="F140" i="50"/>
  <c r="F139" i="50"/>
  <c r="F72" i="50" s="1"/>
  <c r="F138" i="50"/>
  <c r="F137" i="50"/>
  <c r="E69" i="50"/>
  <c r="F135" i="50"/>
  <c r="F134" i="50"/>
  <c r="F133" i="50"/>
  <c r="F132" i="50"/>
  <c r="F65" i="50" s="1"/>
  <c r="F131" i="50"/>
  <c r="I63" i="50"/>
  <c r="F130" i="50"/>
  <c r="F129" i="50"/>
  <c r="F128" i="50"/>
  <c r="F127" i="50"/>
  <c r="F126" i="50"/>
  <c r="F125" i="50"/>
  <c r="F124" i="50"/>
  <c r="F123" i="50"/>
  <c r="F122" i="50"/>
  <c r="J122" i="50" s="1"/>
  <c r="K122" i="50" s="1"/>
  <c r="J121" i="50"/>
  <c r="K120" i="50"/>
  <c r="J120" i="50"/>
  <c r="I120" i="50"/>
  <c r="H120" i="50"/>
  <c r="G120" i="50"/>
  <c r="F120" i="50"/>
  <c r="E120" i="50"/>
  <c r="D120" i="50"/>
  <c r="K119" i="50"/>
  <c r="J119" i="50"/>
  <c r="I119" i="50"/>
  <c r="H119" i="50"/>
  <c r="G119" i="50"/>
  <c r="F119" i="50"/>
  <c r="E119" i="50"/>
  <c r="D119" i="50"/>
  <c r="G118" i="50"/>
  <c r="F112" i="50"/>
  <c r="I77" i="50"/>
  <c r="F111" i="50"/>
  <c r="F110" i="50"/>
  <c r="F109" i="50"/>
  <c r="E74" i="50"/>
  <c r="F107" i="50"/>
  <c r="F106" i="50"/>
  <c r="F105" i="50"/>
  <c r="F104" i="50"/>
  <c r="F103" i="50"/>
  <c r="I68" i="50"/>
  <c r="F102" i="50"/>
  <c r="F101" i="50"/>
  <c r="F100" i="50"/>
  <c r="F99" i="50"/>
  <c r="F98" i="50"/>
  <c r="F97" i="50"/>
  <c r="F96" i="50"/>
  <c r="I61" i="50"/>
  <c r="F95" i="50"/>
  <c r="F94" i="50"/>
  <c r="F93" i="50"/>
  <c r="F92" i="50"/>
  <c r="F91" i="50"/>
  <c r="F90" i="50"/>
  <c r="F56" i="50" s="1"/>
  <c r="I55" i="50"/>
  <c r="F89" i="50"/>
  <c r="J88" i="50"/>
  <c r="K87" i="50"/>
  <c r="J87" i="50"/>
  <c r="I87" i="50"/>
  <c r="H87" i="50"/>
  <c r="G87" i="50"/>
  <c r="G409" i="50" s="1"/>
  <c r="F87" i="50"/>
  <c r="E87" i="50"/>
  <c r="D87" i="50"/>
  <c r="K86" i="50"/>
  <c r="J86" i="50"/>
  <c r="I86" i="50"/>
  <c r="H86" i="50"/>
  <c r="G86" i="50"/>
  <c r="G408" i="50" s="1"/>
  <c r="F86" i="50"/>
  <c r="E86" i="50"/>
  <c r="D86" i="50"/>
  <c r="G85" i="50"/>
  <c r="G407" i="50" s="1"/>
  <c r="H78" i="50"/>
  <c r="G78" i="50"/>
  <c r="D78" i="50"/>
  <c r="H77" i="50"/>
  <c r="G77" i="50"/>
  <c r="D77" i="50"/>
  <c r="H76" i="50"/>
  <c r="G76" i="50"/>
  <c r="D76" i="50"/>
  <c r="I75" i="50"/>
  <c r="H75" i="50"/>
  <c r="G75" i="50"/>
  <c r="D75" i="50"/>
  <c r="H74" i="50"/>
  <c r="G74" i="50"/>
  <c r="D74" i="50"/>
  <c r="I73" i="50"/>
  <c r="H73" i="50"/>
  <c r="G73" i="50"/>
  <c r="D73" i="50"/>
  <c r="H72" i="50"/>
  <c r="G72" i="50"/>
  <c r="D72" i="50"/>
  <c r="I71" i="50"/>
  <c r="H71" i="50"/>
  <c r="G71" i="50"/>
  <c r="D71" i="50"/>
  <c r="H70" i="50"/>
  <c r="G70" i="50"/>
  <c r="D70" i="50"/>
  <c r="I69" i="50"/>
  <c r="H69" i="50"/>
  <c r="G69" i="50"/>
  <c r="D69" i="50"/>
  <c r="H68" i="50"/>
  <c r="G68" i="50"/>
  <c r="E68" i="50"/>
  <c r="D68" i="50"/>
  <c r="H67" i="50"/>
  <c r="G67" i="50"/>
  <c r="D67" i="50"/>
  <c r="H66" i="50"/>
  <c r="G66" i="50"/>
  <c r="D66" i="50"/>
  <c r="I65" i="50"/>
  <c r="H65" i="50"/>
  <c r="G65" i="50"/>
  <c r="D65" i="50"/>
  <c r="H64" i="50"/>
  <c r="G64" i="50"/>
  <c r="D64" i="50"/>
  <c r="H63" i="50"/>
  <c r="G63" i="50"/>
  <c r="D63" i="50"/>
  <c r="I62" i="50"/>
  <c r="H62" i="50"/>
  <c r="G62" i="50"/>
  <c r="D62" i="50"/>
  <c r="H61" i="50"/>
  <c r="G61" i="50"/>
  <c r="D61" i="50"/>
  <c r="H60" i="50"/>
  <c r="G60" i="50"/>
  <c r="D60" i="50"/>
  <c r="H59" i="50"/>
  <c r="G59" i="50"/>
  <c r="D59" i="50"/>
  <c r="I58" i="50"/>
  <c r="H58" i="50"/>
  <c r="G58" i="50"/>
  <c r="E58" i="50"/>
  <c r="D58" i="50"/>
  <c r="I57" i="50"/>
  <c r="H57" i="50"/>
  <c r="G57" i="50"/>
  <c r="D57" i="50"/>
  <c r="H56" i="50"/>
  <c r="G56" i="50"/>
  <c r="D56" i="50"/>
  <c r="H55" i="50"/>
  <c r="G55" i="50"/>
  <c r="D55" i="50"/>
  <c r="H46" i="50"/>
  <c r="E46" i="50"/>
  <c r="D46" i="50"/>
  <c r="H45" i="50"/>
  <c r="G45" i="50"/>
  <c r="J344" i="50" s="1"/>
  <c r="F45" i="50"/>
  <c r="J313" i="50" s="1"/>
  <c r="H44" i="50"/>
  <c r="G44" i="50"/>
  <c r="F44" i="50"/>
  <c r="H43" i="50"/>
  <c r="G43" i="50"/>
  <c r="F43" i="50"/>
  <c r="D23" i="50" s="1"/>
  <c r="H42" i="50"/>
  <c r="G42" i="50"/>
  <c r="F42" i="50"/>
  <c r="H41" i="50"/>
  <c r="G41" i="50"/>
  <c r="F41" i="50"/>
  <c r="D21" i="50" s="1"/>
  <c r="H40" i="50"/>
  <c r="G40" i="50"/>
  <c r="F40" i="50"/>
  <c r="H39" i="50"/>
  <c r="G39" i="50"/>
  <c r="F39" i="50"/>
  <c r="D19" i="50" s="1"/>
  <c r="H38" i="50"/>
  <c r="G38" i="50"/>
  <c r="F38" i="50"/>
  <c r="H37" i="50"/>
  <c r="G37" i="50"/>
  <c r="F37" i="50"/>
  <c r="D17" i="50" s="1"/>
  <c r="H36" i="50"/>
  <c r="G36" i="50"/>
  <c r="F36" i="50"/>
  <c r="H35" i="50"/>
  <c r="G35" i="50"/>
  <c r="F35" i="50"/>
  <c r="D15" i="50" s="1"/>
  <c r="H34" i="50"/>
  <c r="G34" i="50"/>
  <c r="F34" i="50"/>
  <c r="H33" i="50"/>
  <c r="G33" i="50"/>
  <c r="G46" i="50" s="1"/>
  <c r="F33" i="50"/>
  <c r="D13" i="50" s="1"/>
  <c r="I26" i="50"/>
  <c r="H26" i="50"/>
  <c r="G26" i="50"/>
  <c r="F26" i="50"/>
  <c r="E26" i="50"/>
  <c r="D24" i="50"/>
  <c r="D22" i="50"/>
  <c r="D20" i="50"/>
  <c r="D18" i="50"/>
  <c r="D16" i="50"/>
  <c r="D14" i="50"/>
  <c r="A14" i="50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A272" i="50" s="1"/>
  <c r="A273" i="50" s="1"/>
  <c r="A274" i="50" s="1"/>
  <c r="A280" i="50" s="1"/>
  <c r="A281" i="50" s="1"/>
  <c r="A282" i="50" s="1"/>
  <c r="A283" i="50" s="1"/>
  <c r="A284" i="50" s="1"/>
  <c r="A285" i="50" s="1"/>
  <c r="A286" i="50" s="1"/>
  <c r="A287" i="50" s="1"/>
  <c r="A288" i="50" s="1"/>
  <c r="A289" i="50" s="1"/>
  <c r="A290" i="50" s="1"/>
  <c r="A291" i="50" s="1"/>
  <c r="A292" i="50" s="1"/>
  <c r="A293" i="50" s="1"/>
  <c r="A294" i="50" s="1"/>
  <c r="A295" i="50" s="1"/>
  <c r="A296" i="50" s="1"/>
  <c r="A297" i="50" s="1"/>
  <c r="A298" i="50" s="1"/>
  <c r="A299" i="50" s="1"/>
  <c r="A300" i="50" s="1"/>
  <c r="A301" i="50" s="1"/>
  <c r="A302" i="50" s="1"/>
  <c r="A303" i="50" s="1"/>
  <c r="A304" i="50" s="1"/>
  <c r="A305" i="50" s="1"/>
  <c r="A313" i="50" s="1"/>
  <c r="A314" i="50" s="1"/>
  <c r="A315" i="50" s="1"/>
  <c r="A316" i="50" s="1"/>
  <c r="A317" i="50" s="1"/>
  <c r="A318" i="50" s="1"/>
  <c r="A319" i="50" s="1"/>
  <c r="A320" i="50" s="1"/>
  <c r="A321" i="50" s="1"/>
  <c r="A322" i="50" s="1"/>
  <c r="A323" i="50" s="1"/>
  <c r="A324" i="50" s="1"/>
  <c r="A325" i="50" s="1"/>
  <c r="A326" i="50" s="1"/>
  <c r="A327" i="50" s="1"/>
  <c r="A328" i="50" s="1"/>
  <c r="A329" i="50" s="1"/>
  <c r="A330" i="50" s="1"/>
  <c r="A331" i="50" s="1"/>
  <c r="A332" i="50" s="1"/>
  <c r="A333" i="50" s="1"/>
  <c r="A334" i="50" s="1"/>
  <c r="A335" i="50" s="1"/>
  <c r="A336" i="50" s="1"/>
  <c r="A337" i="50" s="1"/>
  <c r="A338" i="50" s="1"/>
  <c r="A344" i="50" s="1"/>
  <c r="A345" i="50" s="1"/>
  <c r="A346" i="50" s="1"/>
  <c r="A347" i="50" s="1"/>
  <c r="A348" i="50" s="1"/>
  <c r="A349" i="50" s="1"/>
  <c r="A350" i="50" s="1"/>
  <c r="A351" i="50" s="1"/>
  <c r="A352" i="50" s="1"/>
  <c r="A353" i="50" s="1"/>
  <c r="A354" i="50" s="1"/>
  <c r="A355" i="50" s="1"/>
  <c r="A356" i="50" s="1"/>
  <c r="A357" i="50" s="1"/>
  <c r="A358" i="50" s="1"/>
  <c r="A359" i="50" s="1"/>
  <c r="A360" i="50" s="1"/>
  <c r="A361" i="50" s="1"/>
  <c r="A362" i="50" s="1"/>
  <c r="A363" i="50" s="1"/>
  <c r="A364" i="50" s="1"/>
  <c r="A365" i="50" s="1"/>
  <c r="A366" i="50" s="1"/>
  <c r="A367" i="50" s="1"/>
  <c r="A368" i="50" s="1"/>
  <c r="A369" i="50" s="1"/>
  <c r="A377" i="50" s="1"/>
  <c r="A378" i="50" s="1"/>
  <c r="A379" i="50" s="1"/>
  <c r="A380" i="50" s="1"/>
  <c r="A381" i="50" s="1"/>
  <c r="A382" i="50" s="1"/>
  <c r="A383" i="50" s="1"/>
  <c r="A384" i="50" s="1"/>
  <c r="A385" i="50" s="1"/>
  <c r="A386" i="50" s="1"/>
  <c r="A387" i="50" s="1"/>
  <c r="A388" i="50" s="1"/>
  <c r="A389" i="50" s="1"/>
  <c r="A390" i="50" s="1"/>
  <c r="A391" i="50" s="1"/>
  <c r="A392" i="50" s="1"/>
  <c r="A393" i="50" s="1"/>
  <c r="A394" i="50" s="1"/>
  <c r="A395" i="50" s="1"/>
  <c r="A396" i="50" s="1"/>
  <c r="A397" i="50" s="1"/>
  <c r="A398" i="50" s="1"/>
  <c r="A399" i="50" s="1"/>
  <c r="A400" i="50" s="1"/>
  <c r="A401" i="50" s="1"/>
  <c r="A402" i="50" s="1"/>
  <c r="A410" i="50" s="1"/>
  <c r="A411" i="50" s="1"/>
  <c r="A412" i="50" s="1"/>
  <c r="A413" i="50" s="1"/>
  <c r="A414" i="50" s="1"/>
  <c r="A415" i="50" s="1"/>
  <c r="A416" i="50" s="1"/>
  <c r="A417" i="50" s="1"/>
  <c r="A418" i="50" s="1"/>
  <c r="A419" i="50" s="1"/>
  <c r="A420" i="50" s="1"/>
  <c r="A421" i="50" s="1"/>
  <c r="A422" i="50" s="1"/>
  <c r="A423" i="50" s="1"/>
  <c r="A424" i="50" s="1"/>
  <c r="A425" i="50" s="1"/>
  <c r="A426" i="50" s="1"/>
  <c r="A427" i="50" s="1"/>
  <c r="A428" i="50" s="1"/>
  <c r="A429" i="50" s="1"/>
  <c r="A430" i="50" s="1"/>
  <c r="A431" i="50" s="1"/>
  <c r="A432" i="50" s="1"/>
  <c r="A433" i="50" s="1"/>
  <c r="A434" i="50" s="1"/>
  <c r="A435" i="50" s="1"/>
  <c r="F103" i="49"/>
  <c r="F98" i="49"/>
  <c r="E87" i="49"/>
  <c r="E103" i="49" s="1"/>
  <c r="J42" i="49" s="1"/>
  <c r="J86" i="49"/>
  <c r="J62" i="49"/>
  <c r="H42" i="49"/>
  <c r="H33" i="49"/>
  <c r="A7" i="49"/>
  <c r="A8" i="49" s="1"/>
  <c r="A9" i="49" s="1"/>
  <c r="A12" i="49" s="1"/>
  <c r="K186" i="50" l="1"/>
  <c r="J187" i="50"/>
  <c r="K187" i="50" s="1"/>
  <c r="F66" i="50"/>
  <c r="F64" i="50"/>
  <c r="F73" i="50"/>
  <c r="F55" i="50"/>
  <c r="F59" i="50"/>
  <c r="F67" i="50"/>
  <c r="K411" i="50"/>
  <c r="J412" i="50"/>
  <c r="E70" i="50"/>
  <c r="E75" i="50"/>
  <c r="I59" i="50"/>
  <c r="F108" i="50"/>
  <c r="F74" i="50" s="1"/>
  <c r="F136" i="50"/>
  <c r="F144" i="50"/>
  <c r="F77" i="50" s="1"/>
  <c r="F325" i="50"/>
  <c r="J21" i="49"/>
  <c r="E55" i="50"/>
  <c r="E60" i="50"/>
  <c r="E67" i="50"/>
  <c r="F60" i="50"/>
  <c r="F71" i="50"/>
  <c r="J314" i="50"/>
  <c r="K314" i="50" s="1"/>
  <c r="E64" i="50"/>
  <c r="F68" i="50"/>
  <c r="J15" i="49"/>
  <c r="J345" i="50"/>
  <c r="F57" i="50"/>
  <c r="F61" i="50"/>
  <c r="F70" i="50"/>
  <c r="F69" i="50"/>
  <c r="J217" i="50"/>
  <c r="K217" i="50" s="1"/>
  <c r="F78" i="50"/>
  <c r="J378" i="50"/>
  <c r="E59" i="50"/>
  <c r="F76" i="50"/>
  <c r="I66" i="50"/>
  <c r="E63" i="50"/>
  <c r="F58" i="50"/>
  <c r="F62" i="50"/>
  <c r="I76" i="50"/>
  <c r="E56" i="50"/>
  <c r="E76" i="50"/>
  <c r="F63" i="50"/>
  <c r="J153" i="50"/>
  <c r="J154" i="50" s="1"/>
  <c r="K154" i="50" s="1"/>
  <c r="J413" i="50"/>
  <c r="K412" i="50"/>
  <c r="E62" i="50"/>
  <c r="E78" i="50"/>
  <c r="J89" i="50"/>
  <c r="K345" i="50"/>
  <c r="J346" i="50"/>
  <c r="J155" i="50"/>
  <c r="J218" i="50"/>
  <c r="E61" i="50"/>
  <c r="E71" i="50"/>
  <c r="F46" i="50"/>
  <c r="E72" i="50"/>
  <c r="J123" i="50"/>
  <c r="K153" i="50"/>
  <c r="J188" i="50"/>
  <c r="D25" i="50"/>
  <c r="J54" i="50" s="1"/>
  <c r="E57" i="50"/>
  <c r="E65" i="50"/>
  <c r="E73" i="50"/>
  <c r="J250" i="50"/>
  <c r="K378" i="50"/>
  <c r="J379" i="50"/>
  <c r="J282" i="50"/>
  <c r="K281" i="50"/>
  <c r="J29" i="49"/>
  <c r="A13" i="49"/>
  <c r="A14" i="49" s="1"/>
  <c r="A15" i="49" s="1"/>
  <c r="A18" i="49" s="1"/>
  <c r="H15" i="49"/>
  <c r="E98" i="49"/>
  <c r="J33" i="49" s="1"/>
  <c r="J315" i="50" l="1"/>
  <c r="K315" i="50" s="1"/>
  <c r="J347" i="50"/>
  <c r="K346" i="50"/>
  <c r="K89" i="50"/>
  <c r="J55" i="50"/>
  <c r="J90" i="50"/>
  <c r="K379" i="50"/>
  <c r="J380" i="50"/>
  <c r="J251" i="50"/>
  <c r="K250" i="50"/>
  <c r="J316" i="50"/>
  <c r="J219" i="50"/>
  <c r="K218" i="50"/>
  <c r="K282" i="50"/>
  <c r="J283" i="50"/>
  <c r="K188" i="50"/>
  <c r="J189" i="50"/>
  <c r="J156" i="50"/>
  <c r="K155" i="50"/>
  <c r="K413" i="50"/>
  <c r="J414" i="50"/>
  <c r="K123" i="50"/>
  <c r="J124" i="50"/>
  <c r="D26" i="50"/>
  <c r="A19" i="49"/>
  <c r="A20" i="49" s="1"/>
  <c r="A21" i="49" s="1"/>
  <c r="H21" i="49"/>
  <c r="J41" i="49"/>
  <c r="J38" i="49"/>
  <c r="J56" i="49" s="1"/>
  <c r="J34" i="49"/>
  <c r="J55" i="49" s="1"/>
  <c r="J59" i="49" s="1"/>
  <c r="J64" i="49" s="1"/>
  <c r="E68" i="49" s="1"/>
  <c r="K189" i="50" l="1"/>
  <c r="J190" i="50"/>
  <c r="K124" i="50"/>
  <c r="J125" i="50"/>
  <c r="J91" i="50"/>
  <c r="K90" i="50"/>
  <c r="K56" i="50" s="1"/>
  <c r="J56" i="50"/>
  <c r="K347" i="50"/>
  <c r="J348" i="50"/>
  <c r="K283" i="50"/>
  <c r="J284" i="50"/>
  <c r="K414" i="50"/>
  <c r="J415" i="50"/>
  <c r="K219" i="50"/>
  <c r="J220" i="50"/>
  <c r="J252" i="50"/>
  <c r="K251" i="50"/>
  <c r="K55" i="50"/>
  <c r="K380" i="50"/>
  <c r="J381" i="50"/>
  <c r="J317" i="50"/>
  <c r="K316" i="50"/>
  <c r="J157" i="50"/>
  <c r="K156" i="50"/>
  <c r="E73" i="49"/>
  <c r="A23" i="49"/>
  <c r="H29" i="49"/>
  <c r="J70" i="49" l="1"/>
  <c r="J72" i="49" s="1"/>
  <c r="E6" i="6"/>
  <c r="J253" i="50"/>
  <c r="K252" i="50"/>
  <c r="K415" i="50"/>
  <c r="J416" i="50"/>
  <c r="J92" i="50"/>
  <c r="J57" i="50"/>
  <c r="K91" i="50"/>
  <c r="K57" i="50" s="1"/>
  <c r="J221" i="50"/>
  <c r="K220" i="50"/>
  <c r="J318" i="50"/>
  <c r="K317" i="50"/>
  <c r="K125" i="50"/>
  <c r="J126" i="50"/>
  <c r="K284" i="50"/>
  <c r="J285" i="50"/>
  <c r="J158" i="50"/>
  <c r="K157" i="50"/>
  <c r="J382" i="50"/>
  <c r="K381" i="50"/>
  <c r="K190" i="50"/>
  <c r="J191" i="50"/>
  <c r="K348" i="50"/>
  <c r="J349" i="50"/>
  <c r="A24" i="49"/>
  <c r="A25" i="49" s="1"/>
  <c r="A26" i="49" s="1"/>
  <c r="A27" i="49" s="1"/>
  <c r="A29" i="49" s="1"/>
  <c r="H30" i="49"/>
  <c r="K126" i="50" l="1"/>
  <c r="J127" i="50"/>
  <c r="K92" i="50"/>
  <c r="J58" i="50"/>
  <c r="J93" i="50"/>
  <c r="K158" i="50"/>
  <c r="J159" i="50"/>
  <c r="K349" i="50"/>
  <c r="J350" i="50"/>
  <c r="J222" i="50"/>
  <c r="K221" i="50"/>
  <c r="J286" i="50"/>
  <c r="K285" i="50"/>
  <c r="K191" i="50"/>
  <c r="J192" i="50"/>
  <c r="J417" i="50"/>
  <c r="K416" i="50"/>
  <c r="K253" i="50"/>
  <c r="J254" i="50"/>
  <c r="K382" i="50"/>
  <c r="J383" i="50"/>
  <c r="K318" i="50"/>
  <c r="J319" i="50"/>
  <c r="A33" i="49"/>
  <c r="A34" i="49" s="1"/>
  <c r="H41" i="49"/>
  <c r="J160" i="50" l="1"/>
  <c r="K159" i="50"/>
  <c r="K417" i="50"/>
  <c r="J418" i="50"/>
  <c r="K319" i="50"/>
  <c r="J320" i="50"/>
  <c r="K383" i="50"/>
  <c r="J384" i="50"/>
  <c r="J94" i="50"/>
  <c r="J59" i="50"/>
  <c r="K93" i="50"/>
  <c r="J255" i="50"/>
  <c r="K254" i="50"/>
  <c r="K58" i="50"/>
  <c r="K192" i="50"/>
  <c r="J193" i="50"/>
  <c r="K286" i="50"/>
  <c r="J287" i="50"/>
  <c r="J223" i="50"/>
  <c r="K222" i="50"/>
  <c r="K127" i="50"/>
  <c r="J128" i="50"/>
  <c r="J351" i="50"/>
  <c r="K350" i="50"/>
  <c r="A38" i="49"/>
  <c r="H55" i="49"/>
  <c r="H34" i="49"/>
  <c r="K193" i="50" l="1"/>
  <c r="J194" i="50"/>
  <c r="K384" i="50"/>
  <c r="J385" i="50"/>
  <c r="K351" i="50"/>
  <c r="J352" i="50"/>
  <c r="J95" i="50"/>
  <c r="K94" i="50"/>
  <c r="K60" i="50" s="1"/>
  <c r="J60" i="50"/>
  <c r="J321" i="50"/>
  <c r="K320" i="50"/>
  <c r="K128" i="50"/>
  <c r="J129" i="50"/>
  <c r="J256" i="50"/>
  <c r="K255" i="50"/>
  <c r="K418" i="50"/>
  <c r="J419" i="50"/>
  <c r="K223" i="50"/>
  <c r="J224" i="50"/>
  <c r="K59" i="50"/>
  <c r="J161" i="50"/>
  <c r="K160" i="50"/>
  <c r="K287" i="50"/>
  <c r="J288" i="50"/>
  <c r="H56" i="49"/>
  <c r="A41" i="49"/>
  <c r="A42" i="49" s="1"/>
  <c r="A43" i="49" s="1"/>
  <c r="A44" i="49" s="1"/>
  <c r="A45" i="49" s="1"/>
  <c r="A48" i="49" s="1"/>
  <c r="J96" i="50" l="1"/>
  <c r="J61" i="50"/>
  <c r="K95" i="50"/>
  <c r="J257" i="50"/>
  <c r="K256" i="50"/>
  <c r="K352" i="50"/>
  <c r="J353" i="50"/>
  <c r="K288" i="50"/>
  <c r="J289" i="50"/>
  <c r="J162" i="50"/>
  <c r="K161" i="50"/>
  <c r="K129" i="50"/>
  <c r="J130" i="50"/>
  <c r="J225" i="50"/>
  <c r="K224" i="50"/>
  <c r="J386" i="50"/>
  <c r="K385" i="50"/>
  <c r="J322" i="50"/>
  <c r="K321" i="50"/>
  <c r="K194" i="50"/>
  <c r="J195" i="50"/>
  <c r="K419" i="50"/>
  <c r="J420" i="50"/>
  <c r="A49" i="49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1" i="49" s="1"/>
  <c r="A64" i="49" s="1"/>
  <c r="K61" i="50" l="1"/>
  <c r="K386" i="50"/>
  <c r="J387" i="50"/>
  <c r="K322" i="50"/>
  <c r="J323" i="50"/>
  <c r="J421" i="50"/>
  <c r="K420" i="50"/>
  <c r="K353" i="50"/>
  <c r="J354" i="50"/>
  <c r="J226" i="50"/>
  <c r="K225" i="50"/>
  <c r="K195" i="50"/>
  <c r="J196" i="50"/>
  <c r="K130" i="50"/>
  <c r="J131" i="50"/>
  <c r="K257" i="50"/>
  <c r="J258" i="50"/>
  <c r="K162" i="50"/>
  <c r="J163" i="50"/>
  <c r="J290" i="50"/>
  <c r="K289" i="50"/>
  <c r="K96" i="50"/>
  <c r="J62" i="50"/>
  <c r="J97" i="50"/>
  <c r="H59" i="49"/>
  <c r="A68" i="49"/>
  <c r="G68" i="49"/>
  <c r="K62" i="50" l="1"/>
  <c r="J259" i="50"/>
  <c r="K258" i="50"/>
  <c r="J355" i="50"/>
  <c r="K354" i="50"/>
  <c r="K421" i="50"/>
  <c r="J422" i="50"/>
  <c r="J98" i="50"/>
  <c r="J63" i="50"/>
  <c r="K97" i="50"/>
  <c r="K196" i="50"/>
  <c r="J197" i="50"/>
  <c r="J227" i="50"/>
  <c r="K226" i="50"/>
  <c r="K131" i="50"/>
  <c r="J132" i="50"/>
  <c r="K323" i="50"/>
  <c r="J324" i="50"/>
  <c r="K290" i="50"/>
  <c r="J291" i="50"/>
  <c r="J164" i="50"/>
  <c r="K163" i="50"/>
  <c r="K387" i="50"/>
  <c r="J388" i="50"/>
  <c r="A69" i="49"/>
  <c r="A70" i="49" s="1"/>
  <c r="J165" i="50" l="1"/>
  <c r="K164" i="50"/>
  <c r="J99" i="50"/>
  <c r="K98" i="50"/>
  <c r="J64" i="50"/>
  <c r="K388" i="50"/>
  <c r="J389" i="50"/>
  <c r="K132" i="50"/>
  <c r="J133" i="50"/>
  <c r="K422" i="50"/>
  <c r="J423" i="50"/>
  <c r="K227" i="50"/>
  <c r="J228" i="50"/>
  <c r="K291" i="50"/>
  <c r="J292" i="50"/>
  <c r="K197" i="50"/>
  <c r="J198" i="50"/>
  <c r="K355" i="50"/>
  <c r="J356" i="50"/>
  <c r="J325" i="50"/>
  <c r="K324" i="50"/>
  <c r="K63" i="50"/>
  <c r="K259" i="50"/>
  <c r="J260" i="50"/>
  <c r="G70" i="49"/>
  <c r="G72" i="49"/>
  <c r="A71" i="49"/>
  <c r="A72" i="49" s="1"/>
  <c r="A73" i="49" s="1"/>
  <c r="G73" i="49"/>
  <c r="K198" i="50" l="1"/>
  <c r="J199" i="50"/>
  <c r="K260" i="50"/>
  <c r="J261" i="50"/>
  <c r="K133" i="50"/>
  <c r="J134" i="50"/>
  <c r="K292" i="50"/>
  <c r="J293" i="50"/>
  <c r="J390" i="50"/>
  <c r="K389" i="50"/>
  <c r="J229" i="50"/>
  <c r="K228" i="50"/>
  <c r="J326" i="50"/>
  <c r="K325" i="50"/>
  <c r="K64" i="50"/>
  <c r="K356" i="50"/>
  <c r="J357" i="50"/>
  <c r="K423" i="50"/>
  <c r="J424" i="50"/>
  <c r="J100" i="50"/>
  <c r="K99" i="50"/>
  <c r="J65" i="50"/>
  <c r="J166" i="50"/>
  <c r="K165" i="50"/>
  <c r="K390" i="50" l="1"/>
  <c r="J391" i="50"/>
  <c r="K65" i="50"/>
  <c r="K326" i="50"/>
  <c r="J327" i="50"/>
  <c r="J101" i="50"/>
  <c r="J66" i="50"/>
  <c r="K100" i="50"/>
  <c r="K261" i="50"/>
  <c r="J262" i="50"/>
  <c r="K134" i="50"/>
  <c r="J135" i="50"/>
  <c r="J425" i="50"/>
  <c r="K424" i="50"/>
  <c r="J230" i="50"/>
  <c r="K229" i="50"/>
  <c r="K357" i="50"/>
  <c r="J358" i="50"/>
  <c r="J294" i="50"/>
  <c r="K293" i="50"/>
  <c r="K199" i="50"/>
  <c r="J200" i="50"/>
  <c r="K166" i="50"/>
  <c r="J167" i="50"/>
  <c r="K391" i="50" l="1"/>
  <c r="J392" i="50"/>
  <c r="K262" i="50"/>
  <c r="J263" i="50"/>
  <c r="J359" i="50"/>
  <c r="K358" i="50"/>
  <c r="J168" i="50"/>
  <c r="K167" i="50"/>
  <c r="K327" i="50"/>
  <c r="J328" i="50"/>
  <c r="J102" i="50"/>
  <c r="J67" i="50"/>
  <c r="K101" i="50"/>
  <c r="K67" i="50" s="1"/>
  <c r="J231" i="50"/>
  <c r="K230" i="50"/>
  <c r="K200" i="50"/>
  <c r="J201" i="50"/>
  <c r="K66" i="50"/>
  <c r="K425" i="50"/>
  <c r="J426" i="50"/>
  <c r="K135" i="50"/>
  <c r="J136" i="50"/>
  <c r="K294" i="50"/>
  <c r="J295" i="50"/>
  <c r="J329" i="50" l="1"/>
  <c r="K328" i="50"/>
  <c r="K263" i="50"/>
  <c r="J264" i="50"/>
  <c r="K295" i="50"/>
  <c r="J296" i="50"/>
  <c r="K392" i="50"/>
  <c r="J393" i="50"/>
  <c r="K201" i="50"/>
  <c r="J202" i="50"/>
  <c r="K136" i="50"/>
  <c r="J137" i="50"/>
  <c r="K359" i="50"/>
  <c r="J360" i="50"/>
  <c r="K231" i="50"/>
  <c r="J232" i="50"/>
  <c r="J169" i="50"/>
  <c r="K168" i="50"/>
  <c r="K426" i="50"/>
  <c r="J427" i="50"/>
  <c r="J103" i="50"/>
  <c r="K102" i="50"/>
  <c r="K68" i="50" s="1"/>
  <c r="J68" i="50"/>
  <c r="K137" i="50" l="1"/>
  <c r="J138" i="50"/>
  <c r="J170" i="50"/>
  <c r="K169" i="50"/>
  <c r="J233" i="50"/>
  <c r="K232" i="50"/>
  <c r="K202" i="50"/>
  <c r="J203" i="50"/>
  <c r="J104" i="50"/>
  <c r="J69" i="50"/>
  <c r="K103" i="50"/>
  <c r="J394" i="50"/>
  <c r="K393" i="50"/>
  <c r="K296" i="50"/>
  <c r="J297" i="50"/>
  <c r="J265" i="50"/>
  <c r="K264" i="50"/>
  <c r="J330" i="50"/>
  <c r="K329" i="50"/>
  <c r="K360" i="50"/>
  <c r="J361" i="50"/>
  <c r="K427" i="50"/>
  <c r="J428" i="50"/>
  <c r="K361" i="50" l="1"/>
  <c r="J362" i="50"/>
  <c r="J234" i="50"/>
  <c r="K233" i="50"/>
  <c r="K394" i="50"/>
  <c r="J395" i="50"/>
  <c r="K69" i="50"/>
  <c r="K138" i="50"/>
  <c r="J139" i="50"/>
  <c r="K330" i="50"/>
  <c r="J331" i="50"/>
  <c r="J298" i="50"/>
  <c r="K297" i="50"/>
  <c r="K170" i="50"/>
  <c r="J171" i="50"/>
  <c r="J105" i="50"/>
  <c r="K104" i="50"/>
  <c r="J70" i="50"/>
  <c r="J429" i="50"/>
  <c r="K428" i="50"/>
  <c r="K265" i="50"/>
  <c r="J266" i="50"/>
  <c r="K203" i="50"/>
  <c r="J204" i="50"/>
  <c r="K395" i="50" l="1"/>
  <c r="J396" i="50"/>
  <c r="J106" i="50"/>
  <c r="J71" i="50"/>
  <c r="K105" i="50"/>
  <c r="K139" i="50"/>
  <c r="J140" i="50"/>
  <c r="J235" i="50"/>
  <c r="K234" i="50"/>
  <c r="K298" i="50"/>
  <c r="J299" i="50"/>
  <c r="K331" i="50"/>
  <c r="J332" i="50"/>
  <c r="K70" i="50"/>
  <c r="J363" i="50"/>
  <c r="K362" i="50"/>
  <c r="K429" i="50"/>
  <c r="J430" i="50"/>
  <c r="K204" i="50"/>
  <c r="J205" i="50"/>
  <c r="J172" i="50"/>
  <c r="K171" i="50"/>
  <c r="K266" i="50"/>
  <c r="J267" i="50"/>
  <c r="J268" i="50" l="1"/>
  <c r="K267" i="50"/>
  <c r="K140" i="50"/>
  <c r="J141" i="50"/>
  <c r="K71" i="50"/>
  <c r="K235" i="50"/>
  <c r="J236" i="50"/>
  <c r="J333" i="50"/>
  <c r="K332" i="50"/>
  <c r="K430" i="50"/>
  <c r="J431" i="50"/>
  <c r="K299" i="50"/>
  <c r="J300" i="50"/>
  <c r="J107" i="50"/>
  <c r="K106" i="50"/>
  <c r="K72" i="50" s="1"/>
  <c r="J72" i="50"/>
  <c r="K363" i="50"/>
  <c r="J364" i="50"/>
  <c r="J173" i="50"/>
  <c r="K172" i="50"/>
  <c r="K205" i="50"/>
  <c r="J206" i="50"/>
  <c r="K396" i="50"/>
  <c r="J397" i="50"/>
  <c r="J398" i="50" l="1"/>
  <c r="K397" i="50"/>
  <c r="K206" i="50"/>
  <c r="J207" i="50"/>
  <c r="J269" i="50"/>
  <c r="K268" i="50"/>
  <c r="K300" i="50"/>
  <c r="J301" i="50"/>
  <c r="K141" i="50"/>
  <c r="J142" i="50"/>
  <c r="J334" i="50"/>
  <c r="K333" i="50"/>
  <c r="J237" i="50"/>
  <c r="K236" i="50"/>
  <c r="J174" i="50"/>
  <c r="K173" i="50"/>
  <c r="J108" i="50"/>
  <c r="J73" i="50"/>
  <c r="K107" i="50"/>
  <c r="K431" i="50"/>
  <c r="J432" i="50"/>
  <c r="K364" i="50"/>
  <c r="J365" i="50"/>
  <c r="K398" i="50" l="1"/>
  <c r="J399" i="50"/>
  <c r="J109" i="50"/>
  <c r="K108" i="50"/>
  <c r="J74" i="50"/>
  <c r="K365" i="50"/>
  <c r="J366" i="50"/>
  <c r="K269" i="50"/>
  <c r="J270" i="50"/>
  <c r="K207" i="50"/>
  <c r="J208" i="50"/>
  <c r="K174" i="50"/>
  <c r="J175" i="50"/>
  <c r="J433" i="50"/>
  <c r="K432" i="50"/>
  <c r="K73" i="50"/>
  <c r="K334" i="50"/>
  <c r="J335" i="50"/>
  <c r="J302" i="50"/>
  <c r="K301" i="50"/>
  <c r="J238" i="50"/>
  <c r="K237" i="50"/>
  <c r="K142" i="50"/>
  <c r="J143" i="50"/>
  <c r="K143" i="50" l="1"/>
  <c r="J144" i="50"/>
  <c r="K433" i="50"/>
  <c r="J434" i="50"/>
  <c r="K434" i="50" s="1"/>
  <c r="K435" i="50" s="1"/>
  <c r="K74" i="50"/>
  <c r="J176" i="50"/>
  <c r="K176" i="50" s="1"/>
  <c r="K177" i="50" s="1"/>
  <c r="K175" i="50"/>
  <c r="K302" i="50"/>
  <c r="J303" i="50"/>
  <c r="J110" i="50"/>
  <c r="J75" i="50"/>
  <c r="K109" i="50"/>
  <c r="J367" i="50"/>
  <c r="K366" i="50"/>
  <c r="J239" i="50"/>
  <c r="K238" i="50"/>
  <c r="K208" i="50"/>
  <c r="J209" i="50"/>
  <c r="K209" i="50" s="1"/>
  <c r="K335" i="50"/>
  <c r="J336" i="50"/>
  <c r="K399" i="50"/>
  <c r="J400" i="50"/>
  <c r="K270" i="50"/>
  <c r="J271" i="50"/>
  <c r="J272" i="50" l="1"/>
  <c r="K271" i="50"/>
  <c r="K303" i="50"/>
  <c r="J304" i="50"/>
  <c r="K304" i="50" s="1"/>
  <c r="K305" i="50" s="1"/>
  <c r="K400" i="50"/>
  <c r="J401" i="50"/>
  <c r="K401" i="50" s="1"/>
  <c r="K402" i="50" s="1"/>
  <c r="K367" i="50"/>
  <c r="J368" i="50"/>
  <c r="K368" i="50" s="1"/>
  <c r="K369" i="50" s="1"/>
  <c r="J337" i="50"/>
  <c r="K337" i="50" s="1"/>
  <c r="K338" i="50" s="1"/>
  <c r="K336" i="50"/>
  <c r="K75" i="50"/>
  <c r="K239" i="50"/>
  <c r="J240" i="50"/>
  <c r="K240" i="50" s="1"/>
  <c r="K241" i="50" s="1"/>
  <c r="K210" i="50"/>
  <c r="J111" i="50"/>
  <c r="K110" i="50"/>
  <c r="K76" i="50" s="1"/>
  <c r="J76" i="50"/>
  <c r="K144" i="50"/>
  <c r="J145" i="50"/>
  <c r="K145" i="50" s="1"/>
  <c r="K146" i="50" l="1"/>
  <c r="J112" i="50"/>
  <c r="J77" i="50"/>
  <c r="K111" i="50"/>
  <c r="J273" i="50"/>
  <c r="K273" i="50" s="1"/>
  <c r="K274" i="50" s="1"/>
  <c r="K272" i="50"/>
  <c r="K77" i="50" l="1"/>
  <c r="J78" i="50"/>
  <c r="K112" i="50"/>
  <c r="K78" i="50" l="1"/>
  <c r="K79" i="50" s="1"/>
  <c r="K113" i="50"/>
  <c r="H64" i="48" l="1"/>
  <c r="I50" i="48"/>
  <c r="E44" i="48"/>
  <c r="C26" i="48"/>
  <c r="A26" i="48"/>
  <c r="C24" i="48"/>
  <c r="C22" i="48"/>
  <c r="C20" i="48"/>
  <c r="A20" i="48"/>
  <c r="C18" i="48"/>
  <c r="A18" i="48"/>
  <c r="C16" i="48"/>
  <c r="C14" i="48"/>
  <c r="C12" i="48"/>
  <c r="C10" i="48"/>
  <c r="A10" i="48"/>
  <c r="A14" i="48" s="1"/>
  <c r="C8" i="48"/>
  <c r="H77" i="45" l="1"/>
  <c r="F77" i="45"/>
  <c r="I63" i="45"/>
  <c r="G63" i="45"/>
  <c r="C34" i="45"/>
  <c r="A34" i="45"/>
  <c r="C32" i="45"/>
  <c r="C30" i="45"/>
  <c r="C28" i="45"/>
  <c r="C26" i="45"/>
  <c r="A26" i="45"/>
  <c r="A28" i="45" s="1"/>
  <c r="C24" i="45"/>
  <c r="A22" i="45"/>
  <c r="C14" i="45"/>
  <c r="C12" i="45"/>
  <c r="C10" i="45"/>
  <c r="A10" i="45"/>
  <c r="A14" i="45" s="1"/>
  <c r="A16" i="45" s="1"/>
  <c r="A18" i="45" s="1"/>
  <c r="C8" i="45"/>
  <c r="H77" i="42" l="1"/>
  <c r="I63" i="42"/>
  <c r="C34" i="42"/>
  <c r="A34" i="42"/>
  <c r="C32" i="42"/>
  <c r="C30" i="42"/>
  <c r="C28" i="42"/>
  <c r="C26" i="42"/>
  <c r="A26" i="42"/>
  <c r="A28" i="42" s="1"/>
  <c r="C24" i="42"/>
  <c r="A22" i="42"/>
  <c r="C14" i="42"/>
  <c r="C12" i="42"/>
  <c r="C10" i="42"/>
  <c r="A10" i="42"/>
  <c r="A14" i="42" s="1"/>
  <c r="A16" i="42" s="1"/>
  <c r="A18" i="42" s="1"/>
  <c r="C8" i="42"/>
  <c r="G9" i="5" l="1"/>
  <c r="G10" i="5"/>
  <c r="G11" i="5" l="1"/>
  <c r="C101" i="40"/>
  <c r="F72" i="40"/>
  <c r="E72" i="40"/>
  <c r="H43" i="40" s="1"/>
  <c r="D43" i="40" s="1"/>
  <c r="G12" i="40" s="1"/>
  <c r="H12" i="40" s="1"/>
  <c r="F65" i="40"/>
  <c r="E65" i="40"/>
  <c r="G59" i="40"/>
  <c r="G37" i="40" s="1"/>
  <c r="D37" i="40" s="1"/>
  <c r="G6" i="40" s="1"/>
  <c r="H6" i="40" s="1"/>
  <c r="H58" i="40"/>
  <c r="G58" i="40"/>
  <c r="D50" i="40"/>
  <c r="D49" i="40"/>
  <c r="D48" i="40"/>
  <c r="G17" i="40" s="1"/>
  <c r="H17" i="40" s="1"/>
  <c r="D47" i="40"/>
  <c r="D46" i="40"/>
  <c r="D45" i="40"/>
  <c r="F44" i="40"/>
  <c r="D44" i="40"/>
  <c r="G13" i="40" s="1"/>
  <c r="H13" i="40" s="1"/>
  <c r="D42" i="40"/>
  <c r="D41" i="40"/>
  <c r="D40" i="40"/>
  <c r="G9" i="40" s="1"/>
  <c r="H9" i="40" s="1"/>
  <c r="D39" i="40"/>
  <c r="D38" i="40"/>
  <c r="F24" i="40"/>
  <c r="E20" i="40"/>
  <c r="G19" i="40"/>
  <c r="H19" i="40" s="1"/>
  <c r="G18" i="40"/>
  <c r="H18" i="40" s="1"/>
  <c r="H16" i="40"/>
  <c r="G16" i="40"/>
  <c r="G15" i="40"/>
  <c r="H15" i="40" s="1"/>
  <c r="G14" i="40"/>
  <c r="H14" i="40" s="1"/>
  <c r="G11" i="40"/>
  <c r="H11" i="40" s="1"/>
  <c r="G10" i="40"/>
  <c r="H10" i="40" s="1"/>
  <c r="F29" i="40" s="1"/>
  <c r="H8" i="40"/>
  <c r="G8" i="40"/>
  <c r="A8" i="40"/>
  <c r="A9" i="40" s="1"/>
  <c r="A10" i="40" s="1"/>
  <c r="G7" i="40"/>
  <c r="H7" i="40" s="1"/>
  <c r="A7" i="40"/>
  <c r="H20" i="40" l="1"/>
  <c r="F23" i="40" s="1"/>
  <c r="F25" i="40" s="1"/>
  <c r="F27" i="40" s="1"/>
  <c r="F30" i="40" s="1"/>
  <c r="G24" i="40"/>
  <c r="A11" i="40"/>
  <c r="A12" i="40" s="1"/>
  <c r="A13" i="40" s="1"/>
  <c r="A14" i="40" s="1"/>
  <c r="A15" i="40" s="1"/>
  <c r="A16" i="40" s="1"/>
  <c r="A17" i="40" s="1"/>
  <c r="A18" i="40" s="1"/>
  <c r="A19" i="40" s="1"/>
  <c r="C78" i="40" l="1"/>
  <c r="A20" i="40"/>
  <c r="G23" i="40" l="1"/>
  <c r="A23" i="40"/>
  <c r="A24" i="40" l="1"/>
  <c r="A25" i="40" s="1"/>
  <c r="G25" i="40"/>
  <c r="A26" i="40" l="1"/>
  <c r="A27" i="40" s="1"/>
  <c r="A28" i="40" l="1"/>
  <c r="G27" i="40"/>
  <c r="A29" i="40" l="1"/>
  <c r="G29" i="40"/>
  <c r="A30" i="40" l="1"/>
  <c r="A37" i="40" s="1"/>
  <c r="G30" i="40"/>
  <c r="G79" i="40" l="1"/>
  <c r="A38" i="40"/>
  <c r="A39" i="40" s="1"/>
  <c r="A40" i="40" s="1"/>
  <c r="A41" i="40" s="1"/>
  <c r="A42" i="40" s="1"/>
  <c r="A43" i="40" s="1"/>
  <c r="A44" i="40" l="1"/>
  <c r="C80" i="40"/>
  <c r="C74" i="40" l="1"/>
  <c r="A45" i="40"/>
  <c r="A46" i="40" s="1"/>
  <c r="A47" i="40" s="1"/>
  <c r="A48" i="40" s="1"/>
  <c r="A49" i="40" s="1"/>
  <c r="A50" i="40" s="1"/>
  <c r="C100" i="39" l="1"/>
  <c r="F71" i="39"/>
  <c r="E71" i="39"/>
  <c r="H43" i="39" s="1"/>
  <c r="D43" i="39" s="1"/>
  <c r="G12" i="39" s="1"/>
  <c r="H12" i="39" s="1"/>
  <c r="F64" i="39"/>
  <c r="E64" i="39"/>
  <c r="H57" i="39"/>
  <c r="G57" i="39"/>
  <c r="G58" i="39" s="1"/>
  <c r="G37" i="39" s="1"/>
  <c r="D37" i="39" s="1"/>
  <c r="G6" i="39" s="1"/>
  <c r="H6" i="39" s="1"/>
  <c r="H20" i="39" s="1"/>
  <c r="F23" i="39" s="1"/>
  <c r="F25" i="39" s="1"/>
  <c r="F27" i="39" s="1"/>
  <c r="F30" i="39" s="1"/>
  <c r="D50" i="39"/>
  <c r="D49" i="39"/>
  <c r="D48" i="39"/>
  <c r="D47" i="39"/>
  <c r="D46" i="39"/>
  <c r="D45" i="39"/>
  <c r="F44" i="39"/>
  <c r="D44" i="39" s="1"/>
  <c r="G13" i="39" s="1"/>
  <c r="H13" i="39" s="1"/>
  <c r="D42" i="39"/>
  <c r="D41" i="39"/>
  <c r="D40" i="39"/>
  <c r="D39" i="39"/>
  <c r="D38" i="39"/>
  <c r="G7" i="39" s="1"/>
  <c r="H7" i="39" s="1"/>
  <c r="F24" i="39"/>
  <c r="E20" i="39"/>
  <c r="G19" i="39"/>
  <c r="H19" i="39" s="1"/>
  <c r="H18" i="39"/>
  <c r="G18" i="39"/>
  <c r="G17" i="39"/>
  <c r="H17" i="39" s="1"/>
  <c r="H16" i="39"/>
  <c r="G16" i="39"/>
  <c r="H15" i="39"/>
  <c r="G15" i="39"/>
  <c r="H14" i="39"/>
  <c r="G14" i="39"/>
  <c r="G11" i="39"/>
  <c r="H11" i="39" s="1"/>
  <c r="H10" i="39"/>
  <c r="F29" i="39" s="1"/>
  <c r="G10" i="39"/>
  <c r="G9" i="39"/>
  <c r="H9" i="39" s="1"/>
  <c r="H8" i="39"/>
  <c r="G8" i="39"/>
  <c r="A8" i="39"/>
  <c r="A9" i="39" s="1"/>
  <c r="A10" i="39" s="1"/>
  <c r="A7" i="39"/>
  <c r="A11" i="39" l="1"/>
  <c r="A12" i="39" s="1"/>
  <c r="A13" i="39" s="1"/>
  <c r="A14" i="39" s="1"/>
  <c r="A15" i="39" s="1"/>
  <c r="A16" i="39" s="1"/>
  <c r="A17" i="39" s="1"/>
  <c r="A18" i="39" s="1"/>
  <c r="A19" i="39" s="1"/>
  <c r="G24" i="39"/>
  <c r="C77" i="39" l="1"/>
  <c r="A20" i="39"/>
  <c r="G23" i="39" l="1"/>
  <c r="A23" i="39"/>
  <c r="A24" i="39" l="1"/>
  <c r="A25" i="39" s="1"/>
  <c r="A26" i="39" l="1"/>
  <c r="A27" i="39" s="1"/>
  <c r="G27" i="39"/>
  <c r="G25" i="39"/>
  <c r="A28" i="39" l="1"/>
  <c r="A29" i="39" l="1"/>
  <c r="G29" i="39"/>
  <c r="A30" i="39" l="1"/>
  <c r="A37" i="39" s="1"/>
  <c r="G30" i="39"/>
  <c r="G78" i="39" l="1"/>
  <c r="A38" i="39"/>
  <c r="A39" i="39" s="1"/>
  <c r="A40" i="39" s="1"/>
  <c r="A41" i="39" s="1"/>
  <c r="A42" i="39" s="1"/>
  <c r="A43" i="39" s="1"/>
  <c r="C79" i="39" l="1"/>
  <c r="A44" i="39"/>
  <c r="A45" i="39" l="1"/>
  <c r="A46" i="39" s="1"/>
  <c r="A47" i="39" s="1"/>
  <c r="A48" i="39" s="1"/>
  <c r="A49" i="39" s="1"/>
  <c r="A50" i="39" s="1"/>
  <c r="C73" i="39"/>
  <c r="C101" i="33" l="1"/>
  <c r="F72" i="33"/>
  <c r="E72" i="33"/>
  <c r="F65" i="33"/>
  <c r="E65" i="33"/>
  <c r="G59" i="33"/>
  <c r="H58" i="33"/>
  <c r="G58" i="33"/>
  <c r="D50" i="33"/>
  <c r="D49" i="33"/>
  <c r="D48" i="33"/>
  <c r="G17" i="33" s="1"/>
  <c r="H17" i="33" s="1"/>
  <c r="D47" i="33"/>
  <c r="D46" i="33"/>
  <c r="D45" i="33"/>
  <c r="F44" i="33"/>
  <c r="D44" i="33" s="1"/>
  <c r="G13" i="33" s="1"/>
  <c r="H13" i="33" s="1"/>
  <c r="H43" i="33"/>
  <c r="D43" i="33"/>
  <c r="D42" i="33"/>
  <c r="D41" i="33"/>
  <c r="D40" i="33"/>
  <c r="G9" i="33" s="1"/>
  <c r="H9" i="33" s="1"/>
  <c r="D39" i="33"/>
  <c r="D38" i="33"/>
  <c r="G37" i="33"/>
  <c r="D37" i="33" s="1"/>
  <c r="G6" i="33" s="1"/>
  <c r="H6" i="33" s="1"/>
  <c r="H20" i="33" s="1"/>
  <c r="F23" i="33" s="1"/>
  <c r="F25" i="33" s="1"/>
  <c r="F27" i="33" s="1"/>
  <c r="F30" i="33" s="1"/>
  <c r="F24" i="33"/>
  <c r="E20" i="33"/>
  <c r="G19" i="33"/>
  <c r="H19" i="33" s="1"/>
  <c r="H18" i="33"/>
  <c r="G18" i="33"/>
  <c r="G16" i="33"/>
  <c r="H16" i="33" s="1"/>
  <c r="H15" i="33"/>
  <c r="G15" i="33"/>
  <c r="G14" i="33"/>
  <c r="H14" i="33" s="1"/>
  <c r="H12" i="33"/>
  <c r="G12" i="33"/>
  <c r="G11" i="33"/>
  <c r="H11" i="33" s="1"/>
  <c r="G10" i="33"/>
  <c r="H10" i="33" s="1"/>
  <c r="F29" i="33" s="1"/>
  <c r="G8" i="33"/>
  <c r="H8" i="33" s="1"/>
  <c r="A8" i="33"/>
  <c r="A9" i="33" s="1"/>
  <c r="A10" i="33" s="1"/>
  <c r="H7" i="33"/>
  <c r="G7" i="33"/>
  <c r="A7" i="33"/>
  <c r="G24" i="33" l="1"/>
  <c r="A11" i="33"/>
  <c r="A12" i="33" s="1"/>
  <c r="A13" i="33" s="1"/>
  <c r="A14" i="33" s="1"/>
  <c r="A15" i="33" s="1"/>
  <c r="A16" i="33" s="1"/>
  <c r="A17" i="33" s="1"/>
  <c r="A18" i="33" s="1"/>
  <c r="A19" i="33" s="1"/>
  <c r="C78" i="33" l="1"/>
  <c r="A20" i="33"/>
  <c r="A23" i="33" l="1"/>
  <c r="G23" i="33"/>
  <c r="A24" i="33" l="1"/>
  <c r="A25" i="33" s="1"/>
  <c r="G27" i="33" l="1"/>
  <c r="A26" i="33"/>
  <c r="A27" i="33" s="1"/>
  <c r="G25" i="33"/>
  <c r="A28" i="33" l="1"/>
  <c r="A29" i="33" l="1"/>
  <c r="G29" i="33"/>
  <c r="A30" i="33" l="1"/>
  <c r="A37" i="33" s="1"/>
  <c r="G30" i="33"/>
  <c r="G79" i="33" l="1"/>
  <c r="A38" i="33"/>
  <c r="A39" i="33" s="1"/>
  <c r="A40" i="33" s="1"/>
  <c r="A41" i="33" s="1"/>
  <c r="A42" i="33" s="1"/>
  <c r="A43" i="33" s="1"/>
  <c r="C80" i="33" l="1"/>
  <c r="A44" i="33"/>
  <c r="C74" i="33" l="1"/>
  <c r="A45" i="33"/>
  <c r="A46" i="33" s="1"/>
  <c r="A47" i="33" s="1"/>
  <c r="A48" i="33" s="1"/>
  <c r="A49" i="33" s="1"/>
  <c r="A50" i="33" s="1"/>
  <c r="F5" i="1" l="1"/>
  <c r="I37" i="28" l="1"/>
  <c r="I39" i="28" s="1"/>
  <c r="I19" i="28" s="1"/>
  <c r="G37" i="28"/>
  <c r="G39" i="28" s="1"/>
  <c r="A33" i="28"/>
  <c r="A34" i="28" s="1"/>
  <c r="A35" i="28" s="1"/>
  <c r="A36" i="28" s="1"/>
  <c r="A37" i="28" s="1"/>
  <c r="A38" i="28" s="1"/>
  <c r="A39" i="28" s="1"/>
  <c r="G32" i="28"/>
  <c r="I32" i="28"/>
  <c r="I18" i="28" s="1"/>
  <c r="G27" i="28"/>
  <c r="I27" i="28"/>
  <c r="I17" i="28" s="1"/>
  <c r="G18" i="28"/>
  <c r="D38" i="25"/>
  <c r="D55" i="25" s="1"/>
  <c r="D69" i="25" s="1"/>
  <c r="G177" i="25"/>
  <c r="G178" i="25" s="1"/>
  <c r="G169" i="25"/>
  <c r="G170" i="25" s="1"/>
  <c r="H143" i="25"/>
  <c r="G143" i="25"/>
  <c r="G144" i="25" s="1"/>
  <c r="E143" i="25"/>
  <c r="J143" i="25" s="1"/>
  <c r="E134" i="25"/>
  <c r="I129" i="25"/>
  <c r="A129" i="25"/>
  <c r="I127" i="25"/>
  <c r="H127" i="25"/>
  <c r="G127" i="25"/>
  <c r="F127" i="25"/>
  <c r="E127" i="25"/>
  <c r="D127" i="25"/>
  <c r="A124" i="25"/>
  <c r="A123" i="25"/>
  <c r="I118" i="25"/>
  <c r="D118" i="25"/>
  <c r="D129" i="25" s="1"/>
  <c r="E109" i="25"/>
  <c r="E108" i="25"/>
  <c r="E107" i="25"/>
  <c r="E106" i="25"/>
  <c r="A105" i="25"/>
  <c r="A106" i="25" s="1"/>
  <c r="A107" i="25" s="1"/>
  <c r="A108" i="25" s="1"/>
  <c r="A104" i="25"/>
  <c r="F103" i="25"/>
  <c r="F118" i="25" s="1"/>
  <c r="F129" i="25" s="1"/>
  <c r="F131" i="25" s="1"/>
  <c r="A103" i="25"/>
  <c r="E102" i="25"/>
  <c r="E94" i="25"/>
  <c r="H91" i="25"/>
  <c r="A91" i="25"/>
  <c r="E11" i="25" s="1"/>
  <c r="A90" i="25"/>
  <c r="I91" i="25" s="1"/>
  <c r="I89" i="25"/>
  <c r="H89" i="25"/>
  <c r="G89" i="25"/>
  <c r="F89" i="25"/>
  <c r="F91" i="25" s="1"/>
  <c r="D89" i="25"/>
  <c r="E85" i="25"/>
  <c r="E84" i="25"/>
  <c r="E83" i="25"/>
  <c r="E89" i="25" s="1"/>
  <c r="A83" i="25"/>
  <c r="A84" i="25" s="1"/>
  <c r="A85" i="25" s="1"/>
  <c r="A86" i="25" s="1"/>
  <c r="E82" i="25"/>
  <c r="A82" i="25"/>
  <c r="E81" i="25"/>
  <c r="A81" i="25"/>
  <c r="F80" i="25"/>
  <c r="I69" i="25"/>
  <c r="A69" i="25"/>
  <c r="I67" i="25"/>
  <c r="H67" i="25"/>
  <c r="G67" i="25"/>
  <c r="F67" i="25"/>
  <c r="F69" i="25" s="1"/>
  <c r="F71" i="25" s="1"/>
  <c r="D67" i="25"/>
  <c r="E63" i="25"/>
  <c r="E62" i="25"/>
  <c r="E61" i="25"/>
  <c r="A61" i="25"/>
  <c r="E60" i="25"/>
  <c r="A60" i="25"/>
  <c r="E59" i="25"/>
  <c r="E67" i="25" s="1"/>
  <c r="F55" i="25"/>
  <c r="G46" i="25"/>
  <c r="E45" i="25"/>
  <c r="E44" i="25"/>
  <c r="E43" i="25"/>
  <c r="E41" i="25"/>
  <c r="E40" i="25"/>
  <c r="E39" i="25"/>
  <c r="A32" i="25"/>
  <c r="A33" i="25" s="1"/>
  <c r="A34" i="25" s="1"/>
  <c r="A35" i="25" s="1"/>
  <c r="A36" i="25" s="1"/>
  <c r="A37" i="25" s="1"/>
  <c r="A38" i="25" s="1"/>
  <c r="A40" i="25" s="1"/>
  <c r="A41" i="25" s="1"/>
  <c r="A42" i="25" s="1"/>
  <c r="A43" i="25" s="1"/>
  <c r="A44" i="25" s="1"/>
  <c r="A45" i="25" s="1"/>
  <c r="A46" i="25" s="1"/>
  <c r="A31" i="25"/>
  <c r="I55" i="25" s="1"/>
  <c r="D13" i="25"/>
  <c r="A12" i="25"/>
  <c r="A13" i="25" s="1"/>
  <c r="A11" i="25"/>
  <c r="K18" i="28" l="1"/>
  <c r="K32" i="28"/>
  <c r="G91" i="25"/>
  <c r="D91" i="25" s="1"/>
  <c r="D11" i="25" s="1"/>
  <c r="K27" i="28"/>
  <c r="G19" i="28"/>
  <c r="K19" i="28" s="1"/>
  <c r="K39" i="28"/>
  <c r="I20" i="28"/>
  <c r="K9" i="28" s="1"/>
  <c r="G17" i="28"/>
  <c r="E14" i="25"/>
  <c r="A14" i="25"/>
  <c r="E105" i="25"/>
  <c r="H105" i="25" s="1"/>
  <c r="H118" i="25" s="1"/>
  <c r="H129" i="25" s="1"/>
  <c r="H131" i="25" s="1"/>
  <c r="E34" i="25"/>
  <c r="H34" i="25" s="1"/>
  <c r="E32" i="25"/>
  <c r="H32" i="25" s="1"/>
  <c r="E36" i="25"/>
  <c r="H36" i="25" s="1"/>
  <c r="E42" i="25"/>
  <c r="H42" i="25" s="1"/>
  <c r="E38" i="25"/>
  <c r="H38" i="25" s="1"/>
  <c r="E35" i="25"/>
  <c r="H35" i="25" s="1"/>
  <c r="E37" i="25"/>
  <c r="G37" i="25" s="1"/>
  <c r="E31" i="25"/>
  <c r="E104" i="25"/>
  <c r="G104" i="25" s="1"/>
  <c r="G118" i="25" s="1"/>
  <c r="G129" i="25" s="1"/>
  <c r="G131" i="25" s="1"/>
  <c r="D131" i="25" s="1"/>
  <c r="D12" i="25" s="1"/>
  <c r="E33" i="25"/>
  <c r="G33" i="25" s="1"/>
  <c r="E118" i="25"/>
  <c r="E129" i="25" s="1"/>
  <c r="H144" i="25"/>
  <c r="G145" i="25"/>
  <c r="E74" i="25"/>
  <c r="A130" i="25"/>
  <c r="A131" i="25" s="1"/>
  <c r="A70" i="25"/>
  <c r="A71" i="25" s="1"/>
  <c r="A94" i="25"/>
  <c r="K17" i="28" l="1"/>
  <c r="K20" i="28" s="1"/>
  <c r="K10" i="28" s="1"/>
  <c r="G20" i="28"/>
  <c r="G146" i="25"/>
  <c r="H145" i="25"/>
  <c r="A15" i="25"/>
  <c r="A16" i="25" s="1"/>
  <c r="A17" i="25" s="1"/>
  <c r="A18" i="25" s="1"/>
  <c r="A19" i="25" s="1"/>
  <c r="A20" i="25" s="1"/>
  <c r="A21" i="25" s="1"/>
  <c r="A22" i="25" s="1"/>
  <c r="A23" i="25" s="1"/>
  <c r="A24" i="25" s="1"/>
  <c r="E19" i="25"/>
  <c r="E10" i="25"/>
  <c r="A74" i="25"/>
  <c r="I71" i="25"/>
  <c r="A134" i="25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E12" i="25"/>
  <c r="G31" i="25"/>
  <c r="G55" i="25" s="1"/>
  <c r="G69" i="25" s="1"/>
  <c r="G71" i="25" s="1"/>
  <c r="E55" i="25"/>
  <c r="E69" i="25" s="1"/>
  <c r="H55" i="25"/>
  <c r="H69" i="25" s="1"/>
  <c r="H71" i="25" s="1"/>
  <c r="I131" i="25"/>
  <c r="D71" i="25" l="1"/>
  <c r="D10" i="25" s="1"/>
  <c r="D14" i="25" s="1"/>
  <c r="D154" i="25" s="1"/>
  <c r="D144" i="25"/>
  <c r="D148" i="25"/>
  <c r="D149" i="25"/>
  <c r="D150" i="25"/>
  <c r="G147" i="25"/>
  <c r="H146" i="25"/>
  <c r="D145" i="25" l="1"/>
  <c r="I145" i="25" s="1"/>
  <c r="D153" i="25"/>
  <c r="D155" i="25"/>
  <c r="D152" i="25"/>
  <c r="D146" i="25"/>
  <c r="I146" i="25" s="1"/>
  <c r="E156" i="25"/>
  <c r="D147" i="25"/>
  <c r="D151" i="25"/>
  <c r="I144" i="25"/>
  <c r="J144" i="25" s="1"/>
  <c r="J145" i="25" s="1"/>
  <c r="E144" i="25"/>
  <c r="E145" i="25" s="1"/>
  <c r="E146" i="25" s="1"/>
  <c r="E147" i="25" s="1"/>
  <c r="E148" i="25" s="1"/>
  <c r="E149" i="25" s="1"/>
  <c r="E150" i="25" s="1"/>
  <c r="E151" i="25" s="1"/>
  <c r="E152" i="25" s="1"/>
  <c r="E153" i="25" s="1"/>
  <c r="E154" i="25" s="1"/>
  <c r="E155" i="25" s="1"/>
  <c r="H147" i="25"/>
  <c r="G148" i="25"/>
  <c r="I147" i="25" l="1"/>
  <c r="J146" i="25"/>
  <c r="J147" i="25" s="1"/>
  <c r="H148" i="25"/>
  <c r="I148" i="25" s="1"/>
  <c r="G149" i="25"/>
  <c r="H149" i="25" l="1"/>
  <c r="I149" i="25" s="1"/>
  <c r="G150" i="25"/>
  <c r="J148" i="25"/>
  <c r="H150" i="25" l="1"/>
  <c r="I150" i="25" s="1"/>
  <c r="G151" i="25"/>
  <c r="J149" i="25"/>
  <c r="H151" i="25" l="1"/>
  <c r="I151" i="25" s="1"/>
  <c r="G152" i="25"/>
  <c r="J150" i="25"/>
  <c r="G153" i="25" l="1"/>
  <c r="H152" i="25"/>
  <c r="I152" i="25" s="1"/>
  <c r="J151" i="25"/>
  <c r="G154" i="25" l="1"/>
  <c r="H153" i="25"/>
  <c r="I153" i="25" s="1"/>
  <c r="J152" i="25"/>
  <c r="G155" i="25" l="1"/>
  <c r="H155" i="25" s="1"/>
  <c r="I155" i="25" s="1"/>
  <c r="H154" i="25"/>
  <c r="I154" i="25" s="1"/>
  <c r="J153" i="25"/>
  <c r="J154" i="25" l="1"/>
  <c r="J155" i="25" s="1"/>
  <c r="D24" i="25" s="1"/>
  <c r="F10" i="5" l="1"/>
  <c r="F9" i="5"/>
  <c r="F7" i="5"/>
  <c r="F6" i="5"/>
  <c r="D39" i="1" l="1"/>
  <c r="F38" i="1"/>
  <c r="G38" i="1" s="1"/>
  <c r="F37" i="1"/>
  <c r="G37" i="1" s="1"/>
  <c r="G39" i="1" l="1"/>
  <c r="F6" i="1" s="1"/>
  <c r="G19" i="1" s="1"/>
  <c r="G7" i="5"/>
  <c r="G6" i="5" l="1"/>
  <c r="G8" i="5" s="1"/>
  <c r="G12" i="5" s="1"/>
  <c r="F7" i="6" l="1"/>
  <c r="F6" i="6"/>
  <c r="G6" i="6" s="1"/>
  <c r="G7" i="6"/>
  <c r="G8" i="6" l="1"/>
  <c r="F8" i="3"/>
  <c r="B24" i="3" l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G30" i="1" l="1"/>
  <c r="G29" i="1"/>
  <c r="G28" i="1"/>
  <c r="G27" i="1"/>
  <c r="G26" i="1"/>
  <c r="G25" i="1"/>
  <c r="G24" i="1"/>
  <c r="G23" i="1"/>
  <c r="G22" i="1"/>
  <c r="G21" i="1"/>
  <c r="G20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 l="1"/>
  <c r="F11" i="3" s="1"/>
  <c r="F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D32" authorId="0" shapeId="0" xr:uid="{D6A31CD8-551C-442F-94F1-3D127B1082A6}">
      <text>
        <r>
          <rPr>
            <b/>
            <sz val="9"/>
            <color indexed="81"/>
            <rFont val="Tahoma"/>
            <family val="2"/>
          </rPr>
          <t>Changed from -$2,604,108 to $2,604,107 due to inadvertent input error.</t>
        </r>
      </text>
    </comment>
    <comment ref="P32" authorId="0" shapeId="0" xr:uid="{BFBFDF1B-206A-4F9D-9935-873834253AE0}">
      <text>
        <r>
          <rPr>
            <b/>
            <sz val="9"/>
            <color indexed="81"/>
            <rFont val="Tahoma"/>
            <family val="2"/>
          </rPr>
          <t>Changed all values in  Line 8 from negative to postive due to inadvertent input error.</t>
        </r>
      </text>
    </comment>
    <comment ref="O34" authorId="0" shapeId="0" xr:uid="{D6FB9595-6EE2-4072-BFE0-F0A1DE0F917C}">
      <text>
        <r>
          <rPr>
            <b/>
            <sz val="9"/>
            <color indexed="81"/>
            <rFont val="Tahoma"/>
            <family val="2"/>
          </rPr>
          <t>Changed all values in  Line 9 from negative to postive due to inadvertent input error.</t>
        </r>
      </text>
    </comment>
    <comment ref="P34" authorId="0" shapeId="0" xr:uid="{4BD1C435-C9AD-40A2-BE27-ABBE9A797729}">
      <text>
        <r>
          <rPr>
            <b/>
            <sz val="9"/>
            <color indexed="81"/>
            <rFont val="Tahoma"/>
            <family val="2"/>
          </rPr>
          <t xml:space="preserve">Changed from -$38,230,205 to $38,811,870 due to inadvertent input error. </t>
        </r>
      </text>
    </comment>
    <comment ref="G57" authorId="0" shapeId="0" xr:uid="{BE4D8439-A682-4CE5-8D5B-352D0A21B56F}">
      <text>
        <r>
          <rPr>
            <b/>
            <sz val="9"/>
            <color indexed="81"/>
            <rFont val="Tahoma"/>
            <family val="2"/>
          </rPr>
          <t xml:space="preserve">Changed from $1,241,102 to $5,957,289 due to inadvertent input error. </t>
        </r>
      </text>
    </comment>
    <comment ref="G58" authorId="0" shapeId="0" xr:uid="{C75AEBFF-8240-40A2-AEB2-52905C641B2B}">
      <text>
        <r>
          <rPr>
            <b/>
            <sz val="9"/>
            <color indexed="81"/>
            <rFont val="Tahoma"/>
            <family val="2"/>
          </rPr>
          <t xml:space="preserve">Changed from $9,981,454 to $12,972,287 due to inadvertent input error. </t>
        </r>
      </text>
    </comment>
    <comment ref="G59" authorId="0" shapeId="0" xr:uid="{FF1F147B-4FD7-473F-AD8A-D9347C25CCE8}">
      <text>
        <r>
          <rPr>
            <b/>
            <sz val="9"/>
            <color indexed="81"/>
            <rFont val="Tahoma"/>
            <family val="2"/>
          </rPr>
          <t>Changed from $2,665,752 to $6,272,358 due to inadvertent input error.</t>
        </r>
      </text>
    </comment>
    <comment ref="G60" authorId="0" shapeId="0" xr:uid="{1A873DFE-4F9C-4796-ABB4-B27F6D14A83F}">
      <text>
        <r>
          <rPr>
            <b/>
            <sz val="9"/>
            <color indexed="81"/>
            <rFont val="Tahoma"/>
            <family val="2"/>
          </rPr>
          <t xml:space="preserve">Changed from $3,637,761 to $6,419,578 due to inadvertent input error. </t>
        </r>
      </text>
    </comment>
    <comment ref="G61" authorId="0" shapeId="0" xr:uid="{BF7C704B-42B4-4726-9522-524529566391}">
      <text>
        <r>
          <rPr>
            <b/>
            <sz val="9"/>
            <color indexed="81"/>
            <rFont val="Tahoma"/>
            <family val="2"/>
          </rPr>
          <t>Changed from $4,349,881 to $6,959,810 due to inadvertent input error.</t>
        </r>
      </text>
    </comment>
    <comment ref="G62" authorId="0" shapeId="0" xr:uid="{AC05811C-EADE-41D0-97F6-ABA5836155BF}">
      <text>
        <r>
          <rPr>
            <b/>
            <sz val="9"/>
            <color indexed="81"/>
            <rFont val="Tahoma"/>
            <family val="2"/>
          </rPr>
          <t>Changed from $11,580,261 to $12,800,620 due to inadvertent input error.</t>
        </r>
      </text>
    </comment>
    <comment ref="F71" authorId="0" shapeId="0" xr:uid="{0D39BB3D-3DBE-41B9-BA6A-C4150DC23C16}">
      <text>
        <r>
          <rPr>
            <b/>
            <sz val="9"/>
            <color indexed="81"/>
            <rFont val="Tahoma"/>
            <family val="2"/>
          </rPr>
          <t xml:space="preserve">Changed from $1,997,238 to $7,184 due to inadvertent input error. </t>
        </r>
      </text>
    </comment>
    <comment ref="F72" authorId="0" shapeId="0" xr:uid="{A383CE3E-F279-4CA3-88F7-E79BEA4492EF}">
      <text>
        <r>
          <rPr>
            <b/>
            <sz val="9"/>
            <color indexed="81"/>
            <rFont val="Tahoma"/>
            <family val="2"/>
          </rPr>
          <t xml:space="preserve">Changed from $2,229,302 to $8,019 due to inadvertent input error. </t>
        </r>
      </text>
    </comment>
    <comment ref="F73" authorId="0" shapeId="0" xr:uid="{0D941F1A-7549-43B5-BB33-1377EF968299}">
      <text>
        <r>
          <rPr>
            <b/>
            <sz val="9"/>
            <color indexed="81"/>
            <rFont val="Tahoma"/>
            <family val="2"/>
          </rPr>
          <t xml:space="preserve">Changed from $1,342,377 to $17,898 due to inadvertent input error. </t>
        </r>
      </text>
    </comment>
    <comment ref="F74" authorId="0" shapeId="0" xr:uid="{72C77219-ADD9-481E-B2C0-278497D7246F}">
      <text>
        <r>
          <rPr>
            <b/>
            <sz val="9"/>
            <color indexed="81"/>
            <rFont val="Tahoma"/>
            <family val="2"/>
          </rPr>
          <t xml:space="preserve">Changed from $11,722,166 to $35,414 due to inadvertent input error.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K107" authorId="0" shapeId="0" xr:uid="{633BF5BB-3EA1-4308-9466-22FDFB8FF5C9}">
      <text>
        <r>
          <rPr>
            <b/>
            <sz val="9"/>
            <color indexed="81"/>
            <rFont val="Tahoma"/>
            <family val="2"/>
          </rPr>
          <t xml:space="preserve">Changed from -$29,467,842 to -$15,761,285 to adjust EDIT balance. 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D24" authorId="0" shapeId="0" xr:uid="{D8D7C866-4651-4075-9B06-7C54FB60A363}">
      <text>
        <r>
          <rPr>
            <b/>
            <sz val="9"/>
            <color indexed="81"/>
            <rFont val="Tahoma"/>
            <family val="2"/>
          </rPr>
          <t>Changed from -$2,604,108 to $2,604,107 due to inadvertent input error.</t>
        </r>
      </text>
    </comment>
    <comment ref="P24" authorId="0" shapeId="0" xr:uid="{192CDFEB-6208-469E-9F01-DF416FE5896F}">
      <text>
        <r>
          <rPr>
            <b/>
            <sz val="9"/>
            <color indexed="81"/>
            <rFont val="Tahoma"/>
            <family val="2"/>
          </rPr>
          <t>Changed all values in  Line 8 from negative to postive due to inadvertent input error.</t>
        </r>
      </text>
    </comment>
    <comment ref="O26" authorId="0" shapeId="0" xr:uid="{C5EDF712-B8A5-4433-BCAB-C6CCE77164F0}">
      <text>
        <r>
          <rPr>
            <b/>
            <sz val="9"/>
            <color indexed="81"/>
            <rFont val="Tahoma"/>
            <family val="2"/>
          </rPr>
          <t>Changed all values in  Line 9 from negative to postive due to inadvertent input error.</t>
        </r>
      </text>
    </comment>
    <comment ref="P26" authorId="0" shapeId="0" xr:uid="{796B2536-4273-4283-A103-D904593E1709}">
      <text>
        <r>
          <rPr>
            <b/>
            <sz val="9"/>
            <color indexed="81"/>
            <rFont val="Tahoma"/>
            <family val="2"/>
          </rPr>
          <t xml:space="preserve">Changed from -$38,230,205 to $38,811,870 due to inadvertent input error. </t>
        </r>
      </text>
    </comment>
    <comment ref="G44" authorId="0" shapeId="0" xr:uid="{5FC367BE-64E2-4FCA-8402-384DE790A20C}">
      <text>
        <r>
          <rPr>
            <b/>
            <sz val="9"/>
            <color indexed="81"/>
            <rFont val="Tahoma"/>
            <family val="2"/>
          </rPr>
          <t xml:space="preserve">Changed from $1,241,102 to $5,957,289 due to inadvertent input error. </t>
        </r>
      </text>
    </comment>
    <comment ref="G45" authorId="0" shapeId="0" xr:uid="{14BCEE3B-4C91-408D-8679-E8A6D9A18BF8}">
      <text>
        <r>
          <rPr>
            <b/>
            <sz val="9"/>
            <color indexed="81"/>
            <rFont val="Tahoma"/>
            <family val="2"/>
          </rPr>
          <t xml:space="preserve">Changed from $9,981,454 to $12,972,287 due to inadvertent input error. </t>
        </r>
      </text>
    </comment>
    <comment ref="G46" authorId="0" shapeId="0" xr:uid="{91F98C05-EA6F-49C1-A54C-10907EF55083}">
      <text>
        <r>
          <rPr>
            <b/>
            <sz val="9"/>
            <color indexed="81"/>
            <rFont val="Tahoma"/>
            <family val="2"/>
          </rPr>
          <t>Changed from $2,665,752 to $6,272,358 due to inadvertent input error.</t>
        </r>
      </text>
    </comment>
    <comment ref="G47" authorId="0" shapeId="0" xr:uid="{12CB0AF3-09FE-441B-AB7C-672D29C04B7B}">
      <text>
        <r>
          <rPr>
            <b/>
            <sz val="9"/>
            <color indexed="81"/>
            <rFont val="Tahoma"/>
            <family val="2"/>
          </rPr>
          <t xml:space="preserve">Changed from $3,637,761 to $6,419,578 due to inadvertent input error. </t>
        </r>
      </text>
    </comment>
    <comment ref="G48" authorId="0" shapeId="0" xr:uid="{346B85E1-29D1-4C83-B8ED-E134FF4A27C0}">
      <text>
        <r>
          <rPr>
            <b/>
            <sz val="9"/>
            <color indexed="81"/>
            <rFont val="Tahoma"/>
            <family val="2"/>
          </rPr>
          <t>Changed from $4,349,881 to $6,959,810 due to inadvertent input error.</t>
        </r>
      </text>
    </comment>
    <comment ref="G49" authorId="0" shapeId="0" xr:uid="{99E5EC6B-F28E-4BB9-9A09-FA4A867D09D3}">
      <text>
        <r>
          <rPr>
            <b/>
            <sz val="9"/>
            <color indexed="81"/>
            <rFont val="Tahoma"/>
            <family val="2"/>
          </rPr>
          <t>Changed from $11,580,261 to $12,800,620 due to inadvertent input error.</t>
        </r>
      </text>
    </comment>
    <comment ref="F58" authorId="0" shapeId="0" xr:uid="{5AD73E3B-B584-41D8-8666-98C744BE0268}">
      <text>
        <r>
          <rPr>
            <b/>
            <sz val="9"/>
            <color indexed="81"/>
            <rFont val="Tahoma"/>
            <family val="2"/>
          </rPr>
          <t xml:space="preserve">Changed from $1,997,238 to $7,184 due to inadvertent input error. </t>
        </r>
      </text>
    </comment>
    <comment ref="F59" authorId="0" shapeId="0" xr:uid="{E1E0E3BA-ADEF-4AC2-B2FD-3C03A380733E}">
      <text>
        <r>
          <rPr>
            <b/>
            <sz val="9"/>
            <color indexed="81"/>
            <rFont val="Tahoma"/>
            <family val="2"/>
          </rPr>
          <t xml:space="preserve">Changed from $2,229,302 to $8,019 due to inadvertent input error. </t>
        </r>
      </text>
    </comment>
    <comment ref="F60" authorId="0" shapeId="0" xr:uid="{3CC23C80-E9C4-4F03-B44F-71F06B15E16C}">
      <text>
        <r>
          <rPr>
            <b/>
            <sz val="9"/>
            <color indexed="81"/>
            <rFont val="Tahoma"/>
            <family val="2"/>
          </rPr>
          <t xml:space="preserve">Changed from $1,342,377 to $17,898 due to inadvertent input error. </t>
        </r>
      </text>
    </comment>
    <comment ref="F61" authorId="0" shapeId="0" xr:uid="{2FCB8B1B-AF32-4540-9BAF-412CBD6CEF85}">
      <text>
        <r>
          <rPr>
            <b/>
            <sz val="9"/>
            <color indexed="81"/>
            <rFont val="Tahoma"/>
            <family val="2"/>
          </rPr>
          <t xml:space="preserve">Changed from $11,722,166 to $35,414 due to inadvertent input error. 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F33" authorId="0" shapeId="0" xr:uid="{F3F7F8FB-331C-4824-9FDE-6F5D5C12CF39}">
      <text>
        <r>
          <rPr>
            <b/>
            <sz val="8"/>
            <color indexed="81"/>
            <rFont val="Tahoma"/>
            <family val="2"/>
          </rPr>
          <t>Changed from $123,208,374 to $123,664,745 due to CWIP balance adjustment of $456,371.</t>
        </r>
      </text>
    </comment>
    <comment ref="G33" authorId="0" shapeId="0" xr:uid="{D33D1CDB-DB22-46E2-AED5-ADAD6BBE27E9}">
      <text>
        <r>
          <rPr>
            <b/>
            <sz val="8"/>
            <color indexed="81"/>
            <rFont val="Tahoma"/>
            <family val="2"/>
          </rPr>
          <t>Changed from $20,101,220 to $20,339,747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3" authorId="0" shapeId="0" xr:uid="{F5DC0858-E69C-4BF8-A1E8-702D325BBE20}">
      <text>
        <r>
          <rPr>
            <b/>
            <sz val="8"/>
            <color indexed="81"/>
            <rFont val="Tahoma"/>
            <family val="2"/>
          </rPr>
          <t>Changed from $65,187,847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4" authorId="0" shapeId="0" xr:uid="{ED99F9DD-4D4E-49FE-BC49-58F3C3F1C3E3}">
      <text>
        <r>
          <rPr>
            <b/>
            <sz val="8"/>
            <color indexed="81"/>
            <rFont val="Tahoma"/>
            <family val="2"/>
          </rPr>
          <t>Changed from $128,092,183 to $128,548,553 due to CWIP balance adjustment of $456,371.</t>
        </r>
      </text>
    </comment>
    <comment ref="G34" authorId="0" shapeId="0" xr:uid="{40CBBE38-A889-474B-8B6B-7796B9E4DFAB}">
      <text>
        <r>
          <rPr>
            <b/>
            <sz val="8"/>
            <color indexed="81"/>
            <rFont val="Tahoma"/>
            <family val="2"/>
          </rPr>
          <t>Changed from $20,216,361 to $20,454,887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4" authorId="0" shapeId="0" xr:uid="{2D4DB53A-7436-4787-9CF0-2196623B039C}">
      <text>
        <r>
          <rPr>
            <b/>
            <sz val="8"/>
            <color indexed="81"/>
            <rFont val="Tahoma"/>
            <family val="2"/>
          </rPr>
          <t>Changed from $64,859,596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5" authorId="0" shapeId="0" xr:uid="{34B0831D-18E2-4A8D-A5DE-5812FFFA3A8E}">
      <text>
        <r>
          <rPr>
            <b/>
            <sz val="8"/>
            <color indexed="81"/>
            <rFont val="Tahoma"/>
            <family val="2"/>
          </rPr>
          <t>Changed from $129,020,038 to $129,476,409 due to CWIP balance adjustment of $456,371.</t>
        </r>
      </text>
    </comment>
    <comment ref="G35" authorId="0" shapeId="0" xr:uid="{445E6F2C-DE81-438C-A05B-6EE114E719BB}">
      <text>
        <r>
          <rPr>
            <b/>
            <sz val="8"/>
            <color indexed="81"/>
            <rFont val="Tahoma"/>
            <family val="2"/>
          </rPr>
          <t>Changed from $20,299,976 to $20,538,502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5" authorId="0" shapeId="0" xr:uid="{0009EA1B-BB62-4771-9E5E-40645EB8AC33}">
      <text>
        <r>
          <rPr>
            <b/>
            <sz val="8"/>
            <color indexed="81"/>
            <rFont val="Tahoma"/>
            <family val="2"/>
          </rPr>
          <t>Changed from $65,581,867 to $65,615,499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0" shapeId="0" xr:uid="{BA1DA67B-FFF9-4517-9BD9-9CECA5461939}">
      <text>
        <r>
          <rPr>
            <b/>
            <sz val="8"/>
            <color indexed="81"/>
            <rFont val="Tahoma"/>
            <family val="2"/>
          </rPr>
          <t>Changed from $129,270,523 to $129,726,893 due to CWIP balance adjustment of $456,371.</t>
        </r>
      </text>
    </comment>
    <comment ref="G36" authorId="0" shapeId="0" xr:uid="{BA5CF487-03EB-45A4-96B6-70BEEF242F19}">
      <text>
        <r>
          <rPr>
            <b/>
            <sz val="8"/>
            <color indexed="81"/>
            <rFont val="Tahoma"/>
            <family val="2"/>
          </rPr>
          <t>Changed from $20,304,469 to $20,578,995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6" authorId="0" shapeId="0" xr:uid="{5E2F55C2-E130-44CC-BE1A-4EE563861EFE}">
      <text>
        <r>
          <rPr>
            <b/>
            <sz val="8"/>
            <color indexed="81"/>
            <rFont val="Tahoma"/>
            <family val="2"/>
          </rPr>
          <t>Changed from $67,231,842 to $67,265,473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 xr:uid="{AE51257E-03F1-458A-A831-5A301005A60F}">
      <text>
        <r>
          <rPr>
            <b/>
            <sz val="8"/>
            <color indexed="81"/>
            <rFont val="Tahoma"/>
            <family val="2"/>
          </rPr>
          <t>Changed from $140,178,321 to $140,634,692 due to CWIP balance adjustment of $456,371.</t>
        </r>
      </text>
    </comment>
    <comment ref="G37" authorId="0" shapeId="0" xr:uid="{34E423C1-5243-42CE-AD43-9AFD0BC28BDA}">
      <text>
        <r>
          <rPr>
            <b/>
            <sz val="8"/>
            <color indexed="81"/>
            <rFont val="Tahoma"/>
            <family val="2"/>
          </rPr>
          <t>Changed from $20,568,514 to $20,899,436 due to CWIP balance adjustment of $330,923.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7" authorId="0" shapeId="0" xr:uid="{ED4D6CD1-D47B-49E8-B3E3-E17F701011F0}">
      <text>
        <r>
          <rPr>
            <b/>
            <sz val="8"/>
            <color indexed="81"/>
            <rFont val="Tahoma"/>
            <family val="2"/>
          </rPr>
          <t>Changed from $68,263,415 to $68,297,047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EA84292A-A26D-4B3F-A8D7-175E8FA7BD52}">
      <text>
        <r>
          <rPr>
            <b/>
            <sz val="8"/>
            <color indexed="81"/>
            <rFont val="Tahoma"/>
            <family val="2"/>
          </rPr>
          <t>Changed from $148,755,310 to $149,211,681 due to CWIP balance adjustment of $456,371.</t>
        </r>
      </text>
    </comment>
    <comment ref="G38" authorId="0" shapeId="0" xr:uid="{19376728-FF48-4B2F-A496-3F05B4433F21}">
      <text>
        <r>
          <rPr>
            <b/>
            <sz val="8"/>
            <color indexed="81"/>
            <rFont val="Tahoma"/>
            <family val="2"/>
          </rPr>
          <t>Changed from $20,672,615 to $20,911,142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8" authorId="0" shapeId="0" xr:uid="{6B476523-D81E-436B-886E-CB2DBCD9975A}">
      <text>
        <r>
          <rPr>
            <b/>
            <sz val="8"/>
            <color indexed="81"/>
            <rFont val="Tahoma"/>
            <family val="2"/>
          </rPr>
          <t>Changed from $69,855,849 to $69,889,512 due to CWIP balance adjustment of $33,663.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CD0652F4-A71F-4EBB-A91A-B4B70481C395}">
      <text>
        <r>
          <rPr>
            <b/>
            <sz val="8"/>
            <color indexed="81"/>
            <rFont val="Tahoma"/>
            <family val="2"/>
          </rPr>
          <t>Changed from $158,253,220 to $158,709,590 due to CWIP balance adjustment of $456,371.</t>
        </r>
      </text>
    </comment>
    <comment ref="G39" authorId="0" shapeId="0" xr:uid="{A5C1BD9C-BAC5-4452-855B-94042F46B22F}">
      <text>
        <r>
          <rPr>
            <b/>
            <sz val="8"/>
            <color indexed="81"/>
            <rFont val="Tahoma"/>
            <family val="2"/>
          </rPr>
          <t>Changed from $20,786,418 to $21,024,944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9" authorId="0" shapeId="0" xr:uid="{EB3249BB-3009-4E2A-85C0-44AF5FE118F0}">
      <text>
        <r>
          <rPr>
            <b/>
            <sz val="8"/>
            <color indexed="81"/>
            <rFont val="Tahoma"/>
            <family val="2"/>
          </rPr>
          <t>Changed from $72,405,171 to $72,438,803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78C10EA6-1D3C-4AF0-86B0-CE2CF6799D54}">
      <text>
        <r>
          <rPr>
            <b/>
            <sz val="8"/>
            <color indexed="81"/>
            <rFont val="Tahoma"/>
            <family val="2"/>
          </rPr>
          <t>Changed from $160,897,149 to $161,353,520 due to CWIP balance adjustment of $456,371.</t>
        </r>
      </text>
    </comment>
    <comment ref="G40" authorId="0" shapeId="0" xr:uid="{F100E68C-5FB3-4E2F-994A-00BB430C3C0A}">
      <text>
        <r>
          <rPr>
            <b/>
            <sz val="8"/>
            <color indexed="81"/>
            <rFont val="Tahoma"/>
            <family val="2"/>
          </rPr>
          <t>Changed from $20,870,506 to $21,109,032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0" authorId="0" shapeId="0" xr:uid="{D72FB501-A596-4219-814B-A1387004235B}">
      <text>
        <r>
          <rPr>
            <b/>
            <sz val="8"/>
            <color indexed="81"/>
            <rFont val="Tahoma"/>
            <family val="2"/>
          </rPr>
          <t>Changed from $73,994,269 to $74,027,900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1936F302-E180-4A25-90DA-DC811B02F861}">
      <text>
        <r>
          <rPr>
            <b/>
            <sz val="8"/>
            <color indexed="81"/>
            <rFont val="Tahoma"/>
            <family val="2"/>
          </rPr>
          <t>Changed from $163,331,531 to $163,796,363 due to CWIP balance adjustment of $464,832.</t>
        </r>
      </text>
    </comment>
    <comment ref="G41" authorId="0" shapeId="0" xr:uid="{F7FA842D-BA18-4E84-B043-46FBFFDD811F}">
      <text>
        <r>
          <rPr>
            <b/>
            <sz val="8"/>
            <color indexed="81"/>
            <rFont val="Tahoma"/>
            <family val="2"/>
          </rPr>
          <t>Changed from $21,042,057 to $21,208,583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1" authorId="0" shapeId="0" xr:uid="{32DC02C7-B876-45BC-8F97-5C79E7DEB31F}">
      <text>
        <r>
          <rPr>
            <b/>
            <sz val="8"/>
            <color indexed="81"/>
            <rFont val="Tahoma"/>
            <family val="2"/>
          </rPr>
          <t>Changed from $76,121,219 to $76,154,850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1A0E41CF-142F-4AF9-9870-3EE9469CB726}">
      <text>
        <r>
          <rPr>
            <b/>
            <sz val="8"/>
            <color indexed="81"/>
            <rFont val="Tahoma"/>
            <family val="2"/>
          </rPr>
          <t>Changed from $172,963,346 to $173,428,178 due to CWIP balance adjustment of $464,832.</t>
        </r>
      </text>
    </comment>
    <comment ref="G42" authorId="0" shapeId="0" xr:uid="{654DF14A-3B3A-4AB6-898A-D54AEBEF3F07}">
      <text>
        <r>
          <rPr>
            <b/>
            <sz val="8"/>
            <color indexed="81"/>
            <rFont val="Tahoma"/>
            <family val="2"/>
          </rPr>
          <t>Changed from $21,184,791 to $21,423,317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2" authorId="0" shapeId="0" xr:uid="{450EE9A1-3CD0-4C2A-90D1-688172FDB69D}">
      <text>
        <r>
          <rPr>
            <b/>
            <sz val="8"/>
            <color indexed="81"/>
            <rFont val="Tahoma"/>
            <family val="2"/>
          </rPr>
          <t>Changed from $84,007,919 to $84,041,551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 xr:uid="{D52228DE-BB15-4AF2-A49A-BC8183DE273A}">
      <text>
        <r>
          <rPr>
            <b/>
            <sz val="8"/>
            <color indexed="81"/>
            <rFont val="Tahoma"/>
            <family val="2"/>
          </rPr>
          <t>Changed from $180,404,574 to $180,869,406 due to CWIP balance adjustment of $464,832.</t>
        </r>
      </text>
    </comment>
    <comment ref="G43" authorId="0" shapeId="0" xr:uid="{0237EA03-AE60-4B28-A379-85360F49969B}">
      <text>
        <r>
          <rPr>
            <b/>
            <sz val="8"/>
            <color indexed="81"/>
            <rFont val="Tahoma"/>
            <family val="2"/>
          </rPr>
          <t>Changed from $21,434,293 to $21,672,819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3" authorId="0" shapeId="0" xr:uid="{426A6EB5-01C0-46AB-BB2B-35935A823420}">
      <text>
        <r>
          <rPr>
            <b/>
            <sz val="8"/>
            <color indexed="81"/>
            <rFont val="Tahoma"/>
            <family val="2"/>
          </rPr>
          <t>Changed from $85,024,777 to $85,058,408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 shapeId="0" xr:uid="{42191D9C-8E9E-49C2-BBE3-2B42E87A69ED}">
      <text>
        <r>
          <rPr>
            <b/>
            <sz val="8"/>
            <color indexed="81"/>
            <rFont val="Tahoma"/>
            <family val="2"/>
          </rPr>
          <t>Changed from $184,436,998 to $184,901,830 due to CWIP balance adjustment of $464,832.</t>
        </r>
      </text>
    </comment>
    <comment ref="G44" authorId="0" shapeId="0" xr:uid="{B2BA4602-3D8D-418C-878F-FC9FFE8C1AA2}">
      <text>
        <r>
          <rPr>
            <b/>
            <sz val="8"/>
            <color indexed="81"/>
            <rFont val="Tahoma"/>
            <family val="2"/>
          </rPr>
          <t>Changed from $21,570,700 to $21,809,226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4" authorId="0" shapeId="0" xr:uid="{020D3DC3-E8A8-4BB3-A3D4-91E86B502B52}">
      <text>
        <r>
          <rPr>
            <b/>
            <sz val="8"/>
            <color indexed="81"/>
            <rFont val="Tahoma"/>
            <family val="2"/>
          </rPr>
          <t>Changed from $88,450,777 to $88,484,408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5" authorId="0" shapeId="0" xr:uid="{8A3B2746-B43D-41C7-8A83-FFFDE1C45665}">
      <text>
        <r>
          <rPr>
            <b/>
            <sz val="8"/>
            <color indexed="81"/>
            <rFont val="Tahoma"/>
            <family val="2"/>
          </rPr>
          <t>Changed from $49,845,413 to $49,854,943 due to CWIP balance adjustment of $9,530.</t>
        </r>
      </text>
    </comment>
    <comment ref="G45" authorId="0" shapeId="0" xr:uid="{4688A632-9455-460D-A529-562F291D30A7}">
      <text>
        <r>
          <rPr>
            <b/>
            <sz val="8"/>
            <color indexed="81"/>
            <rFont val="Tahoma"/>
            <family val="2"/>
          </rPr>
          <t>Changed from $21,762,814 to $22,001,340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5" authorId="0" shapeId="0" xr:uid="{A9A20CE6-FE72-4FB3-A32C-61EDC1C670F2}">
      <text>
        <r>
          <rPr>
            <b/>
            <sz val="8"/>
            <color indexed="81"/>
            <rFont val="Tahoma"/>
            <family val="2"/>
          </rPr>
          <t>Changed from $101,708,199 to $101,741,830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E40" authorId="0" shapeId="0" xr:uid="{C701100E-22EC-4F77-9046-7FBDC3FA510C}">
      <text>
        <r>
          <rPr>
            <b/>
            <sz val="9"/>
            <color indexed="81"/>
            <rFont val="Tahoma"/>
            <family val="2"/>
          </rPr>
          <t>Changed from $8,182,301 to $8,235,606 due to inadvertent input error.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C39" authorId="0" shapeId="0" xr:uid="{DA9F38C8-94AD-473B-91B7-AD813712EACA}">
      <text>
        <r>
          <rPr>
            <b/>
            <sz val="9"/>
            <color indexed="81"/>
            <rFont val="Tahoma"/>
            <family val="2"/>
          </rPr>
          <t>Added line to remove 2019 Wildfire Reserve amounts from ADIT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F33" authorId="0" shapeId="0" xr:uid="{AFF64958-8770-40B8-8E05-E21B15BD2D28}">
      <text>
        <r>
          <rPr>
            <b/>
            <sz val="8"/>
            <color indexed="81"/>
            <rFont val="Tahoma"/>
            <family val="2"/>
          </rPr>
          <t>Changed from $123,208,374 to $123,664,745 due to CWIP balance adjustment of $456,371.</t>
        </r>
      </text>
    </comment>
    <comment ref="G33" authorId="0" shapeId="0" xr:uid="{392C5785-B204-4343-942B-26E72E4F83DE}">
      <text>
        <r>
          <rPr>
            <b/>
            <sz val="8"/>
            <color indexed="81"/>
            <rFont val="Tahoma"/>
            <family val="2"/>
          </rPr>
          <t>Changed from $20,101,220 to $20,339,747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3" authorId="0" shapeId="0" xr:uid="{958E97C2-3194-463E-BFF7-711B61FFF341}">
      <text>
        <r>
          <rPr>
            <b/>
            <sz val="8"/>
            <color indexed="81"/>
            <rFont val="Tahoma"/>
            <family val="2"/>
          </rPr>
          <t>Changed from $65,187,847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4" authorId="0" shapeId="0" xr:uid="{23553AAA-025D-4C85-BC41-13EF00E7C976}">
      <text>
        <r>
          <rPr>
            <b/>
            <sz val="8"/>
            <color indexed="81"/>
            <rFont val="Tahoma"/>
            <family val="2"/>
          </rPr>
          <t>Changed from $128,092,183 to $128,548,553 due to CWIP balance adjustment of $456,371.</t>
        </r>
      </text>
    </comment>
    <comment ref="G34" authorId="0" shapeId="0" xr:uid="{016378DE-B874-4AF7-B7AE-8AFA7E2AE272}">
      <text>
        <r>
          <rPr>
            <b/>
            <sz val="8"/>
            <color indexed="81"/>
            <rFont val="Tahoma"/>
            <family val="2"/>
          </rPr>
          <t>Changed from $20,216,361 to $20,454,887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4" authorId="0" shapeId="0" xr:uid="{76276E28-D564-4A54-8E19-7B484CE86739}">
      <text>
        <r>
          <rPr>
            <b/>
            <sz val="8"/>
            <color indexed="81"/>
            <rFont val="Tahoma"/>
            <family val="2"/>
          </rPr>
          <t>Changed from $64,859,596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5" authorId="0" shapeId="0" xr:uid="{25AF185B-DC7C-4907-AC29-2A67F9F429EC}">
      <text>
        <r>
          <rPr>
            <b/>
            <sz val="8"/>
            <color indexed="81"/>
            <rFont val="Tahoma"/>
            <family val="2"/>
          </rPr>
          <t>Changed from $129,020,038 to $129,476,409 due to CWIP balance adjustment of $456,371.</t>
        </r>
      </text>
    </comment>
    <comment ref="G35" authorId="0" shapeId="0" xr:uid="{B6B7FAA0-5DEC-4098-B6AD-F7779F744946}">
      <text>
        <r>
          <rPr>
            <b/>
            <sz val="8"/>
            <color indexed="81"/>
            <rFont val="Tahoma"/>
            <family val="2"/>
          </rPr>
          <t>Changed from $20,299,976 to $20,538,502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5" authorId="0" shapeId="0" xr:uid="{04450015-50CF-419B-9EB3-D896BAF93C32}">
      <text>
        <r>
          <rPr>
            <b/>
            <sz val="8"/>
            <color indexed="81"/>
            <rFont val="Tahoma"/>
            <family val="2"/>
          </rPr>
          <t>Changed from $65,581,867 to $65,615,499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0" shapeId="0" xr:uid="{882C18C2-8715-44D4-901D-428C1558DD52}">
      <text>
        <r>
          <rPr>
            <b/>
            <sz val="8"/>
            <color indexed="81"/>
            <rFont val="Tahoma"/>
            <family val="2"/>
          </rPr>
          <t>Changed from $129,270,523 to $129,726,893 due to CWIP balance adjustment of $456,371.</t>
        </r>
      </text>
    </comment>
    <comment ref="G36" authorId="0" shapeId="0" xr:uid="{08E37A25-70C5-484B-B543-134E46675285}">
      <text>
        <r>
          <rPr>
            <b/>
            <sz val="8"/>
            <color indexed="81"/>
            <rFont val="Tahoma"/>
            <family val="2"/>
          </rPr>
          <t>Changed from $20,304,469 to $20,578,995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6" authorId="0" shapeId="0" xr:uid="{3579CD8E-FD62-4746-8F49-16A9ADA2E782}">
      <text>
        <r>
          <rPr>
            <b/>
            <sz val="8"/>
            <color indexed="81"/>
            <rFont val="Tahoma"/>
            <family val="2"/>
          </rPr>
          <t>Changed from $67,231,842 to $67,265,473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 xr:uid="{080CACD3-CEEA-4811-B900-BD3B6F775ADD}">
      <text>
        <r>
          <rPr>
            <b/>
            <sz val="8"/>
            <color indexed="81"/>
            <rFont val="Tahoma"/>
            <family val="2"/>
          </rPr>
          <t>Changed from $140,178,321 to $140,634,692 due to CWIP balance adjustment of $456,371.</t>
        </r>
      </text>
    </comment>
    <comment ref="G37" authorId="0" shapeId="0" xr:uid="{3141C8AD-31EC-4B5B-8A2C-812210DA52B2}">
      <text>
        <r>
          <rPr>
            <b/>
            <sz val="8"/>
            <color indexed="81"/>
            <rFont val="Tahoma"/>
            <family val="2"/>
          </rPr>
          <t>Changed from $20,568,514 to $20,899,436 due to CWIP balance adjustment of $330,923.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7" authorId="0" shapeId="0" xr:uid="{08CADDBB-2B7F-493E-9BA1-1C95ACF20AF8}">
      <text>
        <r>
          <rPr>
            <b/>
            <sz val="8"/>
            <color indexed="81"/>
            <rFont val="Tahoma"/>
            <family val="2"/>
          </rPr>
          <t>Changed from $68,263,415 to $68,297,047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72917D49-0966-4DAC-91E3-4E324FECB331}">
      <text>
        <r>
          <rPr>
            <b/>
            <sz val="8"/>
            <color indexed="81"/>
            <rFont val="Tahoma"/>
            <family val="2"/>
          </rPr>
          <t>Changed from $148,755,310 to $149,211,681 due to CWIP balance adjustment of $456,371.</t>
        </r>
      </text>
    </comment>
    <comment ref="G38" authorId="0" shapeId="0" xr:uid="{83F85FBE-2843-40D3-A611-9D62215A1928}">
      <text>
        <r>
          <rPr>
            <b/>
            <sz val="8"/>
            <color indexed="81"/>
            <rFont val="Tahoma"/>
            <family val="2"/>
          </rPr>
          <t>Changed from $20,672,615 to $20,911,142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8" authorId="0" shapeId="0" xr:uid="{61B0301A-4DBA-4DAF-B53B-2DFA9A32FE30}">
      <text>
        <r>
          <rPr>
            <b/>
            <sz val="8"/>
            <color indexed="81"/>
            <rFont val="Tahoma"/>
            <family val="2"/>
          </rPr>
          <t>Changed from $69,855,849 to $69,889,512 due to CWIP balance adjustment of $33,663.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EF1501FB-40F9-41C1-A10B-F041933C4DD3}">
      <text>
        <r>
          <rPr>
            <b/>
            <sz val="8"/>
            <color indexed="81"/>
            <rFont val="Tahoma"/>
            <family val="2"/>
          </rPr>
          <t>Changed from $158,253,220 to $158,709,590 due to CWIP balance adjustment of $456,371.</t>
        </r>
      </text>
    </comment>
    <comment ref="G39" authorId="0" shapeId="0" xr:uid="{7638BD84-C73E-4844-9DA7-4614D9B7BEF8}">
      <text>
        <r>
          <rPr>
            <b/>
            <sz val="8"/>
            <color indexed="81"/>
            <rFont val="Tahoma"/>
            <family val="2"/>
          </rPr>
          <t>Changed from $20,786,418 to $21,024,944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9" authorId="0" shapeId="0" xr:uid="{6C552BB2-3862-4FBF-9888-A82D4DD55600}">
      <text>
        <r>
          <rPr>
            <b/>
            <sz val="8"/>
            <color indexed="81"/>
            <rFont val="Tahoma"/>
            <family val="2"/>
          </rPr>
          <t>Changed from $72,405,171 to $72,438,803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B402BF46-7198-4AA0-9F02-54D5F8B993CC}">
      <text>
        <r>
          <rPr>
            <b/>
            <sz val="8"/>
            <color indexed="81"/>
            <rFont val="Tahoma"/>
            <family val="2"/>
          </rPr>
          <t>Changed from $160,897,149 to $161,353,520 due to CWIP balance adjustment of $456,371.</t>
        </r>
      </text>
    </comment>
    <comment ref="G40" authorId="0" shapeId="0" xr:uid="{B44C9985-6A0F-4FEA-AFB0-5B6411B6D43F}">
      <text>
        <r>
          <rPr>
            <b/>
            <sz val="8"/>
            <color indexed="81"/>
            <rFont val="Tahoma"/>
            <family val="2"/>
          </rPr>
          <t>Changed from $20,870,506 to $21,109,032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0" authorId="0" shapeId="0" xr:uid="{D100CD0B-2BFC-4330-ABAF-F03FB9260A64}">
      <text>
        <r>
          <rPr>
            <b/>
            <sz val="8"/>
            <color indexed="81"/>
            <rFont val="Tahoma"/>
            <family val="2"/>
          </rPr>
          <t>Changed from $73,994,269 to $74,027,900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C192C287-C52C-4C39-8104-70C3DC767BAC}">
      <text>
        <r>
          <rPr>
            <b/>
            <sz val="8"/>
            <color indexed="81"/>
            <rFont val="Tahoma"/>
            <family val="2"/>
          </rPr>
          <t>Changed from $163,331,531 to $163,796,363 due to CWIP balance adjustment of $464,832.</t>
        </r>
      </text>
    </comment>
    <comment ref="G41" authorId="0" shapeId="0" xr:uid="{3DC88DB7-E766-4BF5-A9CD-1B0FB1EF443F}">
      <text>
        <r>
          <rPr>
            <b/>
            <sz val="8"/>
            <color indexed="81"/>
            <rFont val="Tahoma"/>
            <family val="2"/>
          </rPr>
          <t>Changed from $21,042,057 to $21,208,583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1" authorId="0" shapeId="0" xr:uid="{7D9291DA-0EAD-42FF-B8BF-15BF0BEB71B1}">
      <text>
        <r>
          <rPr>
            <b/>
            <sz val="8"/>
            <color indexed="81"/>
            <rFont val="Tahoma"/>
            <family val="2"/>
          </rPr>
          <t>Changed from $76,121,219 to $76,154,850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C77BE198-864B-44D2-AF0B-DB19446ADFD0}">
      <text>
        <r>
          <rPr>
            <b/>
            <sz val="8"/>
            <color indexed="81"/>
            <rFont val="Tahoma"/>
            <family val="2"/>
          </rPr>
          <t>Changed from $172,963,346 to $173,428,178 due to CWIP balance adjustment of $464,832.</t>
        </r>
      </text>
    </comment>
    <comment ref="G42" authorId="0" shapeId="0" xr:uid="{48D1E5A4-FC6B-4514-9389-B0B320F2A814}">
      <text>
        <r>
          <rPr>
            <b/>
            <sz val="8"/>
            <color indexed="81"/>
            <rFont val="Tahoma"/>
            <family val="2"/>
          </rPr>
          <t>Changed from $21,184,791 to $21,423,317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2" authorId="0" shapeId="0" xr:uid="{39BF6956-2587-4180-B07B-F7B914B804FB}">
      <text>
        <r>
          <rPr>
            <b/>
            <sz val="8"/>
            <color indexed="81"/>
            <rFont val="Tahoma"/>
            <family val="2"/>
          </rPr>
          <t>Changed from $84,007,919 to $84,041,551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 xr:uid="{2B887170-BF03-45A8-BB85-31BFFBB0BB5C}">
      <text>
        <r>
          <rPr>
            <b/>
            <sz val="8"/>
            <color indexed="81"/>
            <rFont val="Tahoma"/>
            <family val="2"/>
          </rPr>
          <t>Changed from $180,404,574 to $180,869,406 due to CWIP balance adjustment of $464,832.</t>
        </r>
      </text>
    </comment>
    <comment ref="G43" authorId="0" shapeId="0" xr:uid="{F029A731-F570-4448-BC3D-DAB16C49D823}">
      <text>
        <r>
          <rPr>
            <b/>
            <sz val="8"/>
            <color indexed="81"/>
            <rFont val="Tahoma"/>
            <family val="2"/>
          </rPr>
          <t>Changed from $21,434,293 to $21,672,819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3" authorId="0" shapeId="0" xr:uid="{C3692689-7115-45E1-AB6B-6B73CAF2CB3E}">
      <text>
        <r>
          <rPr>
            <b/>
            <sz val="8"/>
            <color indexed="81"/>
            <rFont val="Tahoma"/>
            <family val="2"/>
          </rPr>
          <t>Changed from $85,024,777 to $85,058,408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 shapeId="0" xr:uid="{D853715E-9A21-4F99-A01A-E41AEE3A3645}">
      <text>
        <r>
          <rPr>
            <b/>
            <sz val="8"/>
            <color indexed="81"/>
            <rFont val="Tahoma"/>
            <family val="2"/>
          </rPr>
          <t>Changed from $184,436,998 to $184,901,830 due to CWIP balance adjustment of $464,832.</t>
        </r>
      </text>
    </comment>
    <comment ref="G44" authorId="0" shapeId="0" xr:uid="{C1049108-E9F2-4E5F-8F99-6193A2E4AB81}">
      <text>
        <r>
          <rPr>
            <b/>
            <sz val="8"/>
            <color indexed="81"/>
            <rFont val="Tahoma"/>
            <family val="2"/>
          </rPr>
          <t>Changed from $21,570,700 to $21,809,226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4" authorId="0" shapeId="0" xr:uid="{4D91B851-A9DD-444F-8241-2CEAF18FF8F3}">
      <text>
        <r>
          <rPr>
            <b/>
            <sz val="8"/>
            <color indexed="81"/>
            <rFont val="Tahoma"/>
            <family val="2"/>
          </rPr>
          <t>Changed from $88,450,777 to $88,484,408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5" authorId="0" shapeId="0" xr:uid="{28495B93-E73C-4BF5-AB19-88A81C1799DD}">
      <text>
        <r>
          <rPr>
            <b/>
            <sz val="8"/>
            <color indexed="81"/>
            <rFont val="Tahoma"/>
            <family val="2"/>
          </rPr>
          <t>Changed from $49,845,413 to $49,854,943 due to CWIP balance adjustment of $9,530.</t>
        </r>
      </text>
    </comment>
    <comment ref="G45" authorId="0" shapeId="0" xr:uid="{670E7FAF-2F29-47C5-982A-54C431E36059}">
      <text>
        <r>
          <rPr>
            <b/>
            <sz val="8"/>
            <color indexed="81"/>
            <rFont val="Tahoma"/>
            <family val="2"/>
          </rPr>
          <t>Changed from $21,762,814 to $22,001,340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5" authorId="0" shapeId="0" xr:uid="{CA6E0A93-DCFC-4895-8741-99A3E87FED43}">
      <text>
        <r>
          <rPr>
            <b/>
            <sz val="8"/>
            <color indexed="81"/>
            <rFont val="Tahoma"/>
            <family val="2"/>
          </rPr>
          <t>Changed from $101,708,199 to $101,741,830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E37" authorId="0" shapeId="0" xr:uid="{3A9F1286-32FB-4B33-A85C-FE015330A8DD}">
      <text>
        <r>
          <rPr>
            <b/>
            <sz val="9"/>
            <color indexed="81"/>
            <rFont val="Tahoma"/>
            <family val="2"/>
          </rPr>
          <t>Changed from $78,684,154 to $79,510,926 due to summation error.</t>
        </r>
      </text>
    </comment>
    <comment ref="E40" authorId="0" shapeId="0" xr:uid="{449455AD-AD15-4086-85BB-F0998A51F417}">
      <text>
        <r>
          <rPr>
            <b/>
            <sz val="9"/>
            <color indexed="81"/>
            <rFont val="Tahoma"/>
            <family val="2"/>
          </rPr>
          <t>Changed from $8,194,551 to $8,247,856 due to inadvertent input error.</t>
        </r>
      </text>
    </comment>
    <comment ref="E42" authorId="0" shapeId="0" xr:uid="{A5C009A4-0573-46CE-A263-7666960F58C6}">
      <text>
        <r>
          <rPr>
            <b/>
            <sz val="9"/>
            <color indexed="81"/>
            <rFont val="Tahoma"/>
            <family val="2"/>
          </rPr>
          <t>Changed from $152,267,278 to $168,752,278 to remove $16.485M related to 2019 Wildfires since it is being recovered on a cash basis pursuant to TO2019A Settlement.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I25" authorId="0" shapeId="0" xr:uid="{7FF8B44D-C2E9-4B7C-BE29-1E16CBEE85D2}">
      <text>
        <r>
          <rPr>
            <b/>
            <sz val="9"/>
            <color indexed="81"/>
            <rFont val="Tahoma"/>
            <family val="2"/>
          </rPr>
          <t>Changed from -$2,956,425,360 to -$2,939,940,360 Removed $16.485M related to 2019 Wildfires since it is being recovered on a cash basis pursuant to TO2019A Settlement.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K105" authorId="0" shapeId="0" xr:uid="{6C6B3CC7-5A47-45C1-869C-83B1B6A1C677}">
      <text>
        <r>
          <rPr>
            <b/>
            <sz val="9"/>
            <color indexed="81"/>
            <rFont val="Tahoma"/>
            <family val="2"/>
          </rPr>
          <t xml:space="preserve">Changed from -$29,467,842 to -$15,761,285 to adjust EDIT balance.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D32" authorId="0" shapeId="0" xr:uid="{63E1749D-12C6-4470-AB28-573B006351E9}">
      <text>
        <r>
          <rPr>
            <b/>
            <sz val="9"/>
            <color indexed="81"/>
            <rFont val="Tahoma"/>
            <family val="2"/>
          </rPr>
          <t>Changed from -$2,604,108 to $2,604,107 due to inadvertent input error.</t>
        </r>
      </text>
    </comment>
    <comment ref="P32" authorId="0" shapeId="0" xr:uid="{CE424DEB-983A-444E-9CDF-460292DABFD1}">
      <text>
        <r>
          <rPr>
            <b/>
            <sz val="9"/>
            <color indexed="81"/>
            <rFont val="Tahoma"/>
            <family val="2"/>
          </rPr>
          <t>Changed all values in  Line 8 from negative to postive due to inadvertent input error.</t>
        </r>
      </text>
    </comment>
    <comment ref="O34" authorId="0" shapeId="0" xr:uid="{059767AB-39D6-47DC-8BA9-C6557934FFAB}">
      <text>
        <r>
          <rPr>
            <b/>
            <sz val="9"/>
            <color indexed="81"/>
            <rFont val="Tahoma"/>
            <family val="2"/>
          </rPr>
          <t>Changed all values in  Line 9 from negative to postive due to inadvertent input error.</t>
        </r>
      </text>
    </comment>
    <comment ref="P34" authorId="0" shapeId="0" xr:uid="{F1550C81-2972-49C5-BEF9-9D73F4DBB82A}">
      <text>
        <r>
          <rPr>
            <b/>
            <sz val="9"/>
            <color indexed="81"/>
            <rFont val="Tahoma"/>
            <family val="2"/>
          </rPr>
          <t xml:space="preserve">Changed from -$38,230,205 to $38,811,870 due to inadvertent input error. </t>
        </r>
      </text>
    </comment>
    <comment ref="G57" authorId="0" shapeId="0" xr:uid="{33DFA225-D668-4C9D-8030-EDB429C1AD00}">
      <text>
        <r>
          <rPr>
            <b/>
            <sz val="9"/>
            <color indexed="81"/>
            <rFont val="Tahoma"/>
            <family val="2"/>
          </rPr>
          <t xml:space="preserve">Changed from $1,241,102 to $5,957,289 due to inadvertent input error. </t>
        </r>
      </text>
    </comment>
    <comment ref="G58" authorId="0" shapeId="0" xr:uid="{AE4416A9-B90A-48DB-A9D4-537DF2428653}">
      <text>
        <r>
          <rPr>
            <b/>
            <sz val="9"/>
            <color indexed="81"/>
            <rFont val="Tahoma"/>
            <family val="2"/>
          </rPr>
          <t xml:space="preserve">Changed from $9,981,454 to $12,972,287 due to inadvertent input error. </t>
        </r>
      </text>
    </comment>
    <comment ref="G59" authorId="0" shapeId="0" xr:uid="{E3AFF5B2-0E5E-4835-91B5-BCCD86143A74}">
      <text>
        <r>
          <rPr>
            <b/>
            <sz val="9"/>
            <color indexed="81"/>
            <rFont val="Tahoma"/>
            <family val="2"/>
          </rPr>
          <t>Changed from $2,665,752 to $6,272,358 due to inadvertent input error.</t>
        </r>
      </text>
    </comment>
    <comment ref="G60" authorId="0" shapeId="0" xr:uid="{BCBD315A-9368-4343-830B-BB9AD8D8E623}">
      <text>
        <r>
          <rPr>
            <b/>
            <sz val="9"/>
            <color indexed="81"/>
            <rFont val="Tahoma"/>
            <family val="2"/>
          </rPr>
          <t xml:space="preserve">Changed from $3,637,761 to $6,419,578 due to inadvertent input error. </t>
        </r>
      </text>
    </comment>
    <comment ref="G61" authorId="0" shapeId="0" xr:uid="{C23436DC-F867-4927-B6B8-B49D5726E044}">
      <text>
        <r>
          <rPr>
            <b/>
            <sz val="9"/>
            <color indexed="81"/>
            <rFont val="Tahoma"/>
            <family val="2"/>
          </rPr>
          <t>Changed from $4,349,881 to $6,959,810 due to inadvertent input error.</t>
        </r>
      </text>
    </comment>
    <comment ref="G62" authorId="0" shapeId="0" xr:uid="{66A9BFC7-7A32-4DC8-95C7-3797D4E0528F}">
      <text>
        <r>
          <rPr>
            <b/>
            <sz val="9"/>
            <color indexed="81"/>
            <rFont val="Tahoma"/>
            <family val="2"/>
          </rPr>
          <t>Changed from $11,580,261 to $12,800,620 due to inadvertent input error.</t>
        </r>
      </text>
    </comment>
    <comment ref="F71" authorId="0" shapeId="0" xr:uid="{ACB3711A-99D0-4962-8353-9738518D9FEF}">
      <text>
        <r>
          <rPr>
            <b/>
            <sz val="9"/>
            <color indexed="81"/>
            <rFont val="Tahoma"/>
            <family val="2"/>
          </rPr>
          <t xml:space="preserve">Changed from $1,997,238 to $7,184 due to inadvertent input error. </t>
        </r>
      </text>
    </comment>
    <comment ref="F72" authorId="0" shapeId="0" xr:uid="{B600109C-83AB-422E-8CAC-716B8CD36FA6}">
      <text>
        <r>
          <rPr>
            <b/>
            <sz val="9"/>
            <color indexed="81"/>
            <rFont val="Tahoma"/>
            <family val="2"/>
          </rPr>
          <t xml:space="preserve">Changed from $2,229,302 to $8,019 due to inadvertent input error. </t>
        </r>
      </text>
    </comment>
    <comment ref="F73" authorId="0" shapeId="0" xr:uid="{458B316D-E72C-4B8F-A391-5DE0BCB8D91A}">
      <text>
        <r>
          <rPr>
            <b/>
            <sz val="9"/>
            <color indexed="81"/>
            <rFont val="Tahoma"/>
            <family val="2"/>
          </rPr>
          <t xml:space="preserve">Changed from $1,342,377 to $17,898 due to inadvertent input error. </t>
        </r>
      </text>
    </comment>
    <comment ref="F74" authorId="0" shapeId="0" xr:uid="{E710DD72-4F68-4FFC-8134-3F0B5F080095}">
      <text>
        <r>
          <rPr>
            <b/>
            <sz val="9"/>
            <color indexed="81"/>
            <rFont val="Tahoma"/>
            <family val="2"/>
          </rPr>
          <t xml:space="preserve">Changed from $11,722,166 to $35,414 due to inadvertent input error.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F33" authorId="0" shapeId="0" xr:uid="{F841F6FB-C508-48EC-9092-0192C6F226D2}">
      <text>
        <r>
          <rPr>
            <b/>
            <sz val="8"/>
            <color indexed="81"/>
            <rFont val="Tahoma"/>
            <family val="2"/>
          </rPr>
          <t>Changed from $123,208,374 to $123,664,745 due to CWIP balance adjustment of $456,371.</t>
        </r>
      </text>
    </comment>
    <comment ref="G33" authorId="0" shapeId="0" xr:uid="{4F4B4DDD-1DBE-4B7B-82A3-E1FFA8B9B970}">
      <text>
        <r>
          <rPr>
            <b/>
            <sz val="8"/>
            <color indexed="81"/>
            <rFont val="Tahoma"/>
            <family val="2"/>
          </rPr>
          <t>Changed from $20,101,220 to $20,339,747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3" authorId="0" shapeId="0" xr:uid="{35A36B66-FA72-4728-93D9-A4228FE3C23E}">
      <text>
        <r>
          <rPr>
            <b/>
            <sz val="8"/>
            <color indexed="81"/>
            <rFont val="Tahoma"/>
            <family val="2"/>
          </rPr>
          <t>Changed from $65,187,847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4" authorId="0" shapeId="0" xr:uid="{66E9EDF8-BC6C-457A-B85B-1E68BBA8750A}">
      <text>
        <r>
          <rPr>
            <b/>
            <sz val="8"/>
            <color indexed="81"/>
            <rFont val="Tahoma"/>
            <family val="2"/>
          </rPr>
          <t>Changed from $128,092,183 to $128,548,553 due to CWIP balance adjustment of $456,371.</t>
        </r>
      </text>
    </comment>
    <comment ref="G34" authorId="0" shapeId="0" xr:uid="{FF602FB6-C0A5-48C0-A9EB-3311D763F3B5}">
      <text>
        <r>
          <rPr>
            <b/>
            <sz val="8"/>
            <color indexed="81"/>
            <rFont val="Tahoma"/>
            <family val="2"/>
          </rPr>
          <t>Changed from $20,216,361 to $20,454,887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4" authorId="0" shapeId="0" xr:uid="{9CBC2EB4-FC48-48A0-8F39-AD29FA93631A}">
      <text>
        <r>
          <rPr>
            <b/>
            <sz val="8"/>
            <color indexed="81"/>
            <rFont val="Tahoma"/>
            <family val="2"/>
          </rPr>
          <t>Changed from $64,859,596 to $65,221,478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5" authorId="0" shapeId="0" xr:uid="{204A9B1D-F903-41D5-BC17-9C9E2D3AEAA3}">
      <text>
        <r>
          <rPr>
            <b/>
            <sz val="8"/>
            <color indexed="81"/>
            <rFont val="Tahoma"/>
            <family val="2"/>
          </rPr>
          <t>Changed from $129,020,038 to $129,476,409 due to CWIP balance adjustment of $456,371.</t>
        </r>
      </text>
    </comment>
    <comment ref="G35" authorId="0" shapeId="0" xr:uid="{A2B9B7E7-94CF-4C2C-A7A9-B19758C57B5C}">
      <text>
        <r>
          <rPr>
            <b/>
            <sz val="8"/>
            <color indexed="81"/>
            <rFont val="Tahoma"/>
            <family val="2"/>
          </rPr>
          <t>Changed from $20,299,976 to $20,538,502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5" authorId="0" shapeId="0" xr:uid="{3D9F11D1-500B-4585-AADE-6A01E2F66C95}">
      <text>
        <r>
          <rPr>
            <b/>
            <sz val="8"/>
            <color indexed="81"/>
            <rFont val="Tahoma"/>
            <family val="2"/>
          </rPr>
          <t>Changed from $65,581,867 to $65,615,499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0" shapeId="0" xr:uid="{085E290D-3CC6-4351-A705-E654CD6A6F66}">
      <text>
        <r>
          <rPr>
            <b/>
            <sz val="8"/>
            <color indexed="81"/>
            <rFont val="Tahoma"/>
            <family val="2"/>
          </rPr>
          <t>Changed from $129,270,523 to $129,726,893 due to CWIP balance adjustment of $456,371.</t>
        </r>
      </text>
    </comment>
    <comment ref="G36" authorId="0" shapeId="0" xr:uid="{B1196FE2-86D2-4384-8A12-E5CFC9F9B7F4}">
      <text>
        <r>
          <rPr>
            <b/>
            <sz val="8"/>
            <color indexed="81"/>
            <rFont val="Tahoma"/>
            <family val="2"/>
          </rPr>
          <t>Changed from $20,304,469 to $20,578,995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6" authorId="0" shapeId="0" xr:uid="{00A378AB-31D2-492E-B520-4CCD09D36FDB}">
      <text>
        <r>
          <rPr>
            <b/>
            <sz val="8"/>
            <color indexed="81"/>
            <rFont val="Tahoma"/>
            <family val="2"/>
          </rPr>
          <t>Changed from $67,231,842 to $67,265,473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 xr:uid="{27A34A53-F052-415E-8334-AFCB1E1CB0CF}">
      <text>
        <r>
          <rPr>
            <b/>
            <sz val="8"/>
            <color indexed="81"/>
            <rFont val="Tahoma"/>
            <family val="2"/>
          </rPr>
          <t>Changed from $140,178,321 to $140,634,692 due to CWIP balance adjustment of $456,371.</t>
        </r>
      </text>
    </comment>
    <comment ref="G37" authorId="0" shapeId="0" xr:uid="{55D213B1-EFA3-49CA-BD2F-1E155B84311C}">
      <text>
        <r>
          <rPr>
            <b/>
            <sz val="8"/>
            <color indexed="81"/>
            <rFont val="Tahoma"/>
            <family val="2"/>
          </rPr>
          <t>Changed from $20,568,514 to $20,899,436 due to CWIP balance adjustment of $330,923.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7" authorId="0" shapeId="0" xr:uid="{9DE2F38A-5ED5-4054-8DCA-E74888CAB919}">
      <text>
        <r>
          <rPr>
            <b/>
            <sz val="8"/>
            <color indexed="81"/>
            <rFont val="Tahoma"/>
            <family val="2"/>
          </rPr>
          <t>Changed from $68,263,415 to $68,297,047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3EAFD20F-A1D1-419E-B3AC-932BB3BA1750}">
      <text>
        <r>
          <rPr>
            <b/>
            <sz val="8"/>
            <color indexed="81"/>
            <rFont val="Tahoma"/>
            <family val="2"/>
          </rPr>
          <t>Changed from $148,755,310 to $149,211,681 due to CWIP balance adjustment of $456,371.</t>
        </r>
      </text>
    </comment>
    <comment ref="G38" authorId="0" shapeId="0" xr:uid="{2E73C729-CD43-49A3-A995-C7EED0C13FD0}">
      <text>
        <r>
          <rPr>
            <b/>
            <sz val="8"/>
            <color indexed="81"/>
            <rFont val="Tahoma"/>
            <family val="2"/>
          </rPr>
          <t>Changed from $20,672,615 to $20,911,142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8" authorId="0" shapeId="0" xr:uid="{8600B74C-479E-4B23-9A70-C5775B1E974E}">
      <text>
        <r>
          <rPr>
            <b/>
            <sz val="8"/>
            <color indexed="81"/>
            <rFont val="Tahoma"/>
            <family val="2"/>
          </rPr>
          <t>Changed from $69,855,849 to $69,889,512 due to CWIP balance adjustment of $33,663.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E9061FEF-AB3C-4CB4-A5AB-798901284516}">
      <text>
        <r>
          <rPr>
            <b/>
            <sz val="8"/>
            <color indexed="81"/>
            <rFont val="Tahoma"/>
            <family val="2"/>
          </rPr>
          <t>Changed from $158,253,220 to $158,709,590 due to CWIP balance adjustment of $456,371.</t>
        </r>
      </text>
    </comment>
    <comment ref="G39" authorId="0" shapeId="0" xr:uid="{09858705-6FD8-40F3-A23B-9FCB909B06AD}">
      <text>
        <r>
          <rPr>
            <b/>
            <sz val="8"/>
            <color indexed="81"/>
            <rFont val="Tahoma"/>
            <family val="2"/>
          </rPr>
          <t>Changed from $20,786,418 to $21,024,944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9" authorId="0" shapeId="0" xr:uid="{F5FE57DD-0E12-4C6F-AC43-7762AAA38889}">
      <text>
        <r>
          <rPr>
            <b/>
            <sz val="8"/>
            <color indexed="81"/>
            <rFont val="Tahoma"/>
            <family val="2"/>
          </rPr>
          <t>Changed from $72,405,171 to $72,438,803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35854524-A57D-428F-A324-1F8C8764F773}">
      <text>
        <r>
          <rPr>
            <b/>
            <sz val="8"/>
            <color indexed="81"/>
            <rFont val="Tahoma"/>
            <family val="2"/>
          </rPr>
          <t>Changed from $160,897,149 to $161,353,520 due to CWIP balance adjustment of $456,371.</t>
        </r>
      </text>
    </comment>
    <comment ref="G40" authorId="0" shapeId="0" xr:uid="{0836D5F6-B1F0-47D3-AADD-80970992FABF}">
      <text>
        <r>
          <rPr>
            <b/>
            <sz val="8"/>
            <color indexed="81"/>
            <rFont val="Tahoma"/>
            <family val="2"/>
          </rPr>
          <t>Changed from $20,870,506 to $21,109,032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0" authorId="0" shapeId="0" xr:uid="{4F7A9D78-B9B9-4090-BB94-F2C065485E54}">
      <text>
        <r>
          <rPr>
            <b/>
            <sz val="8"/>
            <color indexed="81"/>
            <rFont val="Tahoma"/>
            <family val="2"/>
          </rPr>
          <t>Changed from $73,994,269 to $74,027,900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9D318EC6-C20E-46CA-BDE9-61FD60CD0038}">
      <text>
        <r>
          <rPr>
            <b/>
            <sz val="8"/>
            <color indexed="81"/>
            <rFont val="Tahoma"/>
            <family val="2"/>
          </rPr>
          <t>Changed from $163,331,531 to $163,796,363 due to CWIP balance adjustment of $464,832.</t>
        </r>
      </text>
    </comment>
    <comment ref="G41" authorId="0" shapeId="0" xr:uid="{C878AF57-D233-4DA1-BCFE-24B8089DC6EF}">
      <text>
        <r>
          <rPr>
            <b/>
            <sz val="8"/>
            <color indexed="81"/>
            <rFont val="Tahoma"/>
            <family val="2"/>
          </rPr>
          <t>Changed from $21,042,057 to $21,208,583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1" authorId="0" shapeId="0" xr:uid="{2B7B3E58-01CC-46FD-83B9-AC57F4BE6AF0}">
      <text>
        <r>
          <rPr>
            <b/>
            <sz val="8"/>
            <color indexed="81"/>
            <rFont val="Tahoma"/>
            <family val="2"/>
          </rPr>
          <t>Changed from $76,121,219 to $76,154,850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7F7D3B6B-EFE1-4A2B-B24E-DD2C3C3EB94A}">
      <text>
        <r>
          <rPr>
            <b/>
            <sz val="8"/>
            <color indexed="81"/>
            <rFont val="Tahoma"/>
            <family val="2"/>
          </rPr>
          <t>Changed from $172,963,346 to $173,428,178 due to CWIP balance adjustment of $464,832.</t>
        </r>
      </text>
    </comment>
    <comment ref="G42" authorId="0" shapeId="0" xr:uid="{3D8573AB-2F67-4406-A4B9-B1FD07026D30}">
      <text>
        <r>
          <rPr>
            <b/>
            <sz val="8"/>
            <color indexed="81"/>
            <rFont val="Tahoma"/>
            <family val="2"/>
          </rPr>
          <t>Changed from $21,184,791 to $21,423,317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2" authorId="0" shapeId="0" xr:uid="{EB115157-8646-4024-9C83-DD03E8BB6EBC}">
      <text>
        <r>
          <rPr>
            <b/>
            <sz val="8"/>
            <color indexed="81"/>
            <rFont val="Tahoma"/>
            <family val="2"/>
          </rPr>
          <t>Changed from $84,007,919 to $84,041,551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 xr:uid="{00FBBBAB-E737-4947-88DC-518C6F521B3F}">
      <text>
        <r>
          <rPr>
            <b/>
            <sz val="8"/>
            <color indexed="81"/>
            <rFont val="Tahoma"/>
            <family val="2"/>
          </rPr>
          <t>Changed from $180,404,574 to $180,869,406 due to CWIP balance adjustment of $464,832.</t>
        </r>
      </text>
    </comment>
    <comment ref="G43" authorId="0" shapeId="0" xr:uid="{48AB10FC-6776-4968-A9F0-E4BA3DFAFF29}">
      <text>
        <r>
          <rPr>
            <b/>
            <sz val="8"/>
            <color indexed="81"/>
            <rFont val="Tahoma"/>
            <family val="2"/>
          </rPr>
          <t>Changed from $21,434,293 to $21,672,819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3" authorId="0" shapeId="0" xr:uid="{4F6D92E3-45FF-4DA8-8B24-2619A3F233BB}">
      <text>
        <r>
          <rPr>
            <b/>
            <sz val="8"/>
            <color indexed="81"/>
            <rFont val="Tahoma"/>
            <family val="2"/>
          </rPr>
          <t>Changed from $85,024,777 to $85,058,408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 shapeId="0" xr:uid="{EF25C281-BC9A-4530-9DF6-48A2E2450754}">
      <text>
        <r>
          <rPr>
            <b/>
            <sz val="8"/>
            <color indexed="81"/>
            <rFont val="Tahoma"/>
            <family val="2"/>
          </rPr>
          <t>Changed from $184,436,998 to $184,901,830 due to CWIP balance adjustment of $464,832.</t>
        </r>
      </text>
    </comment>
    <comment ref="G44" authorId="0" shapeId="0" xr:uid="{169D5691-A78C-4513-A55B-63F15589BFD3}">
      <text>
        <r>
          <rPr>
            <b/>
            <sz val="8"/>
            <color indexed="81"/>
            <rFont val="Tahoma"/>
            <family val="2"/>
          </rPr>
          <t>Changed from $21,570,700 to $21,809,226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4" authorId="0" shapeId="0" xr:uid="{3FCA6407-55CD-4058-B3E4-DAE17891A724}">
      <text>
        <r>
          <rPr>
            <b/>
            <sz val="8"/>
            <color indexed="81"/>
            <rFont val="Tahoma"/>
            <family val="2"/>
          </rPr>
          <t>Changed from $88,450,777 to $88,484,408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5" authorId="0" shapeId="0" xr:uid="{B3608191-498F-4E5E-BA72-611CD0BE4FA1}">
      <text>
        <r>
          <rPr>
            <b/>
            <sz val="8"/>
            <color indexed="81"/>
            <rFont val="Tahoma"/>
            <family val="2"/>
          </rPr>
          <t>Changed from $49,845,413 to $49,854,943 due to CWIP balance adjustment of $9,530.</t>
        </r>
      </text>
    </comment>
    <comment ref="G45" authorId="0" shapeId="0" xr:uid="{B96B3A44-39D9-4CB0-8746-EE556081D010}">
      <text>
        <r>
          <rPr>
            <b/>
            <sz val="8"/>
            <color indexed="81"/>
            <rFont val="Tahoma"/>
            <family val="2"/>
          </rPr>
          <t>Changed from $21,762,814 to $22,001,340 due to CWIP balance adjustment of $238,526.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5" authorId="0" shapeId="0" xr:uid="{EEBB0609-E963-43BC-8842-AD0CE63B93B2}">
      <text>
        <r>
          <rPr>
            <b/>
            <sz val="8"/>
            <color indexed="81"/>
            <rFont val="Tahoma"/>
            <family val="2"/>
          </rPr>
          <t>Changed from $101,708,199 to $101,741,830 due to CWIP balance adjustment of $33,632.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E37" authorId="0" shapeId="0" xr:uid="{823C1F24-B970-4E68-8A01-36BA99BD029A}">
      <text>
        <r>
          <rPr>
            <b/>
            <sz val="9"/>
            <color indexed="81"/>
            <rFont val="Tahoma"/>
            <family val="2"/>
          </rPr>
          <t>Changed from $78,684,154 to $79,510,926 due to summation error.</t>
        </r>
      </text>
    </comment>
    <comment ref="E40" authorId="0" shapeId="0" xr:uid="{E3FA1B48-3CDA-4FF6-B7E2-02DBE327A6A3}">
      <text>
        <r>
          <rPr>
            <b/>
            <sz val="9"/>
            <color indexed="81"/>
            <rFont val="Tahoma"/>
            <family val="2"/>
          </rPr>
          <t>Changed from $8,194,551 to $8,247,856 due to inadvertent input error.</t>
        </r>
      </text>
    </comment>
    <comment ref="E42" authorId="0" shapeId="0" xr:uid="{423E1D0B-9234-4A34-AE53-7AC1D2367011}">
      <text>
        <r>
          <rPr>
            <b/>
            <sz val="9"/>
            <color indexed="81"/>
            <rFont val="Tahoma"/>
            <family val="2"/>
          </rPr>
          <t>Changed from $152,267,278 to $168,752,278 to remove $16.485M related to 2019 Wildfires since it is being recovered on a cash basis pursuant to TO2019A Settlement.</t>
        </r>
      </text>
    </comment>
  </commentList>
</comments>
</file>

<file path=xl/sharedStrings.xml><?xml version="1.0" encoding="utf-8"?>
<sst xmlns="http://schemas.openxmlformats.org/spreadsheetml/2006/main" count="4402" uniqueCount="929">
  <si>
    <t>Total Adjustments for proposed Formula Rate to reflect:</t>
  </si>
  <si>
    <t>1) Shortfall or Excess Revenue in Previous Annual Update</t>
  </si>
  <si>
    <t xml:space="preserve">2) One Time Adjustment Transition from the TO2018 Model to the TO2019A Model </t>
  </si>
  <si>
    <t>3) One Time Adjustment related to 2019 Wildfire</t>
  </si>
  <si>
    <t>4) One Time Adjustment related to 2019 EDIT Amortization</t>
  </si>
  <si>
    <t>Shortfall or Excess Revenue in Previous Annual Update:</t>
  </si>
  <si>
    <t>Over/Undercollection:</t>
  </si>
  <si>
    <t>See TO2020 Filing, Schedule 3, Line 23, Column 9</t>
  </si>
  <si>
    <t>One Time Adjustment:</t>
  </si>
  <si>
    <t>True Up TRR Adjustment:</t>
  </si>
  <si>
    <t>See "One Time Adjust for TUTRR" sheet</t>
  </si>
  <si>
    <t>The Adjustments will appear as follows in TO2021 Draft Annual Update Schedule 3:</t>
  </si>
  <si>
    <t>Col 1</t>
  </si>
  <si>
    <t>Col 4</t>
  </si>
  <si>
    <t>See Note 4</t>
  </si>
  <si>
    <t>One-Time</t>
  </si>
  <si>
    <t>Adjustments and</t>
  </si>
  <si>
    <t>Shortfall/Excess</t>
  </si>
  <si>
    <t>C1 -C2</t>
  </si>
  <si>
    <t>Revenue In</t>
  </si>
  <si>
    <t>not</t>
  </si>
  <si>
    <t>Previous</t>
  </si>
  <si>
    <t>Line</t>
  </si>
  <si>
    <t>Month</t>
  </si>
  <si>
    <t>Year</t>
  </si>
  <si>
    <t>shown</t>
  </si>
  <si>
    <t>Annual Update</t>
  </si>
  <si>
    <t>December</t>
  </si>
  <si>
    <t>---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</si>
  <si>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TO2020 Filing, Line 23, Col. 9 pursuant to Note 4:</t>
    </r>
  </si>
  <si>
    <t>January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</si>
  <si>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</si>
  <si>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>February</t>
  </si>
  <si>
    <t xml:space="preserve">Annual Update" on Line 11, or other appropriate </t>
  </si>
  <si>
    <t>March</t>
  </si>
  <si>
    <t>(from Previous Annual Update, Line 23, Column 9)."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</si>
  <si>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</si>
  <si>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</si>
  <si>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</si>
  <si>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</si>
  <si>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</si>
  <si>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</si>
  <si>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</si>
  <si>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</si>
  <si>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</si>
  <si>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>+ One Time Adjustment related to 2019 Wildfire Adj Worksheet</t>
  </si>
  <si>
    <t>+ One Time Adjustment related to 2019 EDIT Amortization Adj Worksheet</t>
  </si>
  <si>
    <t xml:space="preserve">Workpaper to Calculate One Time Adjustment to adjust for the difference between the True Up TRR </t>
  </si>
  <si>
    <t>in the New Formula Rate as compared to the Weighted Average 2019 TUTRR</t>
  </si>
  <si>
    <t>Annual True Up TRRs for Year:</t>
  </si>
  <si>
    <t>A</t>
  </si>
  <si>
    <t>TO2019A TUTRR for 2019:</t>
  </si>
  <si>
    <t>B</t>
  </si>
  <si>
    <t>Weighted Average 2019 TUTRR:</t>
  </si>
  <si>
    <t>See Note 2</t>
  </si>
  <si>
    <t>Monthly True Up TRRs for the TO2019A TUTRR for 2019 and the Weighted Average 2019 TUTRR:</t>
  </si>
  <si>
    <t>(Col 1)</t>
  </si>
  <si>
    <t>(Col 2)</t>
  </si>
  <si>
    <t>(Col 3)</t>
  </si>
  <si>
    <t>(Col 4)</t>
  </si>
  <si>
    <t>(Col 5)</t>
  </si>
  <si>
    <t>(Col 6)</t>
  </si>
  <si>
    <t>(Col 7)</t>
  </si>
  <si>
    <t>= A / 12</t>
  </si>
  <si>
    <t>= B / 12</t>
  </si>
  <si>
    <t>= (C2 - C3)</t>
  </si>
  <si>
    <t>= (C3 + LagC7)</t>
  </si>
  <si>
    <t>= (C5 + C6)</t>
  </si>
  <si>
    <t>Cumulative</t>
  </si>
  <si>
    <t>Under (+) or</t>
  </si>
  <si>
    <t>Over (-)</t>
  </si>
  <si>
    <t>Statement</t>
  </si>
  <si>
    <t>Monthly</t>
  </si>
  <si>
    <t>of TUTRR</t>
  </si>
  <si>
    <t>Interest</t>
  </si>
  <si>
    <t>TO2019A</t>
  </si>
  <si>
    <t>Weighted Average</t>
  </si>
  <si>
    <t>wo Interest for</t>
  </si>
  <si>
    <t>for Current</t>
  </si>
  <si>
    <t>with Interest for</t>
  </si>
  <si>
    <t>TUTRR for 2019</t>
  </si>
  <si>
    <t>2019 TUTRR</t>
  </si>
  <si>
    <t>Rate</t>
  </si>
  <si>
    <t>Current Month</t>
  </si>
  <si>
    <t>Total:</t>
  </si>
  <si>
    <t>á</t>
  </si>
  <si>
    <t>One Time Adjustment</t>
  </si>
  <si>
    <t>Notes:</t>
  </si>
  <si>
    <t xml:space="preserve">1) The purpose of this workpaper is to calculate a One Time Adjustments related to the 2019 year. </t>
  </si>
  <si>
    <t>2) Weighted Average 2019 TUTRR calculated pursuant to the Formula Rate Protocols.</t>
  </si>
  <si>
    <t xml:space="preserve">Weighted Average by Days </t>
  </si>
  <si>
    <t>Weighted Amount</t>
  </si>
  <si>
    <t>TO2018 Model</t>
  </si>
  <si>
    <t>TO2019A Model</t>
  </si>
  <si>
    <t>One Time Adjustment to Reflect Wildfire Cash Accounting Treatment for 2019 During the Period that the TO2018 Formula was in Effect</t>
  </si>
  <si>
    <t>Description</t>
  </si>
  <si>
    <t>Amount</t>
  </si>
  <si>
    <t>Weighting Factor</t>
  </si>
  <si>
    <t>Source</t>
  </si>
  <si>
    <t xml:space="preserve">One Time Adjustment Reflecting Wildfire Cash Accounting Treatment: </t>
  </si>
  <si>
    <t>Calculation of True Up TRR</t>
  </si>
  <si>
    <t>A) Rate Base for True Up TRR</t>
  </si>
  <si>
    <t>Calculation</t>
  </si>
  <si>
    <t xml:space="preserve">FERC Form 1 Reference </t>
  </si>
  <si>
    <t xml:space="preserve">Line </t>
  </si>
  <si>
    <t>Rate Base Item</t>
  </si>
  <si>
    <t>Method</t>
  </si>
  <si>
    <t>Notes</t>
  </si>
  <si>
    <t>or Instruction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</si>
  <si>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</si>
  <si>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</si>
  <si>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</si>
  <si>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</si>
  <si>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</si>
  <si>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</si>
  <si>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</si>
  <si>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</si>
  <si>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</si>
  <si>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</si>
  <si>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1/8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</si>
  <si>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</si>
  <si>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</si>
  <si>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</si>
  <si>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</si>
  <si>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</si>
  <si>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</si>
  <si>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</si>
  <si>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</si>
  <si>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</si>
  <si>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</si>
  <si>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</si>
  <si>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</si>
  <si>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</si>
  <si>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</si>
  <si>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</si>
  <si>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</si>
  <si>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</si>
  <si>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</si>
  <si>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</si>
  <si>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</si>
  <si>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</si>
  <si>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</si>
  <si>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</si>
  <si>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</si>
  <si>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</si>
  <si>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</si>
  <si>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</si>
  <si>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</si>
  <si>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</si>
  <si>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</si>
  <si>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</si>
  <si>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</si>
  <si>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</si>
  <si>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</si>
  <si>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</si>
  <si>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</si>
  <si>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</si>
  <si>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</si>
  <si>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</si>
  <si>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</si>
  <si>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39a</t>
  </si>
  <si>
    <t>True Up Incentive Adder Reversal</t>
  </si>
  <si>
    <t>Negative of Line 39, Note 1</t>
  </si>
  <si>
    <t>True Up TRR without Franchise Fees and Uncollectibles Expense included:</t>
  </si>
  <si>
    <t>Line 38 + Line 39 + Line 39a</t>
  </si>
  <si>
    <t>E) Calculation of final True Up TRR with Franchise Fees and Uncollectibles Expenses</t>
  </si>
  <si>
    <t>Reference:</t>
  </si>
  <si>
    <t>True Up TRR wo FF:</t>
  </si>
  <si>
    <t xml:space="preserve">Change in </t>
  </si>
  <si>
    <t>Franchise Fee Factor:</t>
  </si>
  <si>
    <t>TO2019 TUTRR</t>
  </si>
  <si>
    <t>Franchise Fee Expense:</t>
  </si>
  <si>
    <t>Uncollectibles Expense Factor:</t>
  </si>
  <si>
    <t>Uncollectibles Expense:</t>
  </si>
  <si>
    <t>True Up TRR:</t>
  </si>
  <si>
    <t>Instructions:</t>
  </si>
  <si>
    <t>1) Use weighted average (by time) of the Return on Equity in effect during the Prior Year in determining the "Cost of Capital Rate" on Line 19</t>
  </si>
  <si>
    <t>and the "Equity Rate of Return Including Preferred Stock" on Line 23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</si>
  <si>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</si>
  <si>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</si>
  <si>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</si>
  <si>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</si>
  <si>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</si>
  <si>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Percentage</t>
  </si>
  <si>
    <t>From</t>
  </si>
  <si>
    <t>To</t>
  </si>
  <si>
    <t>In Effect</t>
  </si>
  <si>
    <t>a</t>
  </si>
  <si>
    <t>ROE at end of Prior Year</t>
  </si>
  <si>
    <t>See Line e below</t>
  </si>
  <si>
    <t>b</t>
  </si>
  <si>
    <t>ROE start of Prior Year</t>
  </si>
  <si>
    <t>See Line f below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</si>
  <si>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</si>
  <si>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</si>
  <si>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</si>
  <si>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</si>
  <si>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</si>
  <si>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</si>
  <si>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</si>
  <si>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</si>
  <si>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Settlement of TO2019A (ER19-1553)</t>
  </si>
  <si>
    <t>f</t>
  </si>
  <si>
    <t>Beginning of Prior Year</t>
  </si>
  <si>
    <t>169 FERC ¶ 61,177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</si>
  <si>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</si>
  <si>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</si>
  <si>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</si>
  <si>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</si>
  <si>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</si>
  <si>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</si>
  <si>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</si>
  <si>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</si>
  <si>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</si>
  <si>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>1) True Up TRR Incentive Adder Reversal backs out the revenue requirement associated with any project-specific Incentive Adders</t>
  </si>
  <si>
    <t xml:space="preserve">    (line 39) for True Up Years during the term of the Second Formula Rate.  Applicable pursuant to settlement under ER18-169.</t>
  </si>
  <si>
    <t>Southern California Edison Company</t>
  </si>
  <si>
    <t>Cells shaded yellow are input cells</t>
  </si>
  <si>
    <t>Formula Transmission Rate</t>
  </si>
  <si>
    <t>Value</t>
  </si>
  <si>
    <t>RATE BASE</t>
  </si>
  <si>
    <t>General Plant + Electric Miscellaneous Intangible Plant</t>
  </si>
  <si>
    <t>Working Capital amounts</t>
  </si>
  <si>
    <t>Accumulated Depreciation Reserve Balances</t>
  </si>
  <si>
    <t xml:space="preserve">Transmission Depreciation Reserve - ISO </t>
  </si>
  <si>
    <t xml:space="preserve">Distribution Depreciation Reserve - ISO </t>
  </si>
  <si>
    <t>General + Intangible Plant Depreciation Reserve</t>
  </si>
  <si>
    <t>OTHER TAXES</t>
  </si>
  <si>
    <t>Sub-Total Local Taxes</t>
  </si>
  <si>
    <t>FF1 263.1, Row 13, Column i</t>
  </si>
  <si>
    <t>FF1 263 or 263.x (see note to left)</t>
  </si>
  <si>
    <t>Transmission Plant Allocation Factor</t>
  </si>
  <si>
    <t>Property Taxes</t>
  </si>
  <si>
    <t xml:space="preserve"> </t>
  </si>
  <si>
    <t>Payroll Taxes Expense</t>
  </si>
  <si>
    <t>FICA</t>
  </si>
  <si>
    <t>Fed Ins Cont Amt -- Current</t>
  </si>
  <si>
    <t>FF1 263, Row 6, Column i</t>
  </si>
  <si>
    <t>FICA/OASDI Emp Incntv.</t>
  </si>
  <si>
    <t>FF1 263, Row 7, Column i</t>
  </si>
  <si>
    <t>FICA/HIT Emp Incntv.</t>
  </si>
  <si>
    <t>FF1 263, Row 8, Column i</t>
  </si>
  <si>
    <t>CA SUI Current</t>
  </si>
  <si>
    <t>FF1 263, Row 24, Column i</t>
  </si>
  <si>
    <t>Fed Unemp Tax Act- Current</t>
  </si>
  <si>
    <t>FF1 263, Row 9, Column i</t>
  </si>
  <si>
    <t>CADI Vol Plan Assess</t>
  </si>
  <si>
    <t>FF1 263, Row 29, Column i</t>
  </si>
  <si>
    <t>SF Pyrl Exp Tx - SCE</t>
  </si>
  <si>
    <t>FF1 263, Row 28, Column i</t>
  </si>
  <si>
    <t>Total Electric Payroll Tax Expense</t>
  </si>
  <si>
    <t>Capitalized Overhead portion of Electric Payroll Tax Expense</t>
  </si>
  <si>
    <t>Remaining Electric Payroll Tax Expense to Allocate</t>
  </si>
  <si>
    <t>Transmission Wages and Salaries Allocation Factor</t>
  </si>
  <si>
    <t>Note 1</t>
  </si>
  <si>
    <t>RETURN AND CAPITALIZATION CALCULATIONS</t>
  </si>
  <si>
    <t>Debt</t>
  </si>
  <si>
    <t>Long Term Debt Amount</t>
  </si>
  <si>
    <t>5-ROR-1, Line 8</t>
  </si>
  <si>
    <t>Cost of Long Term Debt</t>
  </si>
  <si>
    <t>5-ROR-1, Line 16</t>
  </si>
  <si>
    <t>Long Term Debt Cost Percentage</t>
  </si>
  <si>
    <t>5-ROR-1, Line 17</t>
  </si>
  <si>
    <t>Preferred Stock</t>
  </si>
  <si>
    <t>Preferred Stock Amount</t>
  </si>
  <si>
    <t>5-ROR-1, Line 21</t>
  </si>
  <si>
    <t>Cost of Preferred Stock</t>
  </si>
  <si>
    <t>5-ROR-1, Line 25</t>
  </si>
  <si>
    <t>Preferred Stock Cost Percentage</t>
  </si>
  <si>
    <t>5-ROR-1, Line 26</t>
  </si>
  <si>
    <t>Equity</t>
  </si>
  <si>
    <t>Common Stock Equity Amount</t>
  </si>
  <si>
    <t>Total Capital</t>
  </si>
  <si>
    <t>Capital Percentages</t>
  </si>
  <si>
    <t>Long Term Debt Capital Percentage</t>
  </si>
  <si>
    <t>Preferred Stock Capital Percentage</t>
  </si>
  <si>
    <t>Common Stock Capital Percentage</t>
  </si>
  <si>
    <t>Annual Cost of Capital Components</t>
  </si>
  <si>
    <t>Return on Common Equity</t>
  </si>
  <si>
    <t>Note 2</t>
  </si>
  <si>
    <t>SCE Return on Equity</t>
  </si>
  <si>
    <t>Calculation of Cost of Capital Rate</t>
  </si>
  <si>
    <t>Weighted Cost of Long Term Debt</t>
  </si>
  <si>
    <t>Weighted Cost of Preferred Stock</t>
  </si>
  <si>
    <t>Weighted Cost of Common Stock</t>
  </si>
  <si>
    <t xml:space="preserve">Equity Rate of Return Including Common and Preferred Stock </t>
  </si>
  <si>
    <t>Used for Tax calculation</t>
  </si>
  <si>
    <t>INCOME TAXES</t>
  </si>
  <si>
    <t>Federal Income Tax Rate</t>
  </si>
  <si>
    <t>State Income Tax Rate</t>
  </si>
  <si>
    <t>Composite Tax Rate</t>
  </si>
  <si>
    <t>= F + [S * (1 - F)]</t>
  </si>
  <si>
    <t>Calculation of Credits and Other:</t>
  </si>
  <si>
    <t>Amortization of Excess Deferred Tax Liability</t>
  </si>
  <si>
    <t>Note 3</t>
  </si>
  <si>
    <t>Investment Tax Credit Flowed Through</t>
  </si>
  <si>
    <t>South Georgia Income Tax Adjustment</t>
  </si>
  <si>
    <t>Credits and Other</t>
  </si>
  <si>
    <t>Income Taxes:</t>
  </si>
  <si>
    <t>ER = Equity Rate of Return Including Common and Preferred Stock</t>
  </si>
  <si>
    <t>SCE Records</t>
  </si>
  <si>
    <t>PRIOR YEAR TRANSMISSION REVENUE REQUIREMENT</t>
  </si>
  <si>
    <t>Component of Prior Year TRR:</t>
  </si>
  <si>
    <t>Gains and Losses on Trans. Plant Held for Future Use -- Land</t>
  </si>
  <si>
    <t>Gain negative, loss positive</t>
  </si>
  <si>
    <t>Prior Year Incentive Adder</t>
  </si>
  <si>
    <t>77a</t>
  </si>
  <si>
    <t>Prior Year Incentive Adder Reversal</t>
  </si>
  <si>
    <t>Note 5</t>
  </si>
  <si>
    <t>Negative of Line 77</t>
  </si>
  <si>
    <t>Total without FF&amp;U</t>
  </si>
  <si>
    <t>Franchise Fees Expense</t>
  </si>
  <si>
    <t>Uncollectibles Expense</t>
  </si>
  <si>
    <t>Prior Year TRR</t>
  </si>
  <si>
    <t>TOTAL BASE TRANSMISSION REVENUE REQUIREMENT</t>
  </si>
  <si>
    <t>Calculation of Base Transmission Revenue Requirement</t>
  </si>
  <si>
    <t>Incremental Forecast Period TRR</t>
  </si>
  <si>
    <t>True Up Adjustment</t>
  </si>
  <si>
    <t xml:space="preserve">Cost Adjustment </t>
  </si>
  <si>
    <t>Note 4</t>
  </si>
  <si>
    <t>Base Transmission Revenue Requirement (Retail)</t>
  </si>
  <si>
    <t>For Retail Purposes</t>
  </si>
  <si>
    <t>Wholesale Base Transmission Revenue Requirement</t>
  </si>
  <si>
    <t xml:space="preserve">Base TRR (Retail) </t>
  </si>
  <si>
    <t>Wholesale Difference to the Base TRR</t>
  </si>
  <si>
    <t xml:space="preserve">1) Any amount of "Sub-Total Local Taxes" or "Payroll Taxes Expense" may be excluded if appropriate with the provision of a workpaper showing the </t>
  </si>
  <si>
    <t>reason for the exclusion and the amount of the exclusion.</t>
  </si>
  <si>
    <t xml:space="preserve">2) The TO2018 Settlement Return on Common Equity shall be set at 11.2% for the term of the Settlement. Includes Base ROE, 50 basis point ISO adder, </t>
  </si>
  <si>
    <t xml:space="preserve">and project-specific ROE adders awarded to SCE (Tehachapi – 1.25%, Devers to Colorado River – 1.00%, Rancho Vista – 0.75%).  Project adders are </t>
  </si>
  <si>
    <t xml:space="preserve">equivalent to an approximate 0.78% increase in SCE’s overall Base ROE.  If the Commission determines, in an order not subject to rehearing or appeal, </t>
  </si>
  <si>
    <t xml:space="preserve">that SCE is not entitled to the incentive adder for CAISO participation,  SCE will reduce its ROE to 10.7% retroactive to January 1, 2018 for the period </t>
  </si>
  <si>
    <t>the TO2018 settlement is in effect.</t>
  </si>
  <si>
    <t xml:space="preserve">3) No change in Amortization of Excess Deferred Tax Liability or South Georgia Income Tax Adjustment "Credits and Other" terms will be made absent </t>
  </si>
  <si>
    <t xml:space="preserve">a filing at the Commission.  Investment Tax Credit Flowed Through amount shall be negative $520,000 through the Prior Year of 2018, </t>
  </si>
  <si>
    <t>negative $183,000 for the Prior Year of 2019, and $0 thereafter.  The Unprotected-Property Related net Excess Deferred Income Tax amount of</t>
  </si>
  <si>
    <t>$60,466,608 shall be fully amortized over the four-year period of 2018 through 2021 and reflected in Line 60 of Schedule 1.  The Unprotected-Non-</t>
  </si>
  <si>
    <t>Property Related net Excess Deferred Income Tax amount of $4,549,634 shall be fully amortized in 2018 and reflected in Line 60 of Schedule 1.</t>
  </si>
  <si>
    <t>4) Cost Adjustment may be included as provided in the Tariff protocols.</t>
  </si>
  <si>
    <t>5) Prior Year Incentive Adder Reversal backs out the revenue requirement associated with any project specific Incentive Adders</t>
  </si>
  <si>
    <t xml:space="preserve">    (line 77).  Applicable pursuant to settlement under ER18-169.</t>
  </si>
  <si>
    <t>Accumulated Deferred Income Taxes and Net Excess Deferred Tax Liabilities</t>
  </si>
  <si>
    <t>1) Summary of Accumulated Deferred Income Taxes and Net Excess Deferred Tax Liabilities</t>
  </si>
  <si>
    <t>a) End of Year Accumulated Deferred Income Taxes and Net Excess Deferred Tax Liabilities</t>
  </si>
  <si>
    <t>Col 2</t>
  </si>
  <si>
    <t>Total</t>
  </si>
  <si>
    <t>Account</t>
  </si>
  <si>
    <t>ADIT</t>
  </si>
  <si>
    <t>Account 190</t>
  </si>
  <si>
    <t>Account 282</t>
  </si>
  <si>
    <t>Account 283</t>
  </si>
  <si>
    <t>Net Excess/Deficient Deferred Tax Liability/Asset-2017 TCAJA</t>
  </si>
  <si>
    <t>FF1 278, see Notes 4 and 5</t>
  </si>
  <si>
    <t>Total Accumulated Deferred Income Taxes</t>
  </si>
  <si>
    <t>and Net Excess Deferred Tax Liabilities</t>
  </si>
  <si>
    <t>b) Beginning of Year Accumulated Deferred Income Taxes</t>
  </si>
  <si>
    <t>BOY</t>
  </si>
  <si>
    <t>c) Average of Beginning and End of Year Accumulated Deferred Income Taxes</t>
  </si>
  <si>
    <t>Average</t>
  </si>
  <si>
    <t>Average ADIT:</t>
  </si>
  <si>
    <t>Line 817, Column 8</t>
  </si>
  <si>
    <t>2) Account 190 Detail</t>
  </si>
  <si>
    <t>Col 3</t>
  </si>
  <si>
    <t>Col 5</t>
  </si>
  <si>
    <t>Col 6</t>
  </si>
  <si>
    <t>Col 7</t>
  </si>
  <si>
    <t>END BAL</t>
  </si>
  <si>
    <t>Gas, Generation</t>
  </si>
  <si>
    <t>Labor</t>
  </si>
  <si>
    <t>(Instructions 1&amp;2)</t>
  </si>
  <si>
    <t>ACCT 190</t>
  </si>
  <si>
    <t>DESCRIPTION</t>
  </si>
  <si>
    <t>per G/L</t>
  </si>
  <si>
    <t>or Other Related</t>
  </si>
  <si>
    <t>ISO Only</t>
  </si>
  <si>
    <t>Plant Related</t>
  </si>
  <si>
    <t>Related</t>
  </si>
  <si>
    <t>Electric:</t>
  </si>
  <si>
    <t>Amort of Debt Issuance Cost</t>
  </si>
  <si>
    <t>C: Relates primarily to Regulated Electric Property</t>
  </si>
  <si>
    <t>Executive Incentive Comp</t>
  </si>
  <si>
    <t>C: Relates to employees in all functions</t>
  </si>
  <si>
    <t>Bond Discount Amort</t>
  </si>
  <si>
    <t>Executive Incentive Plan</t>
  </si>
  <si>
    <t>Ins - Inj/Damages Prov</t>
  </si>
  <si>
    <t>Accrued Vacation</t>
  </si>
  <si>
    <t>Amortization of Debt Expense</t>
  </si>
  <si>
    <t>Wildfire Reserve - Post 2018</t>
  </si>
  <si>
    <t>Follows tax treatment</t>
  </si>
  <si>
    <t>Decommissioning</t>
  </si>
  <si>
    <t>Relates to Nuclear Decommissioning Costs</t>
  </si>
  <si>
    <t>Balancing Accounts</t>
  </si>
  <si>
    <t>Relates Entirely to CPUC Balancing Account Recovery</t>
  </si>
  <si>
    <t>Pension &amp; PBOP</t>
  </si>
  <si>
    <t>Property/Non-ISO</t>
  </si>
  <si>
    <t>Non-Rate Base Property</t>
  </si>
  <si>
    <t>Regulatory Assets/Liab</t>
  </si>
  <si>
    <t xml:space="preserve">Relates to Nonrecovery Balancing Account  </t>
  </si>
  <si>
    <t>Temp - Other/Non-ISO</t>
  </si>
  <si>
    <t>Not Component of Rate Base</t>
  </si>
  <si>
    <t>Net Operating Losses DTA</t>
  </si>
  <si>
    <t xml:space="preserve">NOL/DTA </t>
  </si>
  <si>
    <t>Continuation of Account 190 Detail</t>
  </si>
  <si>
    <t>Labor Related</t>
  </si>
  <si>
    <t>…</t>
  </si>
  <si>
    <t>Total Electric 190</t>
  </si>
  <si>
    <t>Account 190 Gas and Other Income:</t>
  </si>
  <si>
    <t>Temp - Other/Non-ISO - Gas</t>
  </si>
  <si>
    <t>Gas Related Costs</t>
  </si>
  <si>
    <t>Temp - Other/Non-ISO - Other</t>
  </si>
  <si>
    <t>Other Non-ISO Related Costs</t>
  </si>
  <si>
    <t>EMS</t>
  </si>
  <si>
    <t>Property/Non-ISO - Gas</t>
  </si>
  <si>
    <t>Property/Non-ISO - Other</t>
  </si>
  <si>
    <t>Total Account 190 Gas and Other Income</t>
  </si>
  <si>
    <t>Total Account 190</t>
  </si>
  <si>
    <t>Allocation Factors (Plant and Wages)</t>
  </si>
  <si>
    <t>Total Account 190 ADIT</t>
  </si>
  <si>
    <t>(Sum of amounts in Columns 4 to 6)</t>
  </si>
  <si>
    <t>FERC Form 1 Account 190</t>
  </si>
  <si>
    <t>FF1 234.18c</t>
  </si>
  <si>
    <t>3) Account 282 Detail</t>
  </si>
  <si>
    <t>ACCT 282</t>
  </si>
  <si>
    <t xml:space="preserve">Fully Normalized Deferred Tax </t>
  </si>
  <si>
    <t>Property-Related FERC Costs</t>
  </si>
  <si>
    <t>Property-Related CPUC Costs</t>
  </si>
  <si>
    <t>Capitalized software</t>
  </si>
  <si>
    <t>Property-Related CPUC Costs - Cap Software</t>
  </si>
  <si>
    <t>Audit Rollforward</t>
  </si>
  <si>
    <t xml:space="preserve">Property-Related CPUC Costs - Audit </t>
  </si>
  <si>
    <t>Total Account 282</t>
  </si>
  <si>
    <t>Total Account 282 ADIT</t>
  </si>
  <si>
    <t>FERC Form 1 Account 282</t>
  </si>
  <si>
    <t>FF1 275.5k</t>
  </si>
  <si>
    <t>4) Account 283 Detail</t>
  </si>
  <si>
    <t>ACCT 283</t>
  </si>
  <si>
    <t>Ad Valorem Lien Date Adj-Electric</t>
  </si>
  <si>
    <t>Relates Entirely to CPUC Regulated Property</t>
  </si>
  <si>
    <t>Relates Entirely to FERC Regulated Electric Property</t>
  </si>
  <si>
    <t>Refunding &amp; Retirement of Debt</t>
  </si>
  <si>
    <t>Health Care - IBNR</t>
  </si>
  <si>
    <t>Non-Rate Base FAS 109 Tax Flow-Thru</t>
  </si>
  <si>
    <t>Continuation of Account 283 Detail</t>
  </si>
  <si>
    <t>Electric (continued):</t>
  </si>
  <si>
    <t>Total Electric 283</t>
  </si>
  <si>
    <t>Account 283 Gas and Other:</t>
  </si>
  <si>
    <t>Total Account 283 Gas and Other</t>
  </si>
  <si>
    <t>Total Account 283</t>
  </si>
  <si>
    <t>Total Account 283 ADIT</t>
  </si>
  <si>
    <t>FERC Form 1 Account 283</t>
  </si>
  <si>
    <t>FF1 277.19k</t>
  </si>
  <si>
    <t>5) Tax Normalization Calculation Pursuant to Treas. Reg §1.167(l)-1(h)(6)</t>
  </si>
  <si>
    <t>Col 8</t>
  </si>
  <si>
    <t>See Note 1</t>
  </si>
  <si>
    <t>Col 5 / Tot. Days</t>
  </si>
  <si>
    <t>= Col 2 * Col 6</t>
  </si>
  <si>
    <t>See Note 3</t>
  </si>
  <si>
    <t>Mthly Deferred</t>
  </si>
  <si>
    <t xml:space="preserve">Deferred </t>
  </si>
  <si>
    <t>Number of Days</t>
  </si>
  <si>
    <t>Prorata</t>
  </si>
  <si>
    <t xml:space="preserve">Monthly </t>
  </si>
  <si>
    <t>Annual Accumulated</t>
  </si>
  <si>
    <t>Future Test Period</t>
  </si>
  <si>
    <t>Tax Amount</t>
  </si>
  <si>
    <t>Tax Balance</t>
  </si>
  <si>
    <t>Days in Month</t>
  </si>
  <si>
    <t>Left in Period</t>
  </si>
  <si>
    <t>Percentages</t>
  </si>
  <si>
    <t>Prorata Amounts</t>
  </si>
  <si>
    <t>Prorata Calculation</t>
  </si>
  <si>
    <t>Beginning Deferred Tax Balance (Line 10, Col. 2)</t>
  </si>
  <si>
    <t>June</t>
  </si>
  <si>
    <t>Ending Balance (Line 5, Col. 2)</t>
  </si>
  <si>
    <t>Instruction 1: For any "Company Wide" ADIT line item balance (i.e., that include Catalina Gas or Water costs), indicate in Column 7</t>
  </si>
  <si>
    <t>with a leading "C:".</t>
  </si>
  <si>
    <t xml:space="preserve">Instruction 2: For any Company Wide ADIT balance items, include a portion of the total Column 2 balance in Column 3 </t>
  </si>
  <si>
    <t>"Gas, Generation, or Other Related" based on the following percentages.</t>
  </si>
  <si>
    <t xml:space="preserve">1) For Line items allocated based on the Wages and Salaries Allocation Factor: </t>
  </si>
  <si>
    <t>Prior Year</t>
  </si>
  <si>
    <t>A:Total Electric Wages and Salaries</t>
  </si>
  <si>
    <t>FF1 354.28b</t>
  </si>
  <si>
    <t>B:Gas Wages and Salaries</t>
  </si>
  <si>
    <t>FF1 355.62b</t>
  </si>
  <si>
    <t>C:Water Wages and Salaries</t>
  </si>
  <si>
    <t>FF1 355.64b</t>
  </si>
  <si>
    <t>D:Total Electric, Gas, and Water Wages and Salaries</t>
  </si>
  <si>
    <t>A+B+C</t>
  </si>
  <si>
    <t>E:Labor Percentage "Gas, Generation, or Other"</t>
  </si>
  <si>
    <t>(B+C) / D</t>
  </si>
  <si>
    <t xml:space="preserve">2) For Line items allocated based on the Transmission Plant Allocation Factor or "ISO Only": </t>
  </si>
  <si>
    <t>F:Total Electric Plant In Service</t>
  </si>
  <si>
    <t>FF1 207.104g</t>
  </si>
  <si>
    <t>G:Total Gas Plant In Service</t>
  </si>
  <si>
    <t>FF1 201.8d</t>
  </si>
  <si>
    <t>H:Total Water Plant in Service</t>
  </si>
  <si>
    <t>FF1 201.8e</t>
  </si>
  <si>
    <t>I:Total Electric, Gas, and Water Plant In Service</t>
  </si>
  <si>
    <t>F+G+H</t>
  </si>
  <si>
    <t>J:Plant Percentage "Gas, Generation, or Other"</t>
  </si>
  <si>
    <t>(G+H) / I</t>
  </si>
  <si>
    <t>Instruction 3: Classify any ADIT line items relating to refunding and retirement of debt as Plant related (Column 5).</t>
  </si>
  <si>
    <t>1) The monthly deferred tax amounts are equal to the ending ADIT balance minus the beginning ADIT balance, divided by 12 months.</t>
  </si>
  <si>
    <t>2) For January through December = previous month balance plus amount in Column 2.</t>
  </si>
  <si>
    <r>
      <t>3) The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average ADIT Balance is equal to the amount on Line 817, Column 8</t>
    </r>
  </si>
  <si>
    <t>Line 805 is equal to Line 10, Column 2.  Lines 806 through 817 equal previous amount in Column 8, plus amount in Column 7.</t>
  </si>
  <si>
    <t>4) The net excess/deficiency is derived from the deficiency arising in Account 190 offset by excesses in Accounts 282 and 283.</t>
  </si>
  <si>
    <t xml:space="preserve">5) SCE must submit a Federal Power Act Section 205 filing to obtain Commission approval prior to reflecting in rates any regulatory assets </t>
  </si>
  <si>
    <t>and liabilities arising from future tax changes.</t>
  </si>
  <si>
    <t>Calculation of Administrative and General Expense</t>
  </si>
  <si>
    <t>Inputs are shaded yellow</t>
  </si>
  <si>
    <t>FERC Form 1</t>
  </si>
  <si>
    <t>Data</t>
  </si>
  <si>
    <t>Total Amount</t>
  </si>
  <si>
    <t>Acct.</t>
  </si>
  <si>
    <t>Excluded</t>
  </si>
  <si>
    <t>A&amp;G Salaries</t>
  </si>
  <si>
    <t>FF1 323.181b</t>
  </si>
  <si>
    <t>Office Supplies and Expenses</t>
  </si>
  <si>
    <t>FF1 323.182b</t>
  </si>
  <si>
    <t>A&amp;G Expenses Transferred</t>
  </si>
  <si>
    <t>FF1 323.183b</t>
  </si>
  <si>
    <t>Credit</t>
  </si>
  <si>
    <t>Outside Services Employed</t>
  </si>
  <si>
    <t>FF1 323.184b</t>
  </si>
  <si>
    <t>Property Insurance</t>
  </si>
  <si>
    <t>FF1 323.185b</t>
  </si>
  <si>
    <t>Injuries and Damages</t>
  </si>
  <si>
    <t>FF1 323.186b</t>
  </si>
  <si>
    <t>Employee Pensions and Benefits</t>
  </si>
  <si>
    <t>FF1 323.187b</t>
  </si>
  <si>
    <t>Franchise Requirements</t>
  </si>
  <si>
    <t>FF1 323.188b</t>
  </si>
  <si>
    <t>Regulatory Commission Expenses</t>
  </si>
  <si>
    <t>FF1 323.189b</t>
  </si>
  <si>
    <t>Duplicate Charges</t>
  </si>
  <si>
    <t>FF1 323.190b</t>
  </si>
  <si>
    <t>General Advertising Expense</t>
  </si>
  <si>
    <t>FF1 323.191b</t>
  </si>
  <si>
    <t>Miscellaneous General Expense</t>
  </si>
  <si>
    <t>FF1 323.192b</t>
  </si>
  <si>
    <t>Rents</t>
  </si>
  <si>
    <t>FF1 323.193b</t>
  </si>
  <si>
    <t>Maintenance of General Plant</t>
  </si>
  <si>
    <t>FF1 323.196b</t>
  </si>
  <si>
    <t>Total A&amp;G Expenses:</t>
  </si>
  <si>
    <t>Remaining A&amp;G after exclusions &amp; NOIC Adjustment:</t>
  </si>
  <si>
    <t>Less Account  924:</t>
  </si>
  <si>
    <t>Amount to apply the Transmission W&amp;S AF:</t>
  </si>
  <si>
    <t>Transmission Wages and Salaries Allocation Factor:</t>
  </si>
  <si>
    <t>27-Allocators, Line 5</t>
  </si>
  <si>
    <t>Transmission W&amp;S AF Portion of A&amp;G:</t>
  </si>
  <si>
    <t>Transmission Plant Allocation Factor:</t>
  </si>
  <si>
    <t>27-Allocators, Line 18</t>
  </si>
  <si>
    <t>Property Insurance portion of A&amp;G:</t>
  </si>
  <si>
    <t>Administrative and General Expenses:</t>
  </si>
  <si>
    <t>Note 1: Itemization of exclusions</t>
  </si>
  <si>
    <t>Shareholder</t>
  </si>
  <si>
    <t>Exclusions</t>
  </si>
  <si>
    <t>Total Amount Excluded</t>
  </si>
  <si>
    <t>or Other</t>
  </si>
  <si>
    <t>Franchise</t>
  </si>
  <si>
    <t>(Sum of Col 1 to Col 4)</t>
  </si>
  <si>
    <t>Adjustments</t>
  </si>
  <si>
    <t>Requirements</t>
  </si>
  <si>
    <t>NOIC</t>
  </si>
  <si>
    <t>PBOPs</t>
  </si>
  <si>
    <t>See Instructions 2b, 3, and Note 2</t>
  </si>
  <si>
    <t xml:space="preserve">Note 2: Non-Officer Incentive Compensation ("NOIC") Adjustment </t>
  </si>
  <si>
    <t xml:space="preserve">Adjust NOIC by excluding accrued NOIC Amount and replacing with the </t>
  </si>
  <si>
    <t>actual non-capitalized A&amp;G NOIC payout.</t>
  </si>
  <si>
    <t>Accrued NOIC Amount:</t>
  </si>
  <si>
    <t>Actual A&amp;G NOIC payout:</t>
  </si>
  <si>
    <t>Adjustment:</t>
  </si>
  <si>
    <t>Actual non-capitalized NOIC Payouts:</t>
  </si>
  <si>
    <t>Department</t>
  </si>
  <si>
    <t>A&amp;G</t>
  </si>
  <si>
    <t>SCE Records and Workpapers</t>
  </si>
  <si>
    <t>Other</t>
  </si>
  <si>
    <t>Trans. And Dist. Business Unit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</si>
  <si>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</si>
  <si>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</si>
  <si>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</si>
  <si>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</si>
  <si>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</si>
  <si>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</si>
  <si>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</si>
  <si>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</si>
  <si>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 xml:space="preserve">Note 4: </t>
  </si>
  <si>
    <t>Franchise Fees Expenses component of the Prior Year TRR are based on Franchise Fee Factors.</t>
  </si>
  <si>
    <t>2) Fill out "Itemization of Exclusions" table for all input cells. NOIC amount in</t>
  </si>
  <si>
    <t>a) Exclude amount of any Shareholder Adjustments, costs incurred on behalf of SCE shareholders, from relevant account in Column 1.</t>
  </si>
  <si>
    <t>b) Include as an adjustment in Column 1 for Account 920 any amount excluded from Accounts 569.100, 569.200, and 569.300</t>
  </si>
  <si>
    <t>in Schedule 19 (OandM) related to Order 668 costs transferred.</t>
  </si>
  <si>
    <t xml:space="preserve">c) Exclude entire amount of account 927 "Franchise Requirements" in Column 2, as those costs are recovered </t>
  </si>
  <si>
    <t>through the Franchise Fees Expense item.</t>
  </si>
  <si>
    <t xml:space="preserve">d) Exclude any amount of Account 930.1 "General Advertising Expense" not related to advertising for safety, </t>
  </si>
  <si>
    <t>siting, or informational purposes in column 1.</t>
  </si>
  <si>
    <t>e) Exclude any amount of expense relating to secondary land use and audit expenses not directly benefitting utility customers.</t>
  </si>
  <si>
    <t>f) Exclude from account 930.2:</t>
  </si>
  <si>
    <t>1) Nuclear Power Research Expenses.</t>
  </si>
  <si>
    <t>2) Write Off of Abandoned Project Expenses.</t>
  </si>
  <si>
    <t>3) Any advertising expenses within the Consultants/Professional Services category.</t>
  </si>
  <si>
    <t>g) Exclude the following costs included in any account 920-935:</t>
  </si>
  <si>
    <t xml:space="preserve">1) Any amount of "Provision for Doubtful Accounts" costs. </t>
  </si>
  <si>
    <t>2) Any amount of "Accounting Suspense" costs.</t>
  </si>
  <si>
    <t>3) Any penalties or fines.</t>
  </si>
  <si>
    <t>4) Any amount of costs recovered 100% through California Public Utilities Commission ("CPUC") rates.</t>
  </si>
  <si>
    <r>
      <t>3) NOIC adjustment in Column 3</t>
    </r>
    <r>
      <rPr>
        <b/>
        <sz val="10"/>
        <rFont val="Arial"/>
        <family val="2"/>
      </rPr>
      <t xml:space="preserve">, </t>
    </r>
    <r>
      <rPr>
        <sz val="10"/>
        <rFont val="Arial"/>
        <family val="2"/>
      </rPr>
      <t xml:space="preserve">Line 24 is made by determining the difference between the total accrued NOIC amount </t>
    </r>
  </si>
  <si>
    <t>included in the FERC Form 1 recorded cost amounts and the actual A&amp;G NOIC payout (see note 2).</t>
  </si>
  <si>
    <t>NOIC adjustment in column 3, Line 26 is made by entering the amount of accrued NOIC that is capitalized.</t>
  </si>
  <si>
    <t>pursuant to Commission acceptance of an SCE FPA Section 205 filing to revise the authorized PBOPs expense,</t>
  </si>
  <si>
    <t>in accordance with the tariff protocols.  Accordingly, any amount different than the authorized PBOPs expense</t>
  </si>
  <si>
    <t>during the Prior Year is excluded from account 926 (see note 3). Docket or Decision approving authorized PBOPs amount:</t>
  </si>
  <si>
    <t>ER20-1382</t>
  </si>
  <si>
    <t>5) SCE shall make no adjustments to recorded labor amounts related to non-labor labor and/or Indirect labor in Schedule 20.</t>
  </si>
  <si>
    <t>Determination of Unfunded Reserves</t>
  </si>
  <si>
    <t>Reference</t>
  </si>
  <si>
    <t>Unfunded Reserves (EOY):</t>
  </si>
  <si>
    <t>(Line 17, Col 2)</t>
  </si>
  <si>
    <t>Unfunded Reserves (Average BOY/EOY):</t>
  </si>
  <si>
    <t>(Line 17, Col 3)</t>
  </si>
  <si>
    <t>EOY</t>
  </si>
  <si>
    <t>Description of Issue</t>
  </si>
  <si>
    <t>Unfunded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</si>
  <si>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</si>
  <si>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</si>
  <si>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</si>
  <si>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</si>
  <si>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</si>
  <si>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</si>
  <si>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</si>
  <si>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</si>
  <si>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</si>
  <si>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>Calculations</t>
  </si>
  <si>
    <t>BOY/EOY</t>
  </si>
  <si>
    <t>Injuries and Damages - Acct. 2251010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</si>
  <si>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</si>
  <si>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</si>
  <si>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</si>
  <si>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</si>
  <si>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</si>
  <si>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</si>
  <si>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</si>
  <si>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</si>
  <si>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</si>
  <si>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</si>
  <si>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</si>
  <si>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</si>
  <si>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</si>
  <si>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</si>
  <si>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 xml:space="preserve">One Time Adjustment to Reflect EDIT Amortization for the 2019 Year </t>
  </si>
  <si>
    <t xml:space="preserve">TO2018 Weighted One Time Adjustment Reflecting EDIT Amortization: </t>
  </si>
  <si>
    <t xml:space="preserve">TO2021 Weighted One Time Adjustment Reflecting EDIT Amortization: </t>
  </si>
  <si>
    <t xml:space="preserve">Total One Time Adjustment Reflecting EDIT Amortization: </t>
  </si>
  <si>
    <t>(Line 39) for True Up Years during the term of the settlement of ER19-1553.</t>
  </si>
  <si>
    <t>Accum Net ADIT (Liab)/Asset and Net (Excess)/Deficient ADIT Amounts</t>
  </si>
  <si>
    <t>44a</t>
  </si>
  <si>
    <t xml:space="preserve">Minimum Common Stock Capital Percentage (Docket No. ER19-1553) </t>
  </si>
  <si>
    <t>Amortization of Net (Excess)/Deficient Deferred Tax Liability Asset</t>
  </si>
  <si>
    <t>Negative of 9-ADIT-2, Line 500</t>
  </si>
  <si>
    <t>Workpaper:</t>
  </si>
  <si>
    <t>WP-Schedule 1</t>
  </si>
  <si>
    <t xml:space="preserve">2) No change in Return on Common Equity will be made absent a Section 205 filing at the Commission. </t>
  </si>
  <si>
    <t>Does not include any project-specific ROE adders.</t>
  </si>
  <si>
    <t>In the event that the Return on Common Equity is revised from the initial value, enter cite to Commission Order approving the revised ROE on following line.</t>
  </si>
  <si>
    <t>Order approving revised ROE:</t>
  </si>
  <si>
    <t>ER19-1553</t>
  </si>
  <si>
    <r>
      <t>3) No change in the South Georgia Income Tax Adjustment "Credits and Other" term</t>
    </r>
    <r>
      <rPr>
        <sz val="10"/>
        <rFont val="Arial"/>
        <family val="2"/>
      </rPr>
      <t xml:space="preserve"> will be made absent </t>
    </r>
  </si>
  <si>
    <t>negative $183,000 for the Prior Year of 2019, and $0 thereafter.</t>
  </si>
  <si>
    <t>5) Prior Year Incentive Adder Reversal backs out the revenue requirement associated with any project-specific Incentive Adders</t>
  </si>
  <si>
    <t>(Line 77).  Applicable pursuant to settlement under ER19-1553.</t>
  </si>
  <si>
    <t>107a</t>
  </si>
  <si>
    <t>Wildfire Reserve</t>
  </si>
  <si>
    <t>27-Allocators Lines 18 and 5 respectively.</t>
  </si>
  <si>
    <t>WP Schedule 20 A&amp;G</t>
  </si>
  <si>
    <t>See Instruction 6</t>
  </si>
  <si>
    <t>6) Any A&amp;G costs associated with wildfires other than the 2017/18 Wildfire/Mudslide Events shall be reflected in A&amp;G accounts on a cash basis during the</t>
  </si>
  <si>
    <t xml:space="preserve">year in which associated cash payments are made.  In the event an initial cost accrual is made in a year to one or more A&amp;G accounts 920-935, </t>
  </si>
  <si>
    <t>SCE shall exclude from A&amp;G cost recovery any amount not paid in cash during that year through an entry to Column 1, Lines 24-37 of the</t>
  </si>
  <si>
    <t>"Itemization of Exclusions" matrix to the account in which the initial expense accrual was made.  As cash payments related to the initial expense accrual are</t>
  </si>
  <si>
    <t xml:space="preserve">made in future years, SCE shall also include those expenses in A&amp;G cost recovery on a cash basis through an entry to the Itemization of Exclusions matrix. </t>
  </si>
  <si>
    <t>27-Allocators, Line 9</t>
  </si>
  <si>
    <t>27-Allocators, Line 22</t>
  </si>
  <si>
    <t>Calculation of 13-Month Average Capitalization Balances</t>
  </si>
  <si>
    <t xml:space="preserve">Year </t>
  </si>
  <si>
    <t>Col 9</t>
  </si>
  <si>
    <t>Col 10</t>
  </si>
  <si>
    <t>Col 11</t>
  </si>
  <si>
    <t>Col 12</t>
  </si>
  <si>
    <t>Col 13</t>
  </si>
  <si>
    <t>Col 14</t>
  </si>
  <si>
    <t>Item</t>
  </si>
  <si>
    <t>= Sum (Cols. 2-14)/13</t>
  </si>
  <si>
    <t>Bonds -- Account 221 (Note 1):</t>
  </si>
  <si>
    <t>Reacquired Bonds -- Account 222 (Note 2): enter - of FF1</t>
  </si>
  <si>
    <t xml:space="preserve"> Long Term Debt Advances from Associated Companies (Note 2a):</t>
  </si>
  <si>
    <t>2a</t>
  </si>
  <si>
    <t>Other Long Term Debt -- Account 224 (Note 3):</t>
  </si>
  <si>
    <t>NOT USED</t>
  </si>
  <si>
    <t>Preferred Stock Amount -- Account 204 (Note 8):</t>
  </si>
  <si>
    <t xml:space="preserve">Unamortized Issuance Costs (Note 9): enter negative </t>
  </si>
  <si>
    <t>Net Gain (Loss) From Purchase and Tender Offers Note 10):</t>
  </si>
  <si>
    <t>Total Proprietary Capital (Note 11):</t>
  </si>
  <si>
    <t>Unappropriated Undist. Sub. Earnings -- Acct. 216.1 (Note 12): enter - of FF1</t>
  </si>
  <si>
    <t>Accumulated Other Comprehensive Loss -- Account 219 (Note 13): enter - of FF1</t>
  </si>
  <si>
    <t xml:space="preserve">1) Enter 13 months of balances for capital structure for Prior Year and December previous to Prior Year in Columns 2-14.  </t>
  </si>
  <si>
    <t>Beginning and End of year amounts in Columns 2 and 14 are from FERC Form 1, as referenced in below notes.</t>
  </si>
  <si>
    <t xml:space="preserve">2) </t>
  </si>
  <si>
    <t>3) Update notes 9 and 10 as necessary.</t>
  </si>
  <si>
    <t xml:space="preserve">1) Amount in Column 2 from FF1 112.18d, amount in Column 14 from FF1 112.18c, amounts in columns 3-13 from SCE internal records. </t>
  </si>
  <si>
    <t xml:space="preserve">2) Amount in Column 2 from FF1 112.19d, amount in Column 14 from FF1 112.19c, amounts in columns 3-13 from SCE internal records. </t>
  </si>
  <si>
    <t xml:space="preserve">2a) Amount in Column 2 from FF1 112.20d, amount in Column 14 from FF1 112.20c, amounts in columns 3-13 from SCE internal records. </t>
  </si>
  <si>
    <t xml:space="preserve">3) Amount in Column 2 from FF1 112.21d, amount in Column 14 from FF1 112.21c, amounts in columns 3-13 from SCE internal records. </t>
  </si>
  <si>
    <t xml:space="preserve">4) </t>
  </si>
  <si>
    <t xml:space="preserve">5) </t>
  </si>
  <si>
    <t xml:space="preserve">6) </t>
  </si>
  <si>
    <t xml:space="preserve">7) </t>
  </si>
  <si>
    <t xml:space="preserve">8) Amount in Column 2 from FF1 112.3d, amount in Column 14 from FF1 112.3c, amounts in columns 3-13 from SCE internal records. </t>
  </si>
  <si>
    <t>9) Amounts in columns 2-14 are from SCE internal records.</t>
  </si>
  <si>
    <t>List associated securities, Face Amount, Issuance Date, Issuance Costs, Amortization Period, and Annual Amortization:</t>
  </si>
  <si>
    <t>Amortization</t>
  </si>
  <si>
    <t>Face</t>
  </si>
  <si>
    <t>Issuance</t>
  </si>
  <si>
    <t>Period</t>
  </si>
  <si>
    <t>Annual</t>
  </si>
  <si>
    <t>Issue</t>
  </si>
  <si>
    <t>Date</t>
  </si>
  <si>
    <t>Costs</t>
  </si>
  <si>
    <t>(Years)</t>
  </si>
  <si>
    <t>Series E 6.250%</t>
  </si>
  <si>
    <t>Series G 5.1%</t>
  </si>
  <si>
    <t>Series H 5.75%</t>
  </si>
  <si>
    <t>Series J 5.375%</t>
  </si>
  <si>
    <t>Series K 5.45%</t>
  </si>
  <si>
    <t>Series L 5.00%</t>
  </si>
  <si>
    <t>Updated 4/11/18 from 120 mos to 360 mos because this is a fixed security.</t>
  </si>
  <si>
    <t>Total Annual Amortization (sum of "Issues" listed above)</t>
  </si>
  <si>
    <t>10) Amounts in columns 2-14 are from SCE internal records.</t>
  </si>
  <si>
    <t>List associated securities and event, Event Date, Amortization Amount, Amortization Period, and Annual Amortization:</t>
  </si>
  <si>
    <t>Event</t>
  </si>
  <si>
    <t>Issue/Event</t>
  </si>
  <si>
    <t>12.000% Preferred, redemption</t>
  </si>
  <si>
    <t>Series B</t>
  </si>
  <si>
    <t>Redeemed by Series G</t>
  </si>
  <si>
    <t>Series C</t>
  </si>
  <si>
    <t>Series D</t>
  </si>
  <si>
    <t>Redeemed by Series K</t>
  </si>
  <si>
    <t>Series F</t>
  </si>
  <si>
    <t>Total Annual Amortization (sum of "Issues/Events" listed above)</t>
  </si>
  <si>
    <t xml:space="preserve">11) Amount in Column 2 from FF1 112.16d, amount in Column 14 from FF1 112.16c, amounts in columns 3-13 from SCE internal records. </t>
  </si>
  <si>
    <t xml:space="preserve">12) Amount in Column 2 from FF1 112.12d (opposite sign), amount in Column 14 from FF1 112.12c (opposite sign), amounts in columns 3-13 from SCE internal records. </t>
  </si>
  <si>
    <t>13) Amount in Column 2 from FF1 112.15d (opposite sign), amount in Column 14 from FF1 112.15c (opposite sign), amounts in columns 3-13 from SCE internal records.</t>
  </si>
  <si>
    <t>WP Schedule 5 ROR-2</t>
  </si>
  <si>
    <t>Preferred Stock Amount -- Account 204 (Note 4):</t>
  </si>
  <si>
    <t xml:space="preserve">Unamortized Issuance Costs (Note 5): enter negative </t>
  </si>
  <si>
    <t>Net Gain (Loss) From Purchase and Tender Offers Note 6):</t>
  </si>
  <si>
    <t>Total Proprietary Capital (Note 7):</t>
  </si>
  <si>
    <t>Unappropriated Undist. Sub. Earnings -- Acct. 216.1 (Note 8): enter - of FF1</t>
  </si>
  <si>
    <t>Accumulated Other Comprehensive Loss -- Account 219 (Note 9): enter - of FF1</t>
  </si>
  <si>
    <t>2) Update Notes 5 and 6 as necessary.</t>
  </si>
  <si>
    <t xml:space="preserve">4) Amount in Column 2 from FF1 112.3d, amount in Column 14 from FF1 112.3c, amounts in columns 3-13 from SCE internal records. </t>
  </si>
  <si>
    <t>5) Amounts in columns 2-14 are from SCE internal records.</t>
  </si>
  <si>
    <t>6) Amounts in columns 2-14 are from SCE internal records.</t>
  </si>
  <si>
    <t xml:space="preserve">7) Amount in Column 2 from FF1 112.16d, amount in Column 14 from FF1 112.16c, amounts in columns 3-13 from SCE internal records. </t>
  </si>
  <si>
    <t xml:space="preserve">8) Amount in Column 2 from FF1 112.12d (opposite sign), amount in Column 14 from FF1 112.12c (opposite sign), amounts in columns 3-13 from SCE internal records. </t>
  </si>
  <si>
    <t>9) Amount in Column 2 from FF1 112.15d (opposite sign), amount in Column 14 from FF1 112.15c (opposite sign), amounts in columns 3-13 from SCE internal records.</t>
  </si>
  <si>
    <t>6-PlantInService, Line 18</t>
  </si>
  <si>
    <t>6-PlantInService, Line 24</t>
  </si>
  <si>
    <t>6-PlantInService, Line 19</t>
  </si>
  <si>
    <t>6-PlantInService, Line 27</t>
  </si>
  <si>
    <t>11-PHFU, Line 9</t>
  </si>
  <si>
    <t>11-PHFU, Line 8</t>
  </si>
  <si>
    <t>11-PHFU, Line 10</t>
  </si>
  <si>
    <t>12-AbandonedPlant Line 4</t>
  </si>
  <si>
    <t>12-AbandonedPlant, Line 3</t>
  </si>
  <si>
    <t>12-AbandonedPlant, Line 1</t>
  </si>
  <si>
    <t>13-WorkCap, Line 17</t>
  </si>
  <si>
    <t>13-WorkCap, Line 33</t>
  </si>
  <si>
    <t>13-WorkCap, Line 16</t>
  </si>
  <si>
    <t>13-WorkCap, Line 36</t>
  </si>
  <si>
    <t>1-Base TRR Line 7</t>
  </si>
  <si>
    <t>1-Base TRR L 59</t>
  </si>
  <si>
    <t>1-Base TRR L 63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</si>
  <si>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</si>
  <si>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</si>
  <si>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</si>
  <si>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</si>
  <si>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</si>
  <si>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</si>
  <si>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</si>
  <si>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1-Base TRR L 72</t>
  </si>
  <si>
    <t>1-Base TRR L 75</t>
  </si>
  <si>
    <t>1-Base TRR L 76</t>
  </si>
  <si>
    <t>1-Base TRR L 51</t>
  </si>
  <si>
    <t>1-Base TRR L 52</t>
  </si>
  <si>
    <t>1-Base TRR L 47 * Line d</t>
  </si>
  <si>
    <t>8-AccDep, Line 14, Col. 12</t>
  </si>
  <si>
    <t>8-AccDep, Line 17, Col. 5</t>
  </si>
  <si>
    <t>8-AccDep, Line 23</t>
  </si>
  <si>
    <t>8-AccDep, Line 13, Col. 12</t>
  </si>
  <si>
    <t>8-AccDep, Line 16, Col. 5</t>
  </si>
  <si>
    <t>8-AccDep, Line 26</t>
  </si>
  <si>
    <t>9-ADIT, Line 15</t>
  </si>
  <si>
    <t>9-ADIT, Line 5, Col. 2</t>
  </si>
  <si>
    <t>14-IncentivePlant, L 12, C2</t>
  </si>
  <si>
    <t>14-IncentivePlant, L 12, Col 1</t>
  </si>
  <si>
    <t>22-NUCs, Line 7</t>
  </si>
  <si>
    <t>22-NUCs, Line 4</t>
  </si>
  <si>
    <t>22-NUCs, Line 8</t>
  </si>
  <si>
    <t>34-UnfundedReserves, Line 7</t>
  </si>
  <si>
    <t>34-UnfundedReserves, Line 6</t>
  </si>
  <si>
    <t>23-RegAssets, Line 15</t>
  </si>
  <si>
    <t>23-RegAssets, Line 14</t>
  </si>
  <si>
    <t>23-RegAssets, Line 16</t>
  </si>
  <si>
    <t>15-IncentiveAdder L 20</t>
  </si>
  <si>
    <t>15-IncentiveAdder, Line 14</t>
  </si>
  <si>
    <t>28-FFU, L 5</t>
  </si>
  <si>
    <t>L 78 * FF Factor (28-FFU, L 5)</t>
  </si>
  <si>
    <t>L 78 * U Factor (28-FFU, L 5)</t>
  </si>
  <si>
    <t>26-TaxRates, Line 16</t>
  </si>
  <si>
    <t>26-Tax Rates, Line 1</t>
  </si>
  <si>
    <t>26-Tax Rates, Line 8</t>
  </si>
  <si>
    <t>5-ROR-1, Line 32</t>
  </si>
  <si>
    <t>19-OandM, Line 91, Col. 6</t>
  </si>
  <si>
    <t>20-AandG, Line 23</t>
  </si>
  <si>
    <t>17-Depreciation, Line 70</t>
  </si>
  <si>
    <t>21-Revenue Credits, Line 44</t>
  </si>
  <si>
    <t>2-IFPTRR, Line 82</t>
  </si>
  <si>
    <t>3-TrueUpAdjust, Line 30</t>
  </si>
  <si>
    <t>25-WholesaleDifference, Line 45</t>
  </si>
  <si>
    <t>9-ADIT-1, Line 15</t>
  </si>
  <si>
    <t>9-ADIT-1, Line 5, Col. 2</t>
  </si>
  <si>
    <t>5-ROR-1, Line 4</t>
  </si>
  <si>
    <t>5-ROR-1, Line 11</t>
  </si>
  <si>
    <t>5-ROR-1, Line 12</t>
  </si>
  <si>
    <t>5-ROR-1, Line 20</t>
  </si>
  <si>
    <t>5-ROR-1, Line 27</t>
  </si>
  <si>
    <t>Revised TO2018 with 2019 Wildfire and Schedules 5 &amp; 20 Corrections</t>
  </si>
  <si>
    <t xml:space="preserve">Prior Year CWIP and Forecast Period Incremental CWIP by Project </t>
  </si>
  <si>
    <t>Prior Year CWIP is the amount of Construction Work In Progress for projects that have received Commission approval</t>
  </si>
  <si>
    <t>to include CWIP in Rate Base.</t>
  </si>
  <si>
    <t>1) Prior Year CWIP, Total and by Project</t>
  </si>
  <si>
    <t xml:space="preserve"> = Sum of all</t>
  </si>
  <si>
    <t>columns</t>
  </si>
  <si>
    <t>Devers to</t>
  </si>
  <si>
    <t>South of</t>
  </si>
  <si>
    <t>West of</t>
  </si>
  <si>
    <t>Total CWIP</t>
  </si>
  <si>
    <t>Tehachapi</t>
  </si>
  <si>
    <t>Colorado River</t>
  </si>
  <si>
    <t>Kramer</t>
  </si>
  <si>
    <t>Devers</t>
  </si>
  <si>
    <t>Red Bluff</t>
  </si>
  <si>
    <t xml:space="preserve">October </t>
  </si>
  <si>
    <t>13 Month Averages:</t>
  </si>
  <si>
    <t xml:space="preserve">Colorado </t>
  </si>
  <si>
    <t>Whirlwind</t>
  </si>
  <si>
    <t>River</t>
  </si>
  <si>
    <t>Substation</t>
  </si>
  <si>
    <t>ELM</t>
  </si>
  <si>
    <t>Expansion</t>
  </si>
  <si>
    <t>Mesa</t>
  </si>
  <si>
    <t>Alberhill</t>
  </si>
  <si>
    <t>Series Cap</t>
  </si>
  <si>
    <t>2) Total Forecast Period CWIP Expenditures (see Note 1)</t>
  </si>
  <si>
    <t>Unloaded</t>
  </si>
  <si>
    <t>Forecast</t>
  </si>
  <si>
    <t>Corporate</t>
  </si>
  <si>
    <t xml:space="preserve">Total </t>
  </si>
  <si>
    <t>Prior Period</t>
  </si>
  <si>
    <t>Over Heads</t>
  </si>
  <si>
    <t>Forecast Period</t>
  </si>
  <si>
    <t>Expenditures</t>
  </si>
  <si>
    <t>Overheads</t>
  </si>
  <si>
    <t>CWIP Exp</t>
  </si>
  <si>
    <t>Plant Adds</t>
  </si>
  <si>
    <t>CWIP Closed</t>
  </si>
  <si>
    <t>Closed to PIS</t>
  </si>
  <si>
    <t>Period CWIP</t>
  </si>
  <si>
    <t>Incremental CWIP</t>
  </si>
  <si>
    <t>13-Month Averages:</t>
  </si>
  <si>
    <t>3) Forecast Period CWIP Expenditures by Project (see Note 1)</t>
  </si>
  <si>
    <t>3a) Project:</t>
  </si>
  <si>
    <t>= C1 * 
16-Plnt Add Line 74</t>
  </si>
  <si>
    <t>= C1 + C2</t>
  </si>
  <si>
    <t>= (C4 - C5) *
16-Plnt Add Line 74</t>
  </si>
  <si>
    <t>= Prior Month C7
+ C3 - C4 - C6</t>
  </si>
  <si>
    <t>= C7 - 
Dec Prior Year C7</t>
  </si>
  <si>
    <t>3b) Project:</t>
  </si>
  <si>
    <t>Devers to Colorado River</t>
  </si>
  <si>
    <t>3c) Project:</t>
  </si>
  <si>
    <t>South of Kramer</t>
  </si>
  <si>
    <t>3d) Project:</t>
  </si>
  <si>
    <t>West of Devers</t>
  </si>
  <si>
    <t>3e) Project:</t>
  </si>
  <si>
    <t>3f) Project:</t>
  </si>
  <si>
    <t>Whirlwind Substation Expansion</t>
  </si>
  <si>
    <t>Unload</t>
  </si>
  <si>
    <t>3g) Project:</t>
  </si>
  <si>
    <t>Colorado River Substation Expansion</t>
  </si>
  <si>
    <t>3h) Project:</t>
  </si>
  <si>
    <t>3i) Project:</t>
  </si>
  <si>
    <t>3j) Project:</t>
  </si>
  <si>
    <t>ELM Series Capacitors</t>
  </si>
  <si>
    <t>3k) Project:</t>
  </si>
  <si>
    <t>add additional projects below this line (See Instruction 3)</t>
  </si>
  <si>
    <t xml:space="preserve">1) Forecast Period is the calendar year two years after the Prior Year (i.e., PY+2).   </t>
  </si>
  <si>
    <t>2) Sum of project specific values from lines 55-79, 81-105, 107-131, 133-157, 159-183, 185-209, 211-235, 237-261, 263-287, 289-313,…</t>
  </si>
  <si>
    <t>1) Enter recorded amounts of CWIP during Prior Year on Lines 1-13, 15-27 (including December of year previous to Prior Year).</t>
  </si>
  <si>
    <t>2) Enter forecast project specific values on lines 55-79, 81-105, 107-131, 133-157, 159-183, 185-209, 211-235, 237-261, 263-287, 289-313,...</t>
  </si>
  <si>
    <t>3) If Commission approval is granted to include CWIP in Rate Base for additional projects, include additional tables for each of those additional projects.</t>
  </si>
  <si>
    <t>WP Schedule 10</t>
  </si>
  <si>
    <t>Series Caps</t>
  </si>
  <si>
    <t>WP Schedules 10 &amp; 16</t>
  </si>
  <si>
    <t>ELM Series Caps</t>
  </si>
  <si>
    <t>2) Enter forecast project specific values on lines 55-79, 81-105, 107-131, 133-157, 159-183, 185-209, 211-235, 237-261, 263-287, 289-313, 315-339 ...</t>
  </si>
  <si>
    <t xml:space="preserve">Revised TO2018 Model True Up TRR with Wildfire Cash Treatment and Sch 5, 10 and 20 Corrections </t>
  </si>
  <si>
    <t>Revised TO2018 Model True Up TRR with Sch 5, 10 and 20 Corrections</t>
  </si>
  <si>
    <t>Revised TO2018 with Sch 5, 10 &amp; 20 Correction, Sch 4, Line 46</t>
  </si>
  <si>
    <t>Revised TO2018 Model True Up TRR with 2019 Wildfire and Schedules 5, 10 &amp; 20 Corrections</t>
  </si>
  <si>
    <t>Revised TO2018 Model True Up TRR with 2019 Wildfire, EDIT and Schedules 5, 10 &amp; 20 Corrections</t>
  </si>
  <si>
    <t>Revised TO2021 Model True Up TRR with EDIT and Schedules 5, 10 &amp; 20 Corrections</t>
  </si>
  <si>
    <t>Revised TO2021 Model True Up TRR with Schedules 5, 10 &amp; 20 Corrections</t>
  </si>
  <si>
    <t>Revised TO2021, Sch 4, Line 46 with Sch 5, 10 &amp; 20 Correction</t>
  </si>
  <si>
    <t>TO2021 Annual Update Filing - WP Schedule 3 - One Time Adjust Transition, Page 5, Line 46</t>
  </si>
  <si>
    <t>TO2021 Annual Update Filing - Attachment 5, Schedule 4, Line 46</t>
  </si>
  <si>
    <t>TO2021 Annual Update Filing - WP Schedule 3 - One Time Adjust Transition, Page 28, Line 46</t>
  </si>
  <si>
    <t>TO2021 Annual Update Filing - WP Schedule 3 - One Time Adjust Transition, Page 46, Line 46</t>
  </si>
  <si>
    <t>TO2021 Annual Update Filing - TO2021, Attachment 1, Schedule 4, Line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</si>
</sst>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%"/>
    <numFmt numFmtId="166" formatCode="0.0000%"/>
    <numFmt numFmtId="167" formatCode="0.00000000%"/>
    <numFmt numFmtId="168" formatCode="_(* #,##0_);_(* \(#,##0\);_(* &quot;-&quot;??_);_(@_)"/>
    <numFmt numFmtId="169" formatCode="mmm\ d\,\ yyyy"/>
    <numFmt numFmtId="170" formatCode="&quot;$&quot;#,##0.00"/>
    <numFmt numFmtId="171" formatCode="0.000"/>
    <numFmt numFmtId="172" formatCode="0.0%"/>
    <numFmt numFmtId="173" formatCode="&quot;$&quot;#,##0.0000"/>
    <numFmt numFmtId="174" formatCode="0_);\(0\)"/>
    <numFmt numFmtId="175" formatCode="m/d/yy;@"/>
  </numFmts>
  <fonts count="5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13"/>
      <name val="Arial"/>
      <family val="2"/>
    </font>
    <font>
      <sz val="10"/>
      <color indexed="13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u/>
      <sz val="9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b/>
      <strike/>
      <sz val="10"/>
      <color rgb="FFFF0000"/>
      <name val="Arial"/>
      <family val="2"/>
    </font>
    <font>
      <strike/>
      <sz val="10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23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u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35" fillId="0" borderId="0"/>
    <xf numFmtId="0" fontId="39" fillId="0" borderId="0"/>
    <xf numFmtId="0" fontId="40" fillId="0" borderId="0"/>
    <xf numFmtId="0" fontId="41" fillId="0" borderId="0"/>
    <xf numFmtId="0" fontId="43" fillId="0" borderId="0"/>
    <xf numFmtId="0" fontId="44" fillId="0" borderId="0"/>
    <xf numFmtId="0" fontId="46" fillId="0" borderId="0"/>
    <xf numFmtId="0" fontId="2" fillId="0" borderId="0"/>
  </cellStyleXfs>
  <cellXfs count="446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Alignment="1">
      <alignment horizontal="left"/>
    </xf>
    <xf numFmtId="0" fontId="2" fillId="0" borderId="0" xfId="1" applyAlignment="1">
      <alignment horizontal="left" indent="1"/>
    </xf>
    <xf numFmtId="0" fontId="6" fillId="0" borderId="0" xfId="1" applyFont="1" applyAlignment="1">
      <alignment horizontal="left"/>
    </xf>
    <xf numFmtId="0" fontId="2" fillId="0" borderId="0" xfId="3"/>
    <xf numFmtId="0" fontId="2" fillId="0" borderId="0" xfId="1" applyAlignment="1">
      <alignment horizontal="right"/>
    </xf>
    <xf numFmtId="0" fontId="2" fillId="0" borderId="0" xfId="6"/>
    <xf numFmtId="1" fontId="2" fillId="0" borderId="0" xfId="1" applyNumberFormat="1" applyAlignment="1">
      <alignment horizontal="center"/>
    </xf>
    <xf numFmtId="1" fontId="2" fillId="0" borderId="0" xfId="1" applyNumberFormat="1" applyAlignment="1">
      <alignment horizontal="right"/>
    </xf>
    <xf numFmtId="0" fontId="7" fillId="2" borderId="0" xfId="4" applyFont="1" applyFill="1"/>
    <xf numFmtId="0" fontId="6" fillId="0" borderId="0" xfId="6" applyFont="1"/>
    <xf numFmtId="0" fontId="6" fillId="0" borderId="0" xfId="6" applyFont="1" applyAlignment="1">
      <alignment horizontal="left" indent="1"/>
    </xf>
    <xf numFmtId="164" fontId="2" fillId="2" borderId="0" xfId="7" applyNumberFormat="1" applyFont="1" applyFill="1"/>
    <xf numFmtId="164" fontId="2" fillId="2" borderId="0" xfId="4" applyNumberFormat="1" applyFill="1"/>
    <xf numFmtId="0" fontId="27" fillId="0" borderId="0" xfId="6" applyFont="1" applyAlignment="1">
      <alignment horizontal="left"/>
    </xf>
    <xf numFmtId="0" fontId="6" fillId="0" borderId="0" xfId="6" applyFont="1" applyAlignment="1">
      <alignment horizontal="center"/>
    </xf>
    <xf numFmtId="0" fontId="2" fillId="0" borderId="0" xfId="6" applyAlignment="1">
      <alignment horizontal="right"/>
    </xf>
    <xf numFmtId="164" fontId="2" fillId="0" borderId="0" xfId="6" applyNumberFormat="1" applyAlignment="1">
      <alignment horizontal="right"/>
    </xf>
    <xf numFmtId="0" fontId="6" fillId="0" borderId="0" xfId="6" applyFont="1" applyAlignment="1">
      <alignment horizontal="right"/>
    </xf>
    <xf numFmtId="0" fontId="6" fillId="0" borderId="7" xfId="6" applyFont="1" applyBorder="1" applyAlignment="1">
      <alignment horizontal="center"/>
    </xf>
    <xf numFmtId="171" fontId="2" fillId="2" borderId="0" xfId="6" applyNumberFormat="1" applyFill="1" applyAlignment="1">
      <alignment horizontal="center"/>
    </xf>
    <xf numFmtId="0" fontId="2" fillId="2" borderId="0" xfId="6" applyFill="1"/>
    <xf numFmtId="164" fontId="2" fillId="2" borderId="0" xfId="6" applyNumberFormat="1" applyFill="1"/>
    <xf numFmtId="164" fontId="7" fillId="2" borderId="0" xfId="4" applyNumberFormat="1" applyFont="1" applyFill="1"/>
    <xf numFmtId="171" fontId="2" fillId="2" borderId="9" xfId="6" applyNumberFormat="1" applyFill="1" applyBorder="1" applyAlignment="1">
      <alignment horizontal="center"/>
    </xf>
    <xf numFmtId="0" fontId="2" fillId="2" borderId="9" xfId="6" applyFill="1" applyBorder="1"/>
    <xf numFmtId="164" fontId="2" fillId="2" borderId="9" xfId="6" applyNumberFormat="1" applyFill="1" applyBorder="1"/>
    <xf numFmtId="164" fontId="7" fillId="2" borderId="9" xfId="4" applyNumberFormat="1" applyFont="1" applyFill="1" applyBorder="1"/>
    <xf numFmtId="0" fontId="7" fillId="2" borderId="9" xfId="4" applyFont="1" applyFill="1" applyBorder="1"/>
    <xf numFmtId="0" fontId="2" fillId="2" borderId="0" xfId="4" applyFill="1"/>
    <xf numFmtId="171" fontId="2" fillId="0" borderId="0" xfId="6" applyNumberFormat="1" applyAlignment="1">
      <alignment horizontal="center"/>
    </xf>
    <xf numFmtId="164" fontId="2" fillId="0" borderId="0" xfId="6" applyNumberFormat="1"/>
    <xf numFmtId="171" fontId="2" fillId="0" borderId="0" xfId="6" quotePrefix="1" applyNumberFormat="1" applyAlignment="1">
      <alignment horizontal="center"/>
    </xf>
    <xf numFmtId="164" fontId="2" fillId="0" borderId="0" xfId="8" applyNumberFormat="1" applyFont="1" applyFill="1" applyBorder="1"/>
    <xf numFmtId="164" fontId="2" fillId="0" borderId="0" xfId="8" applyNumberFormat="1" applyFont="1" applyBorder="1"/>
    <xf numFmtId="164" fontId="2" fillId="0" borderId="0" xfId="8" applyNumberFormat="1" applyFont="1"/>
    <xf numFmtId="165" fontId="2" fillId="0" borderId="0" xfId="8" applyNumberFormat="1" applyFont="1" applyBorder="1"/>
    <xf numFmtId="164" fontId="2" fillId="0" borderId="6" xfId="8" applyNumberFormat="1" applyFont="1" applyBorder="1"/>
    <xf numFmtId="0" fontId="2" fillId="0" borderId="0" xfId="6" quotePrefix="1" applyAlignment="1">
      <alignment horizontal="left" indent="1"/>
    </xf>
    <xf numFmtId="164" fontId="2" fillId="2" borderId="0" xfId="8" applyNumberFormat="1" applyFont="1" applyFill="1" applyBorder="1"/>
    <xf numFmtId="164" fontId="2" fillId="0" borderId="0" xfId="8" applyNumberFormat="1" applyFont="1" applyBorder="1" applyAlignment="1">
      <alignment horizontal="left" indent="1"/>
    </xf>
    <xf numFmtId="39" fontId="2" fillId="0" borderId="0" xfId="8" applyNumberFormat="1" applyFont="1" applyBorder="1"/>
    <xf numFmtId="37" fontId="2" fillId="0" borderId="0" xfId="8" applyNumberFormat="1" applyFont="1" applyBorder="1" applyAlignment="1">
      <alignment horizontal="center"/>
    </xf>
    <xf numFmtId="171" fontId="2" fillId="2" borderId="0" xfId="4" quotePrefix="1" applyNumberFormat="1" applyFill="1" applyAlignment="1">
      <alignment horizontal="center"/>
    </xf>
    <xf numFmtId="164" fontId="7" fillId="2" borderId="0" xfId="8" applyNumberFormat="1" applyFont="1" applyFill="1" applyBorder="1"/>
    <xf numFmtId="164" fontId="6" fillId="0" borderId="0" xfId="6" applyNumberFormat="1" applyFont="1" applyAlignment="1">
      <alignment horizontal="center"/>
    </xf>
    <xf numFmtId="164" fontId="6" fillId="0" borderId="7" xfId="6" applyNumberFormat="1" applyFont="1" applyBorder="1" applyAlignment="1">
      <alignment horizontal="center"/>
    </xf>
    <xf numFmtId="164" fontId="2" fillId="0" borderId="7" xfId="8" applyNumberFormat="1" applyFont="1" applyBorder="1"/>
    <xf numFmtId="164" fontId="2" fillId="0" borderId="6" xfId="8" applyNumberFormat="1" applyFont="1" applyFill="1" applyBorder="1"/>
    <xf numFmtId="164" fontId="6" fillId="0" borderId="0" xfId="8" applyNumberFormat="1" applyFont="1" applyBorder="1" applyAlignment="1">
      <alignment horizontal="center"/>
    </xf>
    <xf numFmtId="0" fontId="3" fillId="0" borderId="0" xfId="6" applyFont="1" applyAlignment="1">
      <alignment horizontal="center"/>
    </xf>
    <xf numFmtId="164" fontId="3" fillId="0" borderId="0" xfId="8" applyNumberFormat="1" applyFont="1" applyBorder="1" applyAlignment="1">
      <alignment horizontal="center"/>
    </xf>
    <xf numFmtId="170" fontId="2" fillId="0" borderId="0" xfId="8" applyNumberFormat="1" applyFont="1" applyBorder="1" applyAlignment="1">
      <alignment horizontal="left" indent="1"/>
    </xf>
    <xf numFmtId="3" fontId="2" fillId="0" borderId="0" xfId="8" applyNumberFormat="1" applyFont="1" applyFill="1" applyBorder="1"/>
    <xf numFmtId="10" fontId="2" fillId="0" borderId="0" xfId="8" applyNumberFormat="1" applyFont="1" applyBorder="1"/>
    <xf numFmtId="0" fontId="16" fillId="0" borderId="0" xfId="6" applyFont="1"/>
    <xf numFmtId="164" fontId="16" fillId="0" borderId="0" xfId="8" applyNumberFormat="1" applyFont="1" applyBorder="1" applyAlignment="1">
      <alignment horizontal="left" indent="1"/>
    </xf>
    <xf numFmtId="164" fontId="16" fillId="0" borderId="0" xfId="8" applyNumberFormat="1" applyFont="1" applyBorder="1"/>
    <xf numFmtId="164" fontId="26" fillId="0" borderId="0" xfId="6" applyNumberFormat="1" applyFont="1"/>
    <xf numFmtId="164" fontId="14" fillId="2" borderId="0" xfId="6" applyNumberFormat="1" applyFont="1" applyFill="1"/>
    <xf numFmtId="0" fontId="2" fillId="0" borderId="0" xfId="6" applyAlignment="1">
      <alignment horizontal="left"/>
    </xf>
    <xf numFmtId="0" fontId="6" fillId="0" borderId="0" xfId="3" applyFont="1"/>
    <xf numFmtId="0" fontId="3" fillId="0" borderId="0" xfId="3" applyFont="1"/>
    <xf numFmtId="0" fontId="6" fillId="0" borderId="0" xfId="3" applyFont="1" applyAlignment="1">
      <alignment horizontal="center"/>
    </xf>
    <xf numFmtId="0" fontId="6" fillId="0" borderId="7" xfId="3" applyFont="1" applyBorder="1" applyAlignment="1">
      <alignment horizontal="center"/>
    </xf>
    <xf numFmtId="0" fontId="3" fillId="0" borderId="0" xfId="3" applyFont="1" applyAlignment="1">
      <alignment horizontal="left"/>
    </xf>
    <xf numFmtId="164" fontId="2" fillId="0" borderId="0" xfId="3" applyNumberFormat="1"/>
    <xf numFmtId="164" fontId="2" fillId="0" borderId="11" xfId="3" applyNumberFormat="1" applyBorder="1"/>
    <xf numFmtId="0" fontId="6" fillId="0" borderId="0" xfId="3" quotePrefix="1" applyFont="1" applyAlignment="1">
      <alignment horizontal="center"/>
    </xf>
    <xf numFmtId="0" fontId="3" fillId="0" borderId="0" xfId="3" applyFont="1" applyAlignment="1">
      <alignment horizontal="center"/>
    </xf>
    <xf numFmtId="164" fontId="2" fillId="0" borderId="7" xfId="3" applyNumberFormat="1" applyBorder="1" applyAlignment="1">
      <alignment horizontal="right"/>
    </xf>
    <xf numFmtId="164" fontId="2" fillId="0" borderId="0" xfId="3" applyNumberFormat="1" applyAlignment="1">
      <alignment horizontal="right"/>
    </xf>
    <xf numFmtId="164" fontId="2" fillId="0" borderId="12" xfId="3" applyNumberFormat="1" applyBorder="1"/>
    <xf numFmtId="164" fontId="2" fillId="4" borderId="0" xfId="5" applyNumberFormat="1" applyFont="1" applyFill="1"/>
    <xf numFmtId="164" fontId="2" fillId="0" borderId="0" xfId="5" applyNumberFormat="1" applyFont="1" applyFill="1" applyBorder="1"/>
    <xf numFmtId="164" fontId="2" fillId="4" borderId="2" xfId="5" applyNumberFormat="1" applyFont="1" applyFill="1" applyBorder="1"/>
    <xf numFmtId="37" fontId="2" fillId="0" borderId="0" xfId="5" applyNumberFormat="1" applyFont="1" applyFill="1" applyBorder="1"/>
    <xf numFmtId="166" fontId="0" fillId="0" borderId="0" xfId="9" quotePrefix="1" applyNumberFormat="1" applyFont="1" applyFill="1" applyBorder="1"/>
    <xf numFmtId="166" fontId="0" fillId="0" borderId="7" xfId="9" applyNumberFormat="1" applyFont="1" applyFill="1" applyBorder="1"/>
    <xf numFmtId="166" fontId="0" fillId="0" borderId="0" xfId="9" applyNumberFormat="1" applyFont="1" applyFill="1" applyBorder="1"/>
    <xf numFmtId="164" fontId="0" fillId="0" borderId="11" xfId="5" applyNumberFormat="1" applyFont="1" applyBorder="1"/>
    <xf numFmtId="164" fontId="0" fillId="0" borderId="0" xfId="5" applyNumberFormat="1" applyFont="1" applyFill="1" applyBorder="1"/>
    <xf numFmtId="0" fontId="0" fillId="0" borderId="0" xfId="0" quotePrefix="1"/>
    <xf numFmtId="165" fontId="11" fillId="0" borderId="13" xfId="2" applyNumberFormat="1" applyBorder="1" applyAlignment="1">
      <alignment wrapText="1"/>
    </xf>
    <xf numFmtId="0" fontId="1" fillId="6" borderId="13" xfId="10" applyFont="1" applyFill="1" applyBorder="1" applyAlignment="1">
      <alignment horizontal="center" wrapText="1"/>
    </xf>
    <xf numFmtId="164" fontId="11" fillId="0" borderId="13" xfId="10" applyNumberFormat="1" applyBorder="1" applyAlignment="1">
      <alignment wrapText="1"/>
    </xf>
    <xf numFmtId="168" fontId="1" fillId="0" borderId="17" xfId="10" applyNumberFormat="1" applyFont="1" applyBorder="1"/>
    <xf numFmtId="165" fontId="11" fillId="0" borderId="19" xfId="2" applyNumberFormat="1" applyBorder="1" applyAlignment="1">
      <alignment wrapText="1"/>
    </xf>
    <xf numFmtId="0" fontId="0" fillId="2" borderId="0" xfId="0" applyFill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/>
    </xf>
    <xf numFmtId="0" fontId="34" fillId="0" borderId="0" xfId="0" applyFont="1" applyFill="1"/>
    <xf numFmtId="0" fontId="25" fillId="0" borderId="0" xfId="0" applyFont="1" applyFill="1"/>
    <xf numFmtId="0" fontId="36" fillId="0" borderId="0" xfId="0" applyFont="1"/>
    <xf numFmtId="164" fontId="0" fillId="0" borderId="0" xfId="0" applyNumberFormat="1" applyFill="1" applyAlignment="1">
      <alignment horizontal="center"/>
    </xf>
    <xf numFmtId="172" fontId="11" fillId="0" borderId="13" xfId="2" applyNumberFormat="1" applyBorder="1" applyAlignment="1">
      <alignment horizontal="center" wrapText="1"/>
    </xf>
    <xf numFmtId="164" fontId="11" fillId="0" borderId="13" xfId="10" applyNumberFormat="1" applyBorder="1" applyAlignment="1">
      <alignment horizontal="center" wrapText="1"/>
    </xf>
    <xf numFmtId="164" fontId="34" fillId="0" borderId="18" xfId="11" applyNumberFormat="1" applyFont="1" applyFill="1" applyBorder="1" applyAlignment="1">
      <alignment horizontal="center"/>
    </xf>
    <xf numFmtId="164" fontId="34" fillId="0" borderId="13" xfId="11" applyNumberFormat="1" applyFon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34" fillId="0" borderId="0" xfId="0" applyFont="1"/>
    <xf numFmtId="0" fontId="25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10" fontId="0" fillId="0" borderId="13" xfId="2" applyNumberFormat="1" applyFont="1" applyBorder="1" applyAlignment="1">
      <alignment horizontal="center"/>
    </xf>
    <xf numFmtId="0" fontId="1" fillId="7" borderId="13" xfId="10" applyFont="1" applyFill="1" applyBorder="1" applyAlignment="1">
      <alignment horizontal="center" wrapText="1"/>
    </xf>
    <xf numFmtId="164" fontId="1" fillId="7" borderId="17" xfId="10" applyNumberFormat="1" applyFont="1" applyFill="1" applyBorder="1" applyAlignment="1">
      <alignment horizontal="center"/>
    </xf>
    <xf numFmtId="164" fontId="1" fillId="7" borderId="13" xfId="10" applyNumberFormat="1" applyFont="1" applyFill="1" applyBorder="1" applyAlignment="1">
      <alignment horizontal="center" wrapText="1"/>
    </xf>
    <xf numFmtId="164" fontId="1" fillId="7" borderId="13" xfId="0" applyNumberFormat="1" applyFont="1" applyFill="1" applyBorder="1" applyAlignment="1">
      <alignment horizontal="center"/>
    </xf>
    <xf numFmtId="173" fontId="0" fillId="0" borderId="0" xfId="0" applyNumberFormat="1"/>
    <xf numFmtId="0" fontId="1" fillId="6" borderId="13" xfId="1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7" borderId="13" xfId="10" applyFont="1" applyFill="1" applyBorder="1" applyAlignment="1">
      <alignment horizontal="center"/>
    </xf>
    <xf numFmtId="0" fontId="6" fillId="0" borderId="0" xfId="14" applyFont="1"/>
    <xf numFmtId="0" fontId="40" fillId="0" borderId="0" xfId="14"/>
    <xf numFmtId="0" fontId="6" fillId="0" borderId="0" xfId="14" applyFont="1" applyAlignment="1">
      <alignment horizontal="center"/>
    </xf>
    <xf numFmtId="0" fontId="3" fillId="0" borderId="0" xfId="14" applyFont="1" applyAlignment="1">
      <alignment horizontal="left"/>
    </xf>
    <xf numFmtId="0" fontId="3" fillId="0" borderId="0" xfId="14" applyFont="1"/>
    <xf numFmtId="0" fontId="3" fillId="0" borderId="0" xfId="14" applyFont="1" applyAlignment="1">
      <alignment horizontal="center"/>
    </xf>
    <xf numFmtId="0" fontId="2" fillId="0" borderId="0" xfId="14" applyFont="1" applyAlignment="1">
      <alignment horizontal="left"/>
    </xf>
    <xf numFmtId="164" fontId="40" fillId="0" borderId="0" xfId="14" applyNumberFormat="1"/>
    <xf numFmtId="0" fontId="2" fillId="0" borderId="0" xfId="14" applyFont="1"/>
    <xf numFmtId="0" fontId="2" fillId="0" borderId="0" xfId="14" applyFont="1" applyAlignment="1">
      <alignment horizontal="left" indent="1"/>
    </xf>
    <xf numFmtId="166" fontId="2" fillId="0" borderId="0" xfId="14" applyNumberFormat="1" applyFont="1"/>
    <xf numFmtId="164" fontId="2" fillId="0" borderId="0" xfId="14" applyNumberFormat="1" applyFont="1"/>
    <xf numFmtId="0" fontId="6" fillId="0" borderId="0" xfId="14" quotePrefix="1" applyFont="1" applyAlignment="1">
      <alignment horizontal="center"/>
    </xf>
    <xf numFmtId="0" fontId="2" fillId="2" borderId="0" xfId="14" applyFont="1" applyFill="1"/>
    <xf numFmtId="0" fontId="2" fillId="0" borderId="0" xfId="14" quotePrefix="1" applyFont="1" applyAlignment="1">
      <alignment horizontal="center"/>
    </xf>
    <xf numFmtId="0" fontId="7" fillId="2" borderId="0" xfId="14" applyFont="1" applyFill="1"/>
    <xf numFmtId="0" fontId="2" fillId="0" borderId="0" xfId="14" applyFont="1" applyAlignment="1">
      <alignment horizontal="center"/>
    </xf>
    <xf numFmtId="0" fontId="3" fillId="0" borderId="0" xfId="14" quotePrefix="1" applyFont="1" applyAlignment="1">
      <alignment horizontal="center"/>
    </xf>
    <xf numFmtId="164" fontId="7" fillId="0" borderId="0" xfId="14" applyNumberFormat="1" applyFont="1"/>
    <xf numFmtId="0" fontId="40" fillId="0" borderId="0" xfId="14" quotePrefix="1"/>
    <xf numFmtId="164" fontId="40" fillId="2" borderId="0" xfId="14" applyNumberFormat="1" applyFill="1"/>
    <xf numFmtId="0" fontId="40" fillId="0" borderId="0" xfId="14" applyAlignment="1">
      <alignment horizontal="center"/>
    </xf>
    <xf numFmtId="164" fontId="2" fillId="2" borderId="0" xfId="14" applyNumberFormat="1" applyFont="1" applyFill="1"/>
    <xf numFmtId="0" fontId="7" fillId="0" borderId="0" xfId="14" applyFont="1"/>
    <xf numFmtId="0" fontId="23" fillId="0" borderId="0" xfId="14" applyFont="1"/>
    <xf numFmtId="0" fontId="24" fillId="0" borderId="0" xfId="14" applyFont="1"/>
    <xf numFmtId="0" fontId="24" fillId="0" borderId="0" xfId="14" applyFont="1" applyAlignment="1">
      <alignment horizontal="center"/>
    </xf>
    <xf numFmtId="0" fontId="25" fillId="0" borderId="0" xfId="14" applyFont="1" applyAlignment="1">
      <alignment horizontal="center"/>
    </xf>
    <xf numFmtId="37" fontId="7" fillId="0" borderId="0" xfId="14" applyNumberFormat="1" applyFont="1"/>
    <xf numFmtId="164" fontId="2" fillId="0" borderId="6" xfId="14" applyNumberFormat="1" applyFont="1" applyBorder="1"/>
    <xf numFmtId="37" fontId="2" fillId="0" borderId="0" xfId="14" applyNumberFormat="1" applyFont="1" applyAlignment="1">
      <alignment horizontal="left" indent="1"/>
    </xf>
    <xf numFmtId="166" fontId="7" fillId="0" borderId="0" xfId="14" applyNumberFormat="1" applyFont="1"/>
    <xf numFmtId="0" fontId="7" fillId="0" borderId="0" xfId="14" applyFont="1" applyAlignment="1">
      <alignment horizontal="left" indent="1"/>
    </xf>
    <xf numFmtId="166" fontId="7" fillId="0" borderId="0" xfId="14" applyNumberFormat="1" applyFont="1" applyAlignment="1">
      <alignment horizontal="left" indent="1"/>
    </xf>
    <xf numFmtId="164" fontId="24" fillId="0" borderId="0" xfId="14" applyNumberFormat="1" applyFont="1"/>
    <xf numFmtId="37" fontId="26" fillId="0" borderId="0" xfId="14" applyNumberFormat="1" applyFont="1"/>
    <xf numFmtId="0" fontId="7" fillId="0" borderId="0" xfId="14" quotePrefix="1" applyFont="1" applyAlignment="1">
      <alignment horizontal="center"/>
    </xf>
    <xf numFmtId="0" fontId="6" fillId="2" borderId="0" xfId="14" applyFont="1" applyFill="1" applyAlignment="1">
      <alignment horizontal="center"/>
    </xf>
    <xf numFmtId="164" fontId="7" fillId="2" borderId="0" xfId="14" applyNumberFormat="1" applyFont="1" applyFill="1"/>
    <xf numFmtId="0" fontId="6" fillId="2" borderId="8" xfId="14" applyFont="1" applyFill="1" applyBorder="1" applyAlignment="1">
      <alignment horizontal="center"/>
    </xf>
    <xf numFmtId="164" fontId="7" fillId="2" borderId="9" xfId="14" applyNumberFormat="1" applyFont="1" applyFill="1" applyBorder="1"/>
    <xf numFmtId="0" fontId="7" fillId="2" borderId="10" xfId="14" applyFont="1" applyFill="1" applyBorder="1"/>
    <xf numFmtId="0" fontId="26" fillId="2" borderId="0" xfId="14" applyFont="1" applyFill="1"/>
    <xf numFmtId="39" fontId="7" fillId="0" borderId="0" xfId="14" applyNumberFormat="1" applyFont="1" applyAlignment="1">
      <alignment horizontal="left" indent="1"/>
    </xf>
    <xf numFmtId="39" fontId="2" fillId="0" borderId="0" xfId="14" applyNumberFormat="1" applyFont="1" applyAlignment="1">
      <alignment horizontal="left" indent="1"/>
    </xf>
    <xf numFmtId="39" fontId="7" fillId="0" borderId="0" xfId="14" applyNumberFormat="1" applyFont="1"/>
    <xf numFmtId="171" fontId="2" fillId="0" borderId="0" xfId="14" applyNumberFormat="1" applyFont="1" applyAlignment="1">
      <alignment horizontal="center"/>
    </xf>
    <xf numFmtId="0" fontId="2" fillId="0" borderId="0" xfId="14" quotePrefix="1" applyFont="1"/>
    <xf numFmtId="171" fontId="2" fillId="2" borderId="0" xfId="14" quotePrefix="1" applyNumberFormat="1" applyFont="1" applyFill="1" applyAlignment="1">
      <alignment horizontal="center"/>
    </xf>
    <xf numFmtId="0" fontId="28" fillId="0" borderId="0" xfId="14" applyFont="1"/>
    <xf numFmtId="0" fontId="6" fillId="0" borderId="0" xfId="14" quotePrefix="1" applyFont="1" applyAlignment="1">
      <alignment horizontal="left" indent="1"/>
    </xf>
    <xf numFmtId="0" fontId="2" fillId="0" borderId="0" xfId="14" applyFont="1" applyAlignment="1">
      <alignment wrapText="1"/>
    </xf>
    <xf numFmtId="164" fontId="2" fillId="0" borderId="0" xfId="14" quotePrefix="1" applyNumberFormat="1" applyFont="1" applyAlignment="1">
      <alignment horizontal="center"/>
    </xf>
    <xf numFmtId="164" fontId="7" fillId="0" borderId="0" xfId="14" applyNumberFormat="1" applyFont="1" applyAlignment="1">
      <alignment horizontal="right"/>
    </xf>
    <xf numFmtId="170" fontId="2" fillId="0" borderId="0" xfId="14" quotePrefix="1" applyNumberFormat="1" applyFont="1" applyAlignment="1">
      <alignment horizontal="center"/>
    </xf>
    <xf numFmtId="0" fontId="40" fillId="2" borderId="0" xfId="14" applyFill="1" applyAlignment="1">
      <alignment wrapText="1"/>
    </xf>
    <xf numFmtId="0" fontId="40" fillId="0" borderId="0" xfId="14" applyAlignment="1">
      <alignment wrapText="1"/>
    </xf>
    <xf numFmtId="42" fontId="2" fillId="0" borderId="0" xfId="14" quotePrefix="1" applyNumberFormat="1" applyFont="1" applyAlignment="1">
      <alignment horizontal="center"/>
    </xf>
    <xf numFmtId="0" fontId="29" fillId="0" borderId="0" xfId="14" applyFont="1" applyAlignment="1">
      <alignment horizontal="center"/>
    </xf>
    <xf numFmtId="0" fontId="30" fillId="0" borderId="0" xfId="14" applyFont="1"/>
    <xf numFmtId="0" fontId="16" fillId="0" borderId="0" xfId="14" applyFont="1" applyAlignment="1">
      <alignment horizontal="right" indent="1"/>
    </xf>
    <xf numFmtId="42" fontId="16" fillId="0" borderId="0" xfId="14" quotePrefix="1" applyNumberFormat="1" applyFont="1" applyAlignment="1">
      <alignment horizontal="center"/>
    </xf>
    <xf numFmtId="164" fontId="2" fillId="4" borderId="0" xfId="14" applyNumberFormat="1" applyFont="1" applyFill="1"/>
    <xf numFmtId="3" fontId="7" fillId="0" borderId="0" xfId="14" applyNumberFormat="1" applyFont="1"/>
    <xf numFmtId="164" fontId="14" fillId="2" borderId="0" xfId="14" applyNumberFormat="1" applyFont="1" applyFill="1"/>
    <xf numFmtId="0" fontId="7" fillId="0" borderId="0" xfId="14" applyFont="1" applyAlignment="1">
      <alignment horizontal="left"/>
    </xf>
    <xf numFmtId="0" fontId="31" fillId="0" borderId="0" xfId="14" applyFont="1"/>
    <xf numFmtId="0" fontId="32" fillId="0" borderId="0" xfId="14" applyFont="1" applyAlignment="1">
      <alignment horizontal="center"/>
    </xf>
    <xf numFmtId="0" fontId="40" fillId="0" borderId="7" xfId="14" applyBorder="1" applyAlignment="1">
      <alignment horizontal="center"/>
    </xf>
    <xf numFmtId="0" fontId="2" fillId="0" borderId="7" xfId="14" applyFont="1" applyBorder="1" applyAlignment="1">
      <alignment horizontal="center"/>
    </xf>
    <xf numFmtId="164" fontId="40" fillId="0" borderId="11" xfId="14" applyNumberFormat="1" applyBorder="1"/>
    <xf numFmtId="0" fontId="31" fillId="0" borderId="0" xfId="14" applyFont="1" applyAlignment="1">
      <alignment wrapText="1"/>
    </xf>
    <xf numFmtId="9" fontId="40" fillId="0" borderId="0" xfId="14" applyNumberFormat="1" applyAlignment="1">
      <alignment horizontal="left"/>
    </xf>
    <xf numFmtId="9" fontId="40" fillId="0" borderId="7" xfId="14" applyNumberFormat="1" applyBorder="1"/>
    <xf numFmtId="0" fontId="1" fillId="0" borderId="13" xfId="0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3" xfId="0" applyNumberFormat="1" applyFill="1" applyBorder="1"/>
    <xf numFmtId="5" fontId="11" fillId="0" borderId="13" xfId="10" applyNumberFormat="1" applyBorder="1" applyAlignment="1">
      <alignment wrapText="1"/>
    </xf>
    <xf numFmtId="0" fontId="6" fillId="0" borderId="0" xfId="4" applyFont="1"/>
    <xf numFmtId="0" fontId="2" fillId="0" borderId="0" xfId="4"/>
    <xf numFmtId="0" fontId="2" fillId="4" borderId="0" xfId="4" applyFill="1"/>
    <xf numFmtId="0" fontId="2" fillId="0" borderId="0" xfId="4" applyAlignment="1">
      <alignment horizontal="center"/>
    </xf>
    <xf numFmtId="0" fontId="3" fillId="0" borderId="0" xfId="4" quotePrefix="1" applyFont="1" applyAlignment="1">
      <alignment horizontal="center"/>
    </xf>
    <xf numFmtId="0" fontId="6" fillId="0" borderId="0" xfId="4" applyFont="1" applyAlignment="1">
      <alignment horizontal="center"/>
    </xf>
    <xf numFmtId="0" fontId="3" fillId="0" borderId="0" xfId="4" applyFont="1" applyAlignment="1">
      <alignment horizontal="left"/>
    </xf>
    <xf numFmtId="0" fontId="3" fillId="0" borderId="0" xfId="4" applyFont="1" applyAlignment="1">
      <alignment horizontal="center"/>
    </xf>
    <xf numFmtId="164" fontId="2" fillId="4" borderId="0" xfId="4" applyNumberFormat="1" applyFill="1"/>
    <xf numFmtId="164" fontId="2" fillId="5" borderId="0" xfId="4" applyNumberFormat="1" applyFill="1"/>
    <xf numFmtId="164" fontId="2" fillId="0" borderId="0" xfId="4" applyNumberFormat="1"/>
    <xf numFmtId="0" fontId="2" fillId="0" borderId="0" xfId="4" applyAlignment="1">
      <alignment horizontal="left" indent="1"/>
    </xf>
    <xf numFmtId="164" fontId="14" fillId="4" borderId="0" xfId="4" applyNumberFormat="1" applyFont="1" applyFill="1"/>
    <xf numFmtId="164" fontId="14" fillId="0" borderId="0" xfId="4" applyNumberFormat="1" applyFont="1"/>
    <xf numFmtId="0" fontId="2" fillId="0" borderId="0" xfId="4" applyAlignment="1">
      <alignment horizontal="right"/>
    </xf>
    <xf numFmtId="166" fontId="14" fillId="0" borderId="0" xfId="4" applyNumberFormat="1" applyFont="1"/>
    <xf numFmtId="166" fontId="2" fillId="0" borderId="0" xfId="4" applyNumberFormat="1"/>
    <xf numFmtId="164" fontId="2" fillId="5" borderId="0" xfId="4" applyNumberFormat="1" applyFill="1" applyAlignment="1">
      <alignment horizontal="right" indent="1"/>
    </xf>
    <xf numFmtId="164" fontId="2" fillId="2" borderId="2" xfId="4" applyNumberFormat="1" applyFill="1" applyBorder="1"/>
    <xf numFmtId="164" fontId="2" fillId="0" borderId="0" xfId="4" applyNumberFormat="1" applyAlignment="1">
      <alignment horizontal="right" indent="1"/>
    </xf>
    <xf numFmtId="0" fontId="3" fillId="0" borderId="0" xfId="4" applyFont="1"/>
    <xf numFmtId="164" fontId="16" fillId="0" borderId="0" xfId="4" quotePrefix="1" applyNumberFormat="1" applyFont="1" applyAlignment="1">
      <alignment horizontal="right" wrapText="1"/>
    </xf>
    <xf numFmtId="164" fontId="2" fillId="2" borderId="0" xfId="4" applyNumberFormat="1" applyFill="1" applyAlignment="1">
      <alignment horizontal="right"/>
    </xf>
    <xf numFmtId="164" fontId="14" fillId="2" borderId="0" xfId="4" applyNumberFormat="1" applyFont="1" applyFill="1"/>
    <xf numFmtId="0" fontId="18" fillId="0" borderId="0" xfId="4" applyFont="1"/>
    <xf numFmtId="0" fontId="2" fillId="0" borderId="0" xfId="4" applyAlignment="1">
      <alignment horizontal="left" indent="2"/>
    </xf>
    <xf numFmtId="0" fontId="6" fillId="0" borderId="0" xfId="4" applyFont="1" applyAlignment="1">
      <alignment horizontal="left"/>
    </xf>
    <xf numFmtId="0" fontId="2" fillId="0" borderId="0" xfId="4" applyAlignment="1">
      <alignment horizontal="left"/>
    </xf>
    <xf numFmtId="0" fontId="14" fillId="0" borderId="0" xfId="4" applyFont="1"/>
    <xf numFmtId="164" fontId="14" fillId="5" borderId="0" xfId="4" applyNumberFormat="1" applyFont="1" applyFill="1"/>
    <xf numFmtId="0" fontId="14" fillId="0" borderId="0" xfId="4" applyFont="1" applyAlignment="1">
      <alignment horizontal="left"/>
    </xf>
    <xf numFmtId="166" fontId="2" fillId="0" borderId="0" xfId="4" applyNumberFormat="1" applyAlignment="1">
      <alignment wrapText="1"/>
    </xf>
    <xf numFmtId="0" fontId="2" fillId="0" borderId="0" xfId="4" quotePrefix="1" applyAlignment="1">
      <alignment horizontal="center"/>
    </xf>
    <xf numFmtId="10" fontId="2" fillId="0" borderId="0" xfId="4" applyNumberFormat="1"/>
    <xf numFmtId="0" fontId="6" fillId="2" borderId="0" xfId="4" quotePrefix="1" applyFont="1" applyFill="1" applyAlignment="1">
      <alignment horizontal="center"/>
    </xf>
    <xf numFmtId="0" fontId="12" fillId="3" borderId="0" xfId="4" applyFont="1" applyFill="1"/>
    <xf numFmtId="0" fontId="13" fillId="3" borderId="0" xfId="4" applyFont="1" applyFill="1"/>
    <xf numFmtId="0" fontId="2" fillId="3" borderId="0" xfId="4" applyFill="1"/>
    <xf numFmtId="164" fontId="7" fillId="0" borderId="0" xfId="4" applyNumberFormat="1" applyFont="1"/>
    <xf numFmtId="0" fontId="15" fillId="0" borderId="0" xfId="4" applyFont="1"/>
    <xf numFmtId="3" fontId="2" fillId="0" borderId="0" xfId="4" applyNumberFormat="1"/>
    <xf numFmtId="10" fontId="16" fillId="0" borderId="0" xfId="4" applyNumberFormat="1" applyFont="1" applyAlignment="1">
      <alignment horizontal="left"/>
    </xf>
    <xf numFmtId="0" fontId="2" fillId="0" borderId="0" xfId="4" quotePrefix="1" applyAlignment="1">
      <alignment horizontal="left" indent="1"/>
    </xf>
    <xf numFmtId="167" fontId="2" fillId="0" borderId="0" xfId="4" applyNumberFormat="1"/>
    <xf numFmtId="0" fontId="2" fillId="0" borderId="0" xfId="4" quotePrefix="1"/>
    <xf numFmtId="0" fontId="17" fillId="0" borderId="0" xfId="4" applyFont="1" applyAlignment="1">
      <alignment horizontal="center"/>
    </xf>
    <xf numFmtId="0" fontId="2" fillId="0" borderId="0" xfId="4" applyAlignment="1">
      <alignment horizontal="left" vertical="center" indent="1"/>
    </xf>
    <xf numFmtId="164" fontId="38" fillId="2" borderId="0" xfId="4" applyNumberFormat="1" applyFont="1" applyFill="1"/>
    <xf numFmtId="0" fontId="12" fillId="8" borderId="0" xfId="4" applyFont="1" applyFill="1"/>
    <xf numFmtId="10" fontId="7" fillId="0" borderId="0" xfId="4" applyNumberFormat="1" applyFont="1"/>
    <xf numFmtId="0" fontId="6" fillId="0" borderId="0" xfId="4" applyFont="1" applyAlignment="1">
      <alignment horizontal="right"/>
    </xf>
    <xf numFmtId="0" fontId="2" fillId="2" borderId="0" xfId="4" applyFill="1" applyAlignment="1">
      <alignment horizontal="left" indent="1"/>
    </xf>
    <xf numFmtId="0" fontId="15" fillId="0" borderId="0" xfId="4" applyFont="1" applyAlignment="1">
      <alignment horizontal="left" indent="2"/>
    </xf>
    <xf numFmtId="164" fontId="2" fillId="0" borderId="0" xfId="4" applyNumberFormat="1" applyAlignment="1">
      <alignment horizontal="right"/>
    </xf>
    <xf numFmtId="0" fontId="42" fillId="0" borderId="0" xfId="4" applyFont="1"/>
    <xf numFmtId="174" fontId="6" fillId="2" borderId="0" xfId="5" applyNumberFormat="1" applyFont="1" applyFill="1" applyAlignment="1">
      <alignment horizontal="center"/>
    </xf>
    <xf numFmtId="17" fontId="2" fillId="0" borderId="0" xfId="4" quotePrefix="1" applyNumberFormat="1" applyAlignment="1">
      <alignment horizontal="center"/>
    </xf>
    <xf numFmtId="164" fontId="2" fillId="4" borderId="8" xfId="4" applyNumberFormat="1" applyFill="1" applyBorder="1"/>
    <xf numFmtId="164" fontId="2" fillId="4" borderId="9" xfId="4" applyNumberFormat="1" applyFill="1" applyBorder="1"/>
    <xf numFmtId="164" fontId="2" fillId="4" borderId="10" xfId="4" applyNumberFormat="1" applyFill="1" applyBorder="1"/>
    <xf numFmtId="164" fontId="2" fillId="4" borderId="2" xfId="4" applyNumberFormat="1" applyFill="1" applyBorder="1"/>
    <xf numFmtId="165" fontId="2" fillId="2" borderId="0" xfId="4" applyNumberFormat="1" applyFill="1" applyAlignment="1">
      <alignment horizontal="left"/>
    </xf>
    <xf numFmtId="0" fontId="2" fillId="2" borderId="0" xfId="4" quotePrefix="1" applyFill="1"/>
    <xf numFmtId="175" fontId="2" fillId="2" borderId="0" xfId="4" applyNumberFormat="1" applyFill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Alignment="1">
      <alignment horizontal="left"/>
    </xf>
    <xf numFmtId="175" fontId="2" fillId="2" borderId="0" xfId="4" quotePrefix="1" applyNumberFormat="1" applyFill="1" applyAlignment="1">
      <alignment horizontal="center"/>
    </xf>
    <xf numFmtId="10" fontId="44" fillId="2" borderId="0" xfId="17" quotePrefix="1" applyNumberFormat="1" applyFill="1" applyAlignment="1">
      <alignment horizontal="left"/>
    </xf>
    <xf numFmtId="0" fontId="45" fillId="2" borderId="0" xfId="4" applyFont="1" applyFill="1" applyAlignment="1">
      <alignment horizontal="center"/>
    </xf>
    <xf numFmtId="1" fontId="2" fillId="2" borderId="0" xfId="4" applyNumberFormat="1" applyFill="1" applyAlignment="1">
      <alignment horizontal="center"/>
    </xf>
    <xf numFmtId="0" fontId="42" fillId="2" borderId="0" xfId="4" applyFont="1" applyFill="1" applyAlignment="1">
      <alignment vertical="center"/>
    </xf>
    <xf numFmtId="14" fontId="2" fillId="0" borderId="0" xfId="4" applyNumberFormat="1"/>
    <xf numFmtId="166" fontId="2" fillId="5" borderId="0" xfId="4" applyNumberFormat="1" applyFill="1"/>
    <xf numFmtId="166" fontId="14" fillId="5" borderId="0" xfId="4" applyNumberFormat="1" applyFont="1" applyFill="1"/>
    <xf numFmtId="170" fontId="2" fillId="2" borderId="0" xfId="4" applyNumberFormat="1" applyFill="1"/>
    <xf numFmtId="10" fontId="2" fillId="2" borderId="0" xfId="17" quotePrefix="1" applyNumberFormat="1" applyFont="1" applyFill="1"/>
    <xf numFmtId="170" fontId="2" fillId="2" borderId="0" xfId="4" applyNumberFormat="1" applyFill="1" applyAlignment="1">
      <alignment horizontal="right"/>
    </xf>
    <xf numFmtId="10" fontId="2" fillId="2" borderId="0" xfId="17" quotePrefix="1" applyNumberFormat="1" applyFont="1" applyFill="1" applyAlignment="1">
      <alignment horizontal="left"/>
    </xf>
    <xf numFmtId="165" fontId="2" fillId="2" borderId="0" xfId="17" quotePrefix="1" applyNumberFormat="1" applyFont="1" applyFill="1" applyAlignment="1">
      <alignment horizontal="left"/>
    </xf>
    <xf numFmtId="0" fontId="2" fillId="2" borderId="0" xfId="17" applyFont="1" applyFill="1"/>
    <xf numFmtId="164" fontId="2" fillId="0" borderId="0" xfId="4" applyNumberFormat="1" applyFill="1"/>
    <xf numFmtId="0" fontId="6" fillId="0" borderId="0" xfId="18" applyFont="1"/>
    <xf numFmtId="0" fontId="46" fillId="0" borderId="0" xfId="18"/>
    <xf numFmtId="0" fontId="6" fillId="0" borderId="0" xfId="18" applyFont="1" applyAlignment="1">
      <alignment horizontal="left"/>
    </xf>
    <xf numFmtId="0" fontId="6" fillId="0" borderId="0" xfId="18" applyFont="1" applyAlignment="1">
      <alignment horizontal="center"/>
    </xf>
    <xf numFmtId="0" fontId="6" fillId="0" borderId="0" xfId="18" applyFont="1" applyAlignment="1">
      <alignment horizontal="left" indent="1"/>
    </xf>
    <xf numFmtId="0" fontId="3" fillId="0" borderId="0" xfId="18" applyFont="1" applyAlignment="1">
      <alignment horizontal="left"/>
    </xf>
    <xf numFmtId="0" fontId="46" fillId="0" borderId="0" xfId="18" applyAlignment="1">
      <alignment horizontal="left" indent="1"/>
    </xf>
    <xf numFmtId="0" fontId="3" fillId="0" borderId="0" xfId="18" applyFont="1"/>
    <xf numFmtId="0" fontId="3" fillId="0" borderId="0" xfId="18" applyFont="1" applyAlignment="1">
      <alignment horizontal="center"/>
    </xf>
    <xf numFmtId="0" fontId="2" fillId="0" borderId="0" xfId="18" applyFont="1" applyAlignment="1">
      <alignment horizontal="left"/>
    </xf>
    <xf numFmtId="164" fontId="46" fillId="0" borderId="0" xfId="18" applyNumberFormat="1"/>
    <xf numFmtId="0" fontId="2" fillId="0" borderId="0" xfId="18" applyFont="1"/>
    <xf numFmtId="0" fontId="14" fillId="0" borderId="0" xfId="18" applyFont="1"/>
    <xf numFmtId="0" fontId="2" fillId="0" borderId="0" xfId="18" applyFont="1" applyAlignment="1">
      <alignment horizontal="left" indent="1"/>
    </xf>
    <xf numFmtId="164" fontId="14" fillId="5" borderId="0" xfId="18" applyNumberFormat="1" applyFont="1" applyFill="1"/>
    <xf numFmtId="164" fontId="46" fillId="5" borderId="0" xfId="18" applyNumberFormat="1" applyFill="1"/>
    <xf numFmtId="0" fontId="14" fillId="0" borderId="0" xfId="18" applyFont="1" applyAlignment="1">
      <alignment horizontal="left"/>
    </xf>
    <xf numFmtId="164" fontId="14" fillId="0" borderId="0" xfId="18" applyNumberFormat="1" applyFont="1"/>
    <xf numFmtId="0" fontId="46" fillId="0" borderId="0" xfId="18" applyAlignment="1">
      <alignment horizontal="left"/>
    </xf>
    <xf numFmtId="166" fontId="2" fillId="5" borderId="0" xfId="18" applyNumberFormat="1" applyFont="1" applyFill="1"/>
    <xf numFmtId="166" fontId="46" fillId="0" borderId="0" xfId="18" applyNumberFormat="1"/>
    <xf numFmtId="164" fontId="2" fillId="5" borderId="0" xfId="18" applyNumberFormat="1" applyFont="1" applyFill="1"/>
    <xf numFmtId="164" fontId="2" fillId="0" borderId="0" xfId="18" applyNumberFormat="1" applyFont="1"/>
    <xf numFmtId="0" fontId="2" fillId="0" borderId="0" xfId="18" applyFont="1" applyAlignment="1">
      <alignment horizontal="right"/>
    </xf>
    <xf numFmtId="164" fontId="6" fillId="5" borderId="3" xfId="18" applyNumberFormat="1" applyFont="1" applyFill="1" applyBorder="1" applyAlignment="1">
      <alignment horizontal="center"/>
    </xf>
    <xf numFmtId="165" fontId="46" fillId="0" borderId="0" xfId="18" applyNumberFormat="1"/>
    <xf numFmtId="0" fontId="6" fillId="5" borderId="4" xfId="18" applyFont="1" applyFill="1" applyBorder="1" applyAlignment="1">
      <alignment horizontal="center"/>
    </xf>
    <xf numFmtId="0" fontId="46" fillId="0" borderId="0" xfId="18" applyAlignment="1">
      <alignment horizontal="right"/>
    </xf>
    <xf numFmtId="164" fontId="46" fillId="5" borderId="4" xfId="18" applyNumberFormat="1" applyFill="1" applyBorder="1"/>
    <xf numFmtId="164" fontId="14" fillId="5" borderId="4" xfId="18" applyNumberFormat="1" applyFont="1" applyFill="1" applyBorder="1"/>
    <xf numFmtId="166" fontId="2" fillId="0" borderId="0" xfId="18" applyNumberFormat="1" applyFont="1" applyAlignment="1">
      <alignment wrapText="1"/>
    </xf>
    <xf numFmtId="164" fontId="46" fillId="5" borderId="5" xfId="18" applyNumberFormat="1" applyFill="1" applyBorder="1"/>
    <xf numFmtId="166" fontId="14" fillId="0" borderId="0" xfId="18" applyNumberFormat="1" applyFont="1"/>
    <xf numFmtId="0" fontId="6" fillId="0" borderId="0" xfId="18" quotePrefix="1" applyFont="1" applyAlignment="1">
      <alignment horizontal="center"/>
    </xf>
    <xf numFmtId="10" fontId="7" fillId="2" borderId="0" xfId="18" applyNumberFormat="1" applyFont="1" applyFill="1"/>
    <xf numFmtId="169" fontId="2" fillId="2" borderId="0" xfId="18" quotePrefix="1" applyNumberFormat="1" applyFont="1" applyFill="1" applyAlignment="1">
      <alignment horizontal="center"/>
    </xf>
    <xf numFmtId="0" fontId="2" fillId="2" borderId="0" xfId="18" applyFont="1" applyFill="1"/>
    <xf numFmtId="10" fontId="2" fillId="0" borderId="0" xfId="18" quotePrefix="1" applyNumberFormat="1" applyFont="1" applyAlignment="1">
      <alignment horizontal="right"/>
    </xf>
    <xf numFmtId="0" fontId="2" fillId="0" borderId="0" xfId="18" quotePrefix="1" applyFont="1" applyAlignment="1">
      <alignment horizontal="center"/>
    </xf>
    <xf numFmtId="10" fontId="46" fillId="0" borderId="0" xfId="18" applyNumberFormat="1"/>
    <xf numFmtId="0" fontId="7" fillId="2" borderId="0" xfId="18" applyFont="1" applyFill="1"/>
    <xf numFmtId="0" fontId="46" fillId="2" borderId="0" xfId="18" applyFill="1"/>
    <xf numFmtId="166" fontId="2" fillId="0" borderId="0" xfId="18" applyNumberFormat="1" applyFont="1"/>
    <xf numFmtId="0" fontId="2" fillId="0" borderId="0" xfId="18" applyFont="1" applyAlignment="1">
      <alignment horizontal="center"/>
    </xf>
    <xf numFmtId="3" fontId="46" fillId="0" borderId="0" xfId="18" applyNumberFormat="1" applyAlignment="1">
      <alignment horizontal="center"/>
    </xf>
    <xf numFmtId="0" fontId="3" fillId="0" borderId="0" xfId="18" quotePrefix="1" applyFont="1" applyAlignment="1">
      <alignment horizontal="center"/>
    </xf>
    <xf numFmtId="170" fontId="46" fillId="0" borderId="0" xfId="18" applyNumberFormat="1"/>
    <xf numFmtId="170" fontId="2" fillId="0" borderId="0" xfId="18" applyNumberFormat="1" applyFont="1" applyAlignment="1">
      <alignment horizontal="left" indent="1"/>
    </xf>
    <xf numFmtId="166" fontId="21" fillId="0" borderId="0" xfId="18" applyNumberFormat="1" applyFont="1"/>
    <xf numFmtId="166" fontId="22" fillId="0" borderId="0" xfId="18" applyNumberFormat="1" applyFont="1"/>
    <xf numFmtId="0" fontId="46" fillId="0" borderId="0" xfId="18" applyAlignment="1">
      <alignment horizontal="center"/>
    </xf>
    <xf numFmtId="164" fontId="6" fillId="0" borderId="0" xfId="18" applyNumberFormat="1" applyFont="1" applyAlignment="1">
      <alignment horizontal="center"/>
    </xf>
    <xf numFmtId="164" fontId="3" fillId="0" borderId="0" xfId="18" applyNumberFormat="1" applyFont="1" applyAlignment="1">
      <alignment horizontal="center"/>
    </xf>
    <xf numFmtId="1" fontId="2" fillId="2" borderId="0" xfId="6" applyNumberFormat="1" applyFill="1" applyAlignment="1">
      <alignment horizontal="center"/>
    </xf>
    <xf numFmtId="164" fontId="2" fillId="2" borderId="0" xfId="18" applyNumberFormat="1" applyFont="1" applyFill="1" applyAlignment="1">
      <alignment horizontal="right"/>
    </xf>
    <xf numFmtId="164" fontId="46" fillId="2" borderId="0" xfId="18" applyNumberFormat="1" applyFill="1"/>
    <xf numFmtId="164" fontId="2" fillId="0" borderId="0" xfId="18" applyNumberFormat="1" applyFont="1" applyAlignment="1">
      <alignment horizontal="center"/>
    </xf>
    <xf numFmtId="164" fontId="14" fillId="2" borderId="0" xfId="18" applyNumberFormat="1" applyFont="1" applyFill="1" applyAlignment="1">
      <alignment horizontal="right"/>
    </xf>
    <xf numFmtId="164" fontId="14" fillId="2" borderId="0" xfId="18" applyNumberFormat="1" applyFont="1" applyFill="1"/>
    <xf numFmtId="1" fontId="2" fillId="0" borderId="0" xfId="6" quotePrefix="1" applyNumberFormat="1" applyAlignment="1">
      <alignment horizontal="right"/>
    </xf>
    <xf numFmtId="164" fontId="2" fillId="5" borderId="0" xfId="18" applyNumberFormat="1" applyFont="1" applyFill="1" applyAlignment="1">
      <alignment horizontal="right"/>
    </xf>
    <xf numFmtId="164" fontId="2" fillId="0" borderId="0" xfId="18" applyNumberFormat="1" applyFont="1" applyAlignment="1">
      <alignment horizontal="right"/>
    </xf>
    <xf numFmtId="164" fontId="2" fillId="2" borderId="0" xfId="18" applyNumberFormat="1" applyFont="1" applyFill="1" applyAlignment="1">
      <alignment horizontal="center"/>
    </xf>
    <xf numFmtId="164" fontId="6" fillId="2" borderId="0" xfId="18" applyNumberFormat="1" applyFont="1" applyFill="1" applyAlignment="1">
      <alignment horizontal="center"/>
    </xf>
    <xf numFmtId="164" fontId="3" fillId="2" borderId="0" xfId="18" applyNumberFormat="1" applyFont="1" applyFill="1" applyAlignment="1">
      <alignment horizontal="center"/>
    </xf>
    <xf numFmtId="164" fontId="46" fillId="2" borderId="3" xfId="18" applyNumberFormat="1" applyFill="1" applyBorder="1"/>
    <xf numFmtId="164" fontId="2" fillId="2" borderId="0" xfId="18" quotePrefix="1" applyNumberFormat="1" applyFont="1" applyFill="1" applyAlignment="1">
      <alignment horizontal="center"/>
    </xf>
    <xf numFmtId="164" fontId="46" fillId="2" borderId="4" xfId="18" applyNumberFormat="1" applyFill="1" applyBorder="1"/>
    <xf numFmtId="164" fontId="2" fillId="2" borderId="4" xfId="18" quotePrefix="1" applyNumberFormat="1" applyFont="1" applyFill="1" applyBorder="1" applyAlignment="1">
      <alignment horizontal="right"/>
    </xf>
    <xf numFmtId="164" fontId="2" fillId="2" borderId="4" xfId="18" applyNumberFormat="1" applyFont="1" applyFill="1" applyBorder="1" applyAlignment="1">
      <alignment horizontal="right"/>
    </xf>
    <xf numFmtId="164" fontId="14" fillId="2" borderId="5" xfId="18" quotePrefix="1" applyNumberFormat="1" applyFont="1" applyFill="1" applyBorder="1" applyAlignment="1">
      <alignment horizontal="right"/>
    </xf>
    <xf numFmtId="164" fontId="14" fillId="2" borderId="5" xfId="18" applyNumberFormat="1" applyFont="1" applyFill="1" applyBorder="1" applyAlignment="1">
      <alignment horizontal="right"/>
    </xf>
    <xf numFmtId="164" fontId="2" fillId="0" borderId="0" xfId="18" quotePrefix="1" applyNumberFormat="1" applyFont="1" applyAlignment="1">
      <alignment horizontal="center"/>
    </xf>
    <xf numFmtId="0" fontId="6" fillId="0" borderId="0" xfId="6" applyFont="1" applyAlignment="1">
      <alignment horizontal="left"/>
    </xf>
    <xf numFmtId="0" fontId="47" fillId="0" borderId="0" xfId="18" applyFont="1" applyAlignment="1">
      <alignment horizontal="center"/>
    </xf>
    <xf numFmtId="0" fontId="6" fillId="0" borderId="0" xfId="18" applyFont="1" applyAlignment="1">
      <alignment horizontal="center" wrapText="1"/>
    </xf>
    <xf numFmtId="164" fontId="26" fillId="0" borderId="0" xfId="19" applyNumberFormat="1" applyFont="1"/>
    <xf numFmtId="164" fontId="15" fillId="0" borderId="0" xfId="19" applyNumberFormat="1" applyFont="1"/>
    <xf numFmtId="164" fontId="6" fillId="0" borderId="0" xfId="18" applyNumberFormat="1" applyFont="1" applyAlignment="1">
      <alignment horizontal="right" indent="1"/>
    </xf>
    <xf numFmtId="164" fontId="6" fillId="0" borderId="0" xfId="18" applyNumberFormat="1" applyFont="1"/>
    <xf numFmtId="164" fontId="17" fillId="0" borderId="0" xfId="19" applyNumberFormat="1" applyFont="1"/>
    <xf numFmtId="0" fontId="6" fillId="0" borderId="0" xfId="18" applyFont="1" applyAlignment="1">
      <alignment horizontal="left" indent="2"/>
    </xf>
    <xf numFmtId="0" fontId="2" fillId="0" borderId="0" xfId="18" quotePrefix="1" applyFont="1" applyAlignment="1">
      <alignment horizontal="center" wrapText="1"/>
    </xf>
    <xf numFmtId="0" fontId="47" fillId="0" borderId="0" xfId="18" quotePrefix="1" applyFont="1" applyAlignment="1">
      <alignment horizontal="center"/>
    </xf>
    <xf numFmtId="166" fontId="46" fillId="5" borderId="0" xfId="18" applyNumberFormat="1" applyFill="1"/>
    <xf numFmtId="0" fontId="6" fillId="0" borderId="0" xfId="18" applyFont="1" applyAlignment="1">
      <alignment horizontal="right"/>
    </xf>
    <xf numFmtId="0" fontId="2" fillId="2" borderId="0" xfId="18" applyFont="1" applyFill="1" applyAlignment="1">
      <alignment horizontal="left" indent="1"/>
    </xf>
    <xf numFmtId="0" fontId="49" fillId="0" borderId="0" xfId="18" applyFont="1"/>
    <xf numFmtId="0" fontId="2" fillId="0" borderId="0" xfId="18" applyFont="1" applyAlignment="1">
      <alignment vertical="center" wrapText="1"/>
    </xf>
    <xf numFmtId="0" fontId="3" fillId="0" borderId="0" xfId="18" applyFont="1" applyAlignment="1">
      <alignment horizontal="center" vertical="center" wrapText="1"/>
    </xf>
    <xf numFmtId="0" fontId="6" fillId="0" borderId="0" xfId="18" applyFont="1" applyAlignment="1">
      <alignment horizontal="center" vertical="center" wrapText="1"/>
    </xf>
    <xf numFmtId="166" fontId="2" fillId="0" borderId="0" xfId="4" applyNumberFormat="1" applyAlignment="1">
      <alignment horizontal="center" wrapText="1"/>
    </xf>
    <xf numFmtId="164" fontId="2" fillId="2" borderId="4" xfId="18" applyNumberFormat="1" applyFont="1" applyFill="1" applyBorder="1"/>
    <xf numFmtId="164" fontId="46" fillId="0" borderId="0" xfId="18" applyNumberFormat="1" applyFill="1"/>
    <xf numFmtId="0" fontId="2" fillId="0" borderId="0" xfId="18" applyFont="1" applyFill="1"/>
    <xf numFmtId="0" fontId="46" fillId="0" borderId="0" xfId="18" applyFill="1"/>
    <xf numFmtId="164" fontId="14" fillId="0" borderId="0" xfId="18" applyNumberFormat="1" applyFont="1" applyFill="1"/>
    <xf numFmtId="166" fontId="14" fillId="0" borderId="0" xfId="18" applyNumberFormat="1" applyFont="1" applyFill="1"/>
    <xf numFmtId="0" fontId="1" fillId="0" borderId="13" xfId="0" applyFont="1" applyBorder="1" applyAlignment="1">
      <alignment horizontal="right"/>
    </xf>
    <xf numFmtId="0" fontId="33" fillId="6" borderId="13" xfId="10" applyFont="1" applyFill="1" applyBorder="1" applyAlignment="1">
      <alignment horizontal="center" vertical="center" wrapText="1"/>
    </xf>
    <xf numFmtId="0" fontId="11" fillId="0" borderId="14" xfId="10" applyFill="1" applyBorder="1" applyAlignment="1">
      <alignment horizontal="center" wrapText="1"/>
    </xf>
    <xf numFmtId="0" fontId="11" fillId="0" borderId="15" xfId="10" applyFill="1" applyBorder="1" applyAlignment="1">
      <alignment horizontal="center" wrapText="1"/>
    </xf>
    <xf numFmtId="0" fontId="11" fillId="0" borderId="16" xfId="10" applyFill="1" applyBorder="1" applyAlignment="1">
      <alignment horizontal="center" wrapText="1"/>
    </xf>
    <xf numFmtId="0" fontId="34" fillId="0" borderId="13" xfId="10" applyFont="1" applyFill="1" applyBorder="1" applyAlignment="1">
      <alignment wrapText="1"/>
    </xf>
    <xf numFmtId="0" fontId="11" fillId="0" borderId="13" xfId="10" applyBorder="1" applyAlignment="1">
      <alignment horizontal="left"/>
    </xf>
    <xf numFmtId="0" fontId="1" fillId="0" borderId="14" xfId="10" applyFont="1" applyBorder="1" applyAlignment="1">
      <alignment horizontal="right"/>
    </xf>
    <xf numFmtId="0" fontId="1" fillId="0" borderId="15" xfId="10" applyFont="1" applyBorder="1" applyAlignment="1">
      <alignment horizontal="right"/>
    </xf>
    <xf numFmtId="0" fontId="1" fillId="0" borderId="16" xfId="10" applyFont="1" applyBorder="1" applyAlignment="1">
      <alignment horizontal="right"/>
    </xf>
    <xf numFmtId="0" fontId="1" fillId="6" borderId="13" xfId="10" quotePrefix="1" applyFont="1" applyFill="1" applyBorder="1" applyAlignment="1">
      <alignment horizontal="center"/>
    </xf>
    <xf numFmtId="0" fontId="1" fillId="6" borderId="13" xfId="10" applyFont="1" applyFill="1" applyBorder="1" applyAlignment="1">
      <alignment horizontal="center"/>
    </xf>
    <xf numFmtId="0" fontId="42" fillId="2" borderId="0" xfId="4" applyFont="1" applyFill="1" applyAlignment="1">
      <alignment vertical="center"/>
    </xf>
    <xf numFmtId="0" fontId="2" fillId="2" borderId="0" xfId="18" applyFont="1" applyFill="1" applyAlignment="1">
      <alignment horizontal="center"/>
    </xf>
    <xf numFmtId="0" fontId="2" fillId="0" borderId="0" xfId="18" applyFont="1" applyAlignment="1">
      <alignment horizontal="left"/>
    </xf>
    <xf numFmtId="0" fontId="0" fillId="0" borderId="13" xfId="10" applyFont="1" applyFill="1" applyBorder="1" applyAlignment="1">
      <alignment wrapText="1"/>
    </xf>
    <xf numFmtId="0" fontId="11" fillId="0" borderId="13" xfId="10" applyFill="1" applyBorder="1" applyAlignment="1">
      <alignment wrapText="1"/>
    </xf>
    <xf numFmtId="0" fontId="1" fillId="7" borderId="13" xfId="10" applyFont="1" applyFill="1" applyBorder="1" applyAlignment="1">
      <alignment horizontal="right"/>
    </xf>
    <xf numFmtId="0" fontId="0" fillId="7" borderId="14" xfId="10" applyFont="1" applyFill="1" applyBorder="1" applyAlignment="1">
      <alignment horizontal="center" wrapText="1"/>
    </xf>
    <xf numFmtId="0" fontId="0" fillId="7" borderId="15" xfId="10" applyFont="1" applyFill="1" applyBorder="1" applyAlignment="1">
      <alignment horizontal="center" wrapText="1"/>
    </xf>
    <xf numFmtId="0" fontId="0" fillId="7" borderId="16" xfId="10" applyFont="1" applyFill="1" applyBorder="1" applyAlignment="1">
      <alignment horizontal="center" wrapText="1"/>
    </xf>
    <xf numFmtId="0" fontId="1" fillId="7" borderId="14" xfId="10" applyFont="1" applyFill="1" applyBorder="1" applyAlignment="1">
      <alignment horizontal="right"/>
    </xf>
    <xf numFmtId="0" fontId="1" fillId="7" borderId="15" xfId="10" applyFont="1" applyFill="1" applyBorder="1" applyAlignment="1">
      <alignment horizontal="right"/>
    </xf>
    <xf numFmtId="0" fontId="1" fillId="7" borderId="16" xfId="10" applyFont="1" applyFill="1" applyBorder="1" applyAlignment="1">
      <alignment horizontal="right"/>
    </xf>
    <xf numFmtId="0" fontId="11" fillId="7" borderId="13" xfId="10" applyFill="1" applyBorder="1" applyAlignment="1">
      <alignment horizontal="left"/>
    </xf>
    <xf numFmtId="0" fontId="0" fillId="0" borderId="13" xfId="0" applyBorder="1" applyAlignment="1">
      <alignment horizontal="center" wrapText="1"/>
    </xf>
    <xf numFmtId="0" fontId="33" fillId="7" borderId="13" xfId="10" applyFont="1" applyFill="1" applyBorder="1" applyAlignment="1">
      <alignment horizontal="center" vertical="center" wrapText="1"/>
    </xf>
    <xf numFmtId="0" fontId="1" fillId="7" borderId="13" xfId="10" quotePrefix="1" applyFont="1" applyFill="1" applyBorder="1" applyAlignment="1">
      <alignment horizontal="center"/>
    </xf>
    <xf numFmtId="0" fontId="1" fillId="7" borderId="13" xfId="10" applyFont="1" applyFill="1" applyBorder="1" applyAlignment="1">
      <alignment horizontal="center"/>
    </xf>
    <xf numFmtId="0" fontId="0" fillId="0" borderId="14" xfId="10" applyFont="1" applyFill="1" applyBorder="1" applyAlignment="1">
      <alignment horizontal="center" wrapText="1"/>
    </xf>
  </cellXfs>
  <cellStyles count="20">
    <cellStyle name="Comma 2" xfId="5" xr:uid="{4D6E5B40-F4EA-4B8C-9D21-F3E7D5C4A9A7}"/>
    <cellStyle name="Comma 2 2 2" xfId="8" xr:uid="{5E128944-5AC2-4FD8-8DBD-828D4096D6AD}"/>
    <cellStyle name="Comma 6 3 3" xfId="11" xr:uid="{DED83EC9-150B-4698-A592-697FD2DA8914}"/>
    <cellStyle name="Currency 2" xfId="7" xr:uid="{B2F3E153-AA9B-4C08-9D70-69978DF7A445}"/>
    <cellStyle name="Normal" xfId="0" builtinId="0"/>
    <cellStyle name="Normal 10" xfId="4" xr:uid="{169C322D-4E67-464E-BE78-54B2F214C850}"/>
    <cellStyle name="Normal 10 6" xfId="19" xr:uid="{76BE6E55-DFF9-40BB-9E30-65EFE10C9798}"/>
    <cellStyle name="Normal 16" xfId="17" xr:uid="{0CE98934-5FC5-40D3-9124-538411678586}"/>
    <cellStyle name="Normal 17 3 3" xfId="10" xr:uid="{41594DEF-69B0-42D5-BFBF-E72DAAFDC25F}"/>
    <cellStyle name="Normal 2" xfId="1" xr:uid="{00000000-0005-0000-0000-000001000000}"/>
    <cellStyle name="Normal 2 2 2" xfId="6" xr:uid="{9A4C741B-D2B1-430C-9293-ECA796DCAE21}"/>
    <cellStyle name="Normal 3" xfId="12" xr:uid="{E5254FFA-CD91-4240-A59F-124B2DF8213B}"/>
    <cellStyle name="Normal 4" xfId="13" xr:uid="{F2C3B585-280E-47F5-8C0B-FFA86E69AC7A}"/>
    <cellStyle name="Normal 5" xfId="14" xr:uid="{7F14B779-10B9-4704-8148-F17250B77222}"/>
    <cellStyle name="Normal 6" xfId="15" xr:uid="{73AB49EB-1511-4604-8EBC-2153C59730CE}"/>
    <cellStyle name="Normal 7" xfId="3" xr:uid="{D8A5E044-BC98-447E-B87C-9237E5934846}"/>
    <cellStyle name="Normal 8" xfId="16" xr:uid="{3BD7BEFA-FE1A-4130-8761-F45A749F2DD0}"/>
    <cellStyle name="Normal 9" xfId="18" xr:uid="{F962F6C9-EC8C-4DFE-9CB8-62DBED3804B2}"/>
    <cellStyle name="Percent" xfId="2" builtinId="5"/>
    <cellStyle name="Percent 2" xfId="9" xr:uid="{609A5F89-DDA9-48CE-A0B7-E845EFD788AB}"/>
  </cellStyles>
  <dxfs count="9"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colors>
    <mruColors>
      <color rgb="FFCCFFCC"/>
      <color rgb="FFCCECFF"/>
      <color rgb="FFFFCC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7"/>
  <sheetViews>
    <sheetView tabSelected="1" zoomScaleNormal="100" workbookViewId="0"/>
  </sheetViews>
  <sheetFormatPr defaultRowHeight="14.5" x14ac:dyDescent="0.35"/>
  <cols>
    <col min="1" max="1" width="4.81640625" customWidth="1"/>
    <col min="2" max="2" width="6.7265625" customWidth="1"/>
    <col min="3" max="3" width="10.7265625" customWidth="1"/>
    <col min="4" max="4" width="6.7265625" customWidth="1"/>
    <col min="5" max="5" width="5.7265625" customWidth="1"/>
    <col min="6" max="6" width="15.7265625" customWidth="1"/>
    <col min="7" max="7" width="4.7265625" customWidth="1"/>
  </cols>
  <sheetData>
    <row r="1" spans="1:12" x14ac:dyDescent="0.3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35">
      <c r="A2" s="22"/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35">
      <c r="A3" s="22"/>
      <c r="B3" s="22" t="s">
        <v>2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35">
      <c r="A4" s="22"/>
      <c r="B4" s="22" t="s">
        <v>3</v>
      </c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35">
      <c r="A5" s="22"/>
      <c r="B5" s="22" t="s">
        <v>4</v>
      </c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3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35">
      <c r="A7" s="22"/>
      <c r="B7" s="21" t="s">
        <v>5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x14ac:dyDescent="0.35">
      <c r="A8" s="22"/>
      <c r="B8" s="135" t="s">
        <v>6</v>
      </c>
      <c r="C8" s="22"/>
      <c r="D8" s="22"/>
      <c r="E8" s="22"/>
      <c r="F8" s="28">
        <f>F23</f>
        <v>-234044756.22835258</v>
      </c>
      <c r="G8" s="22"/>
      <c r="H8" s="22" t="s">
        <v>7</v>
      </c>
      <c r="I8" s="22"/>
      <c r="J8" s="22"/>
      <c r="K8" s="22"/>
      <c r="L8" s="22"/>
    </row>
    <row r="9" spans="1:12" x14ac:dyDescent="0.35">
      <c r="A9" s="22"/>
      <c r="B9" s="135"/>
      <c r="C9" s="22"/>
      <c r="D9" s="22"/>
      <c r="E9" s="22"/>
      <c r="F9" s="28"/>
      <c r="G9" s="22"/>
      <c r="H9" s="22"/>
      <c r="I9" s="22"/>
      <c r="J9" s="22"/>
      <c r="K9" s="22"/>
      <c r="L9" s="22"/>
    </row>
    <row r="10" spans="1:12" x14ac:dyDescent="0.35">
      <c r="A10" s="22"/>
      <c r="B10" s="136" t="s">
        <v>8</v>
      </c>
      <c r="C10" s="22"/>
      <c r="D10" s="22"/>
      <c r="E10" s="22"/>
      <c r="F10" s="28"/>
      <c r="G10" s="22"/>
      <c r="H10" s="22"/>
      <c r="I10" s="22"/>
      <c r="J10" s="22"/>
      <c r="K10" s="22"/>
      <c r="L10" s="22"/>
    </row>
    <row r="11" spans="1:12" x14ac:dyDescent="0.35">
      <c r="A11" s="22"/>
      <c r="B11" s="22" t="s">
        <v>9</v>
      </c>
      <c r="C11" s="22"/>
      <c r="D11" s="22"/>
      <c r="E11" s="22"/>
      <c r="F11" s="29">
        <f>'One Time Adjust for TUTRR-Rev'!L30</f>
        <v>-12443620.434009714</v>
      </c>
      <c r="G11" s="22"/>
      <c r="H11" s="22" t="s">
        <v>10</v>
      </c>
      <c r="I11" s="22"/>
      <c r="J11" s="22"/>
      <c r="K11" s="22"/>
      <c r="L11" s="22"/>
    </row>
    <row r="12" spans="1:12" x14ac:dyDescent="0.35">
      <c r="A12" s="22"/>
      <c r="B12" s="22"/>
      <c r="C12" s="22"/>
      <c r="D12" s="22"/>
      <c r="E12" s="30"/>
      <c r="F12" s="22"/>
      <c r="G12" s="22"/>
      <c r="H12" s="22"/>
      <c r="I12" s="22"/>
      <c r="J12" s="22"/>
      <c r="K12" s="22"/>
      <c r="L12" s="22"/>
    </row>
    <row r="13" spans="1:12" x14ac:dyDescent="0.35">
      <c r="A13" s="22"/>
      <c r="B13" s="136" t="s">
        <v>11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x14ac:dyDescent="0.35">
      <c r="A15" s="22"/>
      <c r="B15" s="22"/>
      <c r="C15" s="22"/>
      <c r="D15" s="31" t="s">
        <v>12</v>
      </c>
      <c r="E15" s="22"/>
      <c r="F15" s="31" t="s">
        <v>13</v>
      </c>
      <c r="G15" s="22"/>
      <c r="H15" s="22"/>
      <c r="I15" s="22"/>
      <c r="J15" s="22"/>
      <c r="K15" s="22"/>
      <c r="L15" s="22"/>
    </row>
    <row r="16" spans="1:12" x14ac:dyDescent="0.35">
      <c r="A16" s="22"/>
      <c r="B16" s="22"/>
      <c r="C16" s="22"/>
      <c r="D16" s="22"/>
      <c r="E16" s="22"/>
      <c r="F16" s="32" t="s">
        <v>14</v>
      </c>
      <c r="G16" s="22"/>
      <c r="H16" s="22"/>
      <c r="I16" s="22"/>
      <c r="J16" s="22"/>
      <c r="K16" s="22"/>
      <c r="L16" s="22"/>
    </row>
    <row r="17" spans="1:12" x14ac:dyDescent="0.35">
      <c r="A17" s="22"/>
      <c r="B17" s="22"/>
      <c r="C17" s="22"/>
      <c r="D17" s="22"/>
      <c r="E17" s="22"/>
      <c r="F17" s="33" t="s">
        <v>15</v>
      </c>
      <c r="G17" s="22"/>
      <c r="H17" s="22"/>
      <c r="I17" s="22"/>
      <c r="J17" s="22"/>
      <c r="K17" s="22"/>
      <c r="L17" s="22"/>
    </row>
    <row r="18" spans="1:12" x14ac:dyDescent="0.35">
      <c r="A18" s="22"/>
      <c r="B18" s="22"/>
      <c r="C18" s="22"/>
      <c r="D18" s="22"/>
      <c r="E18" s="22"/>
      <c r="F18" s="34" t="s">
        <v>16</v>
      </c>
      <c r="G18" s="22"/>
      <c r="H18" s="22"/>
      <c r="I18" s="22"/>
      <c r="J18" s="22"/>
      <c r="K18" s="22"/>
      <c r="L18" s="22"/>
    </row>
    <row r="19" spans="1:12" x14ac:dyDescent="0.35">
      <c r="A19" s="22"/>
      <c r="B19" s="22"/>
      <c r="C19" s="22"/>
      <c r="D19" s="22"/>
      <c r="E19" s="22"/>
      <c r="F19" s="35" t="s">
        <v>17</v>
      </c>
      <c r="G19" s="22"/>
      <c r="H19" s="22"/>
      <c r="I19" s="22"/>
      <c r="J19" s="22"/>
      <c r="K19" s="22"/>
      <c r="L19" s="22"/>
    </row>
    <row r="20" spans="1:12" x14ac:dyDescent="0.35">
      <c r="A20" s="22"/>
      <c r="B20" s="22"/>
      <c r="C20" s="22"/>
      <c r="D20" s="22"/>
      <c r="E20" s="36" t="s">
        <v>18</v>
      </c>
      <c r="F20" s="35" t="s">
        <v>19</v>
      </c>
      <c r="G20" s="22"/>
      <c r="H20" s="22"/>
      <c r="I20" s="22"/>
      <c r="J20" s="22"/>
      <c r="K20" s="22"/>
      <c r="L20" s="22"/>
    </row>
    <row r="21" spans="1:12" x14ac:dyDescent="0.35">
      <c r="A21" s="22"/>
      <c r="B21" s="22"/>
      <c r="C21" s="22"/>
      <c r="D21" s="22"/>
      <c r="E21" s="37" t="s">
        <v>20</v>
      </c>
      <c r="F21" s="35" t="s">
        <v>21</v>
      </c>
      <c r="G21" s="22"/>
      <c r="H21" s="22"/>
      <c r="I21" s="22"/>
      <c r="J21" s="22"/>
      <c r="K21" s="22"/>
      <c r="L21" s="22"/>
    </row>
    <row r="22" spans="1:12" x14ac:dyDescent="0.35">
      <c r="A22" s="22"/>
      <c r="B22" s="38" t="s">
        <v>22</v>
      </c>
      <c r="C22" s="25" t="s">
        <v>23</v>
      </c>
      <c r="D22" s="25" t="s">
        <v>24</v>
      </c>
      <c r="E22" s="37" t="s">
        <v>25</v>
      </c>
      <c r="F22" s="16" t="s">
        <v>26</v>
      </c>
      <c r="G22" s="22"/>
      <c r="H22" s="22"/>
      <c r="I22" s="22"/>
      <c r="J22" s="22"/>
      <c r="K22" s="22"/>
      <c r="L22" s="22"/>
    </row>
    <row r="23" spans="1:12" x14ac:dyDescent="0.35">
      <c r="B23" s="13">
        <v>11</v>
      </c>
      <c r="C23" s="2" t="s">
        <v>27</v>
      </c>
      <c r="D23" s="26">
        <v>2018</v>
      </c>
      <c r="E23" s="27" t="s">
        <v>28</v>
      </c>
      <c r="F23" s="8">
        <v>-234044756.22835258</v>
      </c>
      <c r="G23" s="19" t="s">
        <v>29</v>
      </c>
    </row>
    <row r="24" spans="1:12" x14ac:dyDescent="0.35">
      <c r="B24" s="13">
        <f t="shared" ref="B24:B35" si="0">B23+1</f>
        <v>12</v>
      </c>
      <c r="C24" s="2" t="s">
        <v>30</v>
      </c>
      <c r="D24" s="26">
        <v>2019</v>
      </c>
      <c r="E24" s="27" t="s">
        <v>28</v>
      </c>
      <c r="F24" s="11"/>
      <c r="H24" t="s">
        <v>31</v>
      </c>
    </row>
    <row r="25" spans="1:12" x14ac:dyDescent="0.35">
      <c r="B25" s="13">
        <f t="shared" si="0"/>
        <v>13</v>
      </c>
      <c r="C25" s="3" t="s">
        <v>32</v>
      </c>
      <c r="D25" s="26">
        <v>2019</v>
      </c>
      <c r="E25" s="27" t="s">
        <v>28</v>
      </c>
      <c r="F25" s="11"/>
      <c r="H25" t="s">
        <v>33</v>
      </c>
    </row>
    <row r="26" spans="1:12" x14ac:dyDescent="0.35">
      <c r="B26" s="13">
        <f t="shared" si="0"/>
        <v>14</v>
      </c>
      <c r="C26" s="3" t="s">
        <v>34</v>
      </c>
      <c r="D26" s="26">
        <v>2019</v>
      </c>
      <c r="E26" s="27" t="s">
        <v>28</v>
      </c>
      <c r="F26" s="11"/>
      <c r="H26" t="s">
        <v>35</v>
      </c>
    </row>
    <row r="27" spans="1:12" x14ac:dyDescent="0.35">
      <c r="B27" s="13">
        <f t="shared" si="0"/>
        <v>15</v>
      </c>
      <c r="C27" s="2" t="s">
        <v>36</v>
      </c>
      <c r="D27" s="26">
        <v>2019</v>
      </c>
      <c r="E27" s="27" t="s">
        <v>28</v>
      </c>
      <c r="F27" s="11"/>
    </row>
    <row r="28" spans="1:12" x14ac:dyDescent="0.35">
      <c r="B28" s="13">
        <f t="shared" si="0"/>
        <v>16</v>
      </c>
      <c r="C28" s="3" t="s">
        <v>37</v>
      </c>
      <c r="D28" s="26">
        <v>2019</v>
      </c>
      <c r="E28" s="27" t="s">
        <v>28</v>
      </c>
      <c r="F28" s="11"/>
    </row>
    <row r="29" spans="1:12" x14ac:dyDescent="0.35">
      <c r="B29" s="13">
        <f t="shared" si="0"/>
        <v>17</v>
      </c>
      <c r="C29" s="3" t="s">
        <v>38</v>
      </c>
      <c r="D29" s="26">
        <v>2019</v>
      </c>
      <c r="E29" s="27" t="s">
        <v>28</v>
      </c>
      <c r="F29" s="11"/>
    </row>
    <row r="30" spans="1:12" x14ac:dyDescent="0.35">
      <c r="B30" s="13">
        <f t="shared" si="0"/>
        <v>18</v>
      </c>
      <c r="C30" s="2" t="s">
        <v>39</v>
      </c>
      <c r="D30" s="26">
        <v>2019</v>
      </c>
      <c r="E30" s="27" t="s">
        <v>28</v>
      </c>
      <c r="F30" s="11"/>
    </row>
    <row r="31" spans="1:12" x14ac:dyDescent="0.35">
      <c r="B31" s="13">
        <f t="shared" si="0"/>
        <v>19</v>
      </c>
      <c r="C31" s="3" t="s">
        <v>40</v>
      </c>
      <c r="D31" s="26">
        <v>2019</v>
      </c>
      <c r="E31" s="27" t="s">
        <v>28</v>
      </c>
      <c r="F31" s="11"/>
    </row>
    <row r="32" spans="1:12" x14ac:dyDescent="0.35">
      <c r="B32" s="13">
        <f t="shared" si="0"/>
        <v>20</v>
      </c>
      <c r="C32" s="3" t="s">
        <v>41</v>
      </c>
      <c r="D32" s="26">
        <v>2019</v>
      </c>
      <c r="E32" s="27" t="s">
        <v>28</v>
      </c>
      <c r="F32" s="11"/>
    </row>
    <row r="33" spans="2:7" x14ac:dyDescent="0.35">
      <c r="B33" s="13">
        <f t="shared" si="0"/>
        <v>21</v>
      </c>
      <c r="C33" s="2" t="s">
        <v>42</v>
      </c>
      <c r="D33" s="26">
        <v>2019</v>
      </c>
      <c r="E33" s="27" t="s">
        <v>28</v>
      </c>
      <c r="F33" s="11"/>
    </row>
    <row r="34" spans="2:7" x14ac:dyDescent="0.35">
      <c r="B34" s="13">
        <f t="shared" si="0"/>
        <v>22</v>
      </c>
      <c r="C34" s="2" t="s">
        <v>43</v>
      </c>
      <c r="D34" s="26">
        <v>2019</v>
      </c>
      <c r="E34" s="27" t="s">
        <v>28</v>
      </c>
      <c r="F34" s="11"/>
    </row>
    <row r="35" spans="2:7" x14ac:dyDescent="0.35">
      <c r="B35" s="13">
        <f t="shared" si="0"/>
        <v>23</v>
      </c>
      <c r="C35" s="3" t="s">
        <v>27</v>
      </c>
      <c r="D35" s="26">
        <v>2019</v>
      </c>
      <c r="E35" s="27" t="s">
        <v>28</v>
      </c>
      <c r="F35" s="8">
        <f>F11+'2019 Wildfire Adj-Rev'!G8+'2019 EDIT Amortization Adj'!G12</f>
        <v>5882846.7442419995</v>
      </c>
      <c r="G35" s="19" t="s">
        <v>44</v>
      </c>
    </row>
    <row r="36" spans="2:7" x14ac:dyDescent="0.35">
      <c r="G36" s="126" t="s">
        <v>45</v>
      </c>
    </row>
    <row r="37" spans="2:7" x14ac:dyDescent="0.35">
      <c r="G37" s="126" t="s">
        <v>46</v>
      </c>
    </row>
  </sheetData>
  <pageMargins left="0.7" right="0.7" top="0.75" bottom="0.75" header="0.3" footer="0.3"/>
  <pageSetup scale="77" orientation="portrait" r:id="rId1"/>
  <headerFooter>
    <oddHeader xml:space="preserve">&amp;R&amp;"Arial,Regular"&amp;10&amp;K000000TO2021 Annual Update
Attachment 4
WP-Schedule 3-One Time Adjustment Transition
Page &amp;P of &amp;N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AB85D-909C-40FA-B6C4-826B3DC18211}">
  <sheetPr codeName="Sheet10">
    <tabColor rgb="FFCCFFCC"/>
  </sheetPr>
  <dimension ref="B3:L16"/>
  <sheetViews>
    <sheetView zoomScaleNormal="100" workbookViewId="0">
      <selection activeCell="B1" sqref="B1"/>
    </sheetView>
  </sheetViews>
  <sheetFormatPr defaultRowHeight="14.5" x14ac:dyDescent="0.35"/>
  <cols>
    <col min="1" max="1" width="2.1796875" customWidth="1"/>
    <col min="3" max="3" width="11.54296875" customWidth="1"/>
    <col min="4" max="4" width="13.1796875" customWidth="1"/>
    <col min="5" max="5" width="15.81640625" customWidth="1"/>
    <col min="6" max="6" width="10.453125" customWidth="1"/>
    <col min="7" max="7" width="15.54296875" customWidth="1"/>
    <col min="8" max="8" width="16.54296875" customWidth="1"/>
    <col min="9" max="9" width="15.81640625" customWidth="1"/>
    <col min="10" max="10" width="16.1796875" customWidth="1"/>
    <col min="12" max="12" width="8.7265625" customWidth="1"/>
  </cols>
  <sheetData>
    <row r="3" spans="2:12" x14ac:dyDescent="0.35">
      <c r="B3" s="442" t="s">
        <v>650</v>
      </c>
      <c r="C3" s="442"/>
      <c r="D3" s="442"/>
      <c r="E3" s="442"/>
      <c r="F3" s="442"/>
      <c r="G3" s="442"/>
      <c r="H3" s="442"/>
      <c r="I3" s="442"/>
      <c r="J3" s="442"/>
    </row>
    <row r="4" spans="2:12" x14ac:dyDescent="0.35">
      <c r="B4" s="442"/>
      <c r="C4" s="442"/>
      <c r="D4" s="442"/>
      <c r="E4" s="442"/>
      <c r="F4" s="442"/>
      <c r="G4" s="442"/>
      <c r="H4" s="442"/>
      <c r="I4" s="442"/>
      <c r="J4" s="442"/>
    </row>
    <row r="5" spans="2:12" ht="29" x14ac:dyDescent="0.35">
      <c r="B5" s="443" t="s">
        <v>95</v>
      </c>
      <c r="C5" s="443"/>
      <c r="D5" s="443"/>
      <c r="E5" s="158" t="s">
        <v>96</v>
      </c>
      <c r="F5" s="151" t="s">
        <v>97</v>
      </c>
      <c r="G5" s="151" t="s">
        <v>91</v>
      </c>
      <c r="H5" s="444" t="s">
        <v>98</v>
      </c>
      <c r="I5" s="444"/>
      <c r="J5" s="444"/>
    </row>
    <row r="6" spans="2:12" ht="48" customHeight="1" x14ac:dyDescent="0.35">
      <c r="B6" s="418" t="s">
        <v>920</v>
      </c>
      <c r="C6" s="419"/>
      <c r="D6" s="420"/>
      <c r="E6" s="138">
        <f>'TO2018EDIT Sch4-TUTRR-Rev'!E73</f>
        <v>1049224756.6136806</v>
      </c>
      <c r="F6" s="139">
        <f>315/365</f>
        <v>0.86301369863013699</v>
      </c>
      <c r="G6" s="140">
        <f>E6*F6</f>
        <v>905495337.89947784</v>
      </c>
      <c r="H6" s="421" t="s">
        <v>926</v>
      </c>
      <c r="I6" s="421"/>
      <c r="J6" s="421"/>
      <c r="L6" s="155"/>
    </row>
    <row r="7" spans="2:12" ht="46.5" customHeight="1" x14ac:dyDescent="0.35">
      <c r="B7" s="445" t="s">
        <v>919</v>
      </c>
      <c r="C7" s="419"/>
      <c r="D7" s="420"/>
      <c r="E7" s="142">
        <f>'TO2018 WF-Sch4-TUTRR-Rev'!E73</f>
        <v>1029975576.9781398</v>
      </c>
      <c r="F7" s="139">
        <f>315/365</f>
        <v>0.86301369863013699</v>
      </c>
      <c r="G7" s="140">
        <f>E7*F7</f>
        <v>888883032.1866138</v>
      </c>
      <c r="H7" s="421" t="s">
        <v>924</v>
      </c>
      <c r="I7" s="421"/>
      <c r="J7" s="421"/>
      <c r="L7" s="155"/>
    </row>
    <row r="8" spans="2:12" ht="33.65" customHeight="1" x14ac:dyDescent="0.35">
      <c r="B8" s="437" t="s">
        <v>651</v>
      </c>
      <c r="C8" s="438"/>
      <c r="D8" s="438"/>
      <c r="E8" s="438"/>
      <c r="F8" s="439"/>
      <c r="G8" s="153">
        <f>G6-G7</f>
        <v>16612305.712864041</v>
      </c>
      <c r="H8" s="434"/>
      <c r="I8" s="435"/>
      <c r="J8" s="436"/>
      <c r="L8" s="155"/>
    </row>
    <row r="9" spans="2:12" ht="42" customHeight="1" x14ac:dyDescent="0.35">
      <c r="B9" s="441" t="s">
        <v>921</v>
      </c>
      <c r="C9" s="441"/>
      <c r="D9" s="441"/>
      <c r="E9" s="138">
        <f>'TO2021EDIT Sch4-TUTRR-Rev'!E73</f>
        <v>1064326186.2616522</v>
      </c>
      <c r="F9" s="139">
        <f>50/365</f>
        <v>0.13698630136986301</v>
      </c>
      <c r="G9" s="140">
        <f>E9*F9</f>
        <v>145798107.70707563</v>
      </c>
      <c r="H9" s="421" t="s">
        <v>927</v>
      </c>
      <c r="I9" s="421"/>
      <c r="J9" s="421"/>
      <c r="L9" s="155"/>
    </row>
    <row r="10" spans="2:12" ht="33.65" customHeight="1" x14ac:dyDescent="0.35">
      <c r="B10" s="441" t="s">
        <v>922</v>
      </c>
      <c r="C10" s="441"/>
      <c r="D10" s="441"/>
      <c r="E10" s="141">
        <f>'TO2021EDIT Sch4-TUTRR-Rev'!J71</f>
        <v>1045077006.6261117</v>
      </c>
      <c r="F10" s="139">
        <f>50/365</f>
        <v>0.13698630136986301</v>
      </c>
      <c r="G10" s="140">
        <f>E10*F10</f>
        <v>143161233.78439885</v>
      </c>
      <c r="H10" s="431" t="s">
        <v>928</v>
      </c>
      <c r="I10" s="432"/>
      <c r="J10" s="432"/>
      <c r="L10" s="155"/>
    </row>
    <row r="11" spans="2:12" ht="33.65" customHeight="1" x14ac:dyDescent="0.35">
      <c r="B11" s="433" t="s">
        <v>652</v>
      </c>
      <c r="C11" s="433"/>
      <c r="D11" s="433"/>
      <c r="E11" s="433"/>
      <c r="F11" s="433"/>
      <c r="G11" s="154">
        <f>G9-G10</f>
        <v>2636873.9226767719</v>
      </c>
      <c r="H11" s="434"/>
      <c r="I11" s="435"/>
      <c r="J11" s="436"/>
    </row>
    <row r="12" spans="2:12" x14ac:dyDescent="0.35">
      <c r="B12" s="437" t="s">
        <v>653</v>
      </c>
      <c r="C12" s="438"/>
      <c r="D12" s="438"/>
      <c r="E12" s="438"/>
      <c r="F12" s="439"/>
      <c r="G12" s="152">
        <f>G8+G11</f>
        <v>19249179.635540813</v>
      </c>
      <c r="H12" s="440"/>
      <c r="I12" s="440"/>
      <c r="J12" s="440"/>
    </row>
    <row r="14" spans="2:12" x14ac:dyDescent="0.35">
      <c r="E14" s="7"/>
    </row>
    <row r="15" spans="2:12" x14ac:dyDescent="0.35">
      <c r="E15" s="7"/>
    </row>
    <row r="16" spans="2:12" x14ac:dyDescent="0.35">
      <c r="E16" s="7"/>
    </row>
  </sheetData>
  <mergeCells count="17">
    <mergeCell ref="B7:D7"/>
    <mergeCell ref="H7:J7"/>
    <mergeCell ref="B8:F8"/>
    <mergeCell ref="H8:J8"/>
    <mergeCell ref="B9:D9"/>
    <mergeCell ref="H9:J9"/>
    <mergeCell ref="B3:J4"/>
    <mergeCell ref="B5:D5"/>
    <mergeCell ref="H5:J5"/>
    <mergeCell ref="B6:D6"/>
    <mergeCell ref="H6:J6"/>
    <mergeCell ref="H10:J10"/>
    <mergeCell ref="B11:F11"/>
    <mergeCell ref="H11:J11"/>
    <mergeCell ref="B12:F12"/>
    <mergeCell ref="H12:J12"/>
    <mergeCell ref="B10:D10"/>
  </mergeCells>
  <phoneticPr fontId="37" type="noConversion"/>
  <pageMargins left="0.7" right="0.7" top="0.75" bottom="0.75" header="0.3" footer="0.3"/>
  <pageSetup scale="71" orientation="portrait" r:id="rId1"/>
  <headerFooter>
    <oddHeader xml:space="preserve">&amp;RTO2021 Annual Update
Attachment 4
WP-Schedule 3-One Time Adjustment Transition
Page &amp;P of &amp;N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A8F8C-06CD-434A-9D9D-B0DB52C395B2}">
  <sheetPr codeName="Sheet11">
    <tabColor rgb="FFCCFFCC"/>
  </sheetPr>
  <dimension ref="A1:N172"/>
  <sheetViews>
    <sheetView zoomScaleNormal="100" zoomScalePageLayoutView="80" workbookViewId="0"/>
  </sheetViews>
  <sheetFormatPr defaultRowHeight="12.5" x14ac:dyDescent="0.25"/>
  <cols>
    <col min="1" max="2" width="4.54296875" style="319" customWidth="1"/>
    <col min="3" max="3" width="18.54296875" style="319" customWidth="1"/>
    <col min="4" max="4" width="10.453125" style="319" bestFit="1" customWidth="1"/>
    <col min="5" max="7" width="15.54296875" style="319" customWidth="1"/>
    <col min="8" max="8" width="24.54296875" style="319" customWidth="1"/>
    <col min="9" max="9" width="4.54296875" style="319" customWidth="1"/>
    <col min="10" max="10" width="15.54296875" style="319" customWidth="1"/>
    <col min="11" max="11" width="2.54296875" style="319" customWidth="1"/>
    <col min="12" max="12" width="23.26953125" style="319" customWidth="1"/>
    <col min="13" max="13" width="4.453125" style="319" customWidth="1"/>
    <col min="14" max="14" width="15.453125" style="319" customWidth="1"/>
    <col min="15" max="16384" width="8.7265625" style="319"/>
  </cols>
  <sheetData>
    <row r="1" spans="1:14" ht="13" x14ac:dyDescent="0.3">
      <c r="A1" s="318" t="s">
        <v>100</v>
      </c>
    </row>
    <row r="3" spans="1:14" ht="13" x14ac:dyDescent="0.3">
      <c r="B3" s="320" t="s">
        <v>101</v>
      </c>
      <c r="L3" s="321"/>
    </row>
    <row r="4" spans="1:14" ht="13" x14ac:dyDescent="0.3">
      <c r="B4" s="322"/>
      <c r="F4" s="321" t="s">
        <v>102</v>
      </c>
      <c r="G4" s="321"/>
      <c r="H4" s="321" t="s">
        <v>103</v>
      </c>
      <c r="L4" s="321"/>
      <c r="N4" s="321"/>
    </row>
    <row r="5" spans="1:14" ht="13" x14ac:dyDescent="0.3">
      <c r="A5" s="323" t="s">
        <v>104</v>
      </c>
      <c r="B5" s="324"/>
      <c r="C5" s="325" t="s">
        <v>105</v>
      </c>
      <c r="F5" s="326" t="s">
        <v>106</v>
      </c>
      <c r="G5" s="326" t="s">
        <v>107</v>
      </c>
      <c r="H5" s="326" t="s">
        <v>108</v>
      </c>
      <c r="J5" s="326" t="s">
        <v>96</v>
      </c>
      <c r="L5" s="326"/>
      <c r="N5" s="326"/>
    </row>
    <row r="6" spans="1:14" ht="13" x14ac:dyDescent="0.3">
      <c r="A6" s="321">
        <v>1</v>
      </c>
      <c r="C6" s="327" t="s">
        <v>109</v>
      </c>
      <c r="F6" s="319" t="s">
        <v>110</v>
      </c>
      <c r="H6" s="327" t="s">
        <v>766</v>
      </c>
      <c r="J6" s="328">
        <v>8939630709.3337479</v>
      </c>
      <c r="L6" s="326"/>
      <c r="N6" s="328"/>
    </row>
    <row r="7" spans="1:14" ht="13" x14ac:dyDescent="0.3">
      <c r="A7" s="321">
        <f>A6+1</f>
        <v>2</v>
      </c>
      <c r="C7" s="327" t="s">
        <v>111</v>
      </c>
      <c r="F7" s="319" t="s">
        <v>112</v>
      </c>
      <c r="H7" s="327" t="s">
        <v>767</v>
      </c>
      <c r="J7" s="328">
        <v>289044062.07088608</v>
      </c>
      <c r="L7" s="326"/>
      <c r="N7" s="328"/>
    </row>
    <row r="8" spans="1:14" ht="13" x14ac:dyDescent="0.3">
      <c r="A8" s="321">
        <f>A7+1</f>
        <v>3</v>
      </c>
      <c r="C8" s="327" t="s">
        <v>113</v>
      </c>
      <c r="F8" s="319" t="s">
        <v>112</v>
      </c>
      <c r="H8" s="319" t="s">
        <v>770</v>
      </c>
      <c r="J8" s="328">
        <v>9942155</v>
      </c>
      <c r="L8" s="326"/>
      <c r="N8" s="328"/>
    </row>
    <row r="9" spans="1:14" ht="13" x14ac:dyDescent="0.3">
      <c r="A9" s="321">
        <f>A8+1</f>
        <v>4</v>
      </c>
      <c r="C9" s="327" t="s">
        <v>114</v>
      </c>
      <c r="F9" s="319" t="s">
        <v>112</v>
      </c>
      <c r="H9" s="329" t="s">
        <v>773</v>
      </c>
      <c r="J9" s="328">
        <v>0</v>
      </c>
      <c r="L9" s="326"/>
      <c r="N9" s="328"/>
    </row>
    <row r="10" spans="1:14" ht="13" x14ac:dyDescent="0.3">
      <c r="A10" s="321"/>
      <c r="C10" s="327"/>
      <c r="J10" s="328"/>
      <c r="L10" s="326"/>
      <c r="N10" s="328"/>
    </row>
    <row r="11" spans="1:14" ht="13" x14ac:dyDescent="0.3">
      <c r="A11" s="321"/>
      <c r="C11" s="330" t="s">
        <v>115</v>
      </c>
      <c r="J11" s="328"/>
      <c r="L11" s="326"/>
      <c r="N11" s="328"/>
    </row>
    <row r="12" spans="1:14" ht="13" x14ac:dyDescent="0.3">
      <c r="A12" s="321">
        <f>A9+1</f>
        <v>5</v>
      </c>
      <c r="C12" s="331" t="s">
        <v>116</v>
      </c>
      <c r="F12" s="319" t="s">
        <v>110</v>
      </c>
      <c r="H12" s="327" t="s">
        <v>776</v>
      </c>
      <c r="J12" s="328">
        <v>21481204.872946855</v>
      </c>
      <c r="L12" s="326"/>
      <c r="N12" s="328"/>
    </row>
    <row r="13" spans="1:14" ht="13" x14ac:dyDescent="0.3">
      <c r="A13" s="321">
        <f>A12+1</f>
        <v>6</v>
      </c>
      <c r="C13" s="324" t="s">
        <v>117</v>
      </c>
      <c r="F13" s="319" t="s">
        <v>110</v>
      </c>
      <c r="H13" s="327" t="s">
        <v>777</v>
      </c>
      <c r="J13" s="328">
        <v>21290573.843281552</v>
      </c>
      <c r="L13" s="326"/>
      <c r="N13" s="328"/>
    </row>
    <row r="14" spans="1:14" ht="13" x14ac:dyDescent="0.3">
      <c r="A14" s="321">
        <f>A13+1</f>
        <v>7</v>
      </c>
      <c r="C14" s="331" t="s">
        <v>118</v>
      </c>
      <c r="F14" s="329" t="s">
        <v>119</v>
      </c>
      <c r="H14" s="319" t="s">
        <v>780</v>
      </c>
      <c r="J14" s="332">
        <v>24344015.645957366</v>
      </c>
      <c r="L14" s="326"/>
      <c r="N14" s="328"/>
    </row>
    <row r="15" spans="1:14" ht="13" x14ac:dyDescent="0.3">
      <c r="A15" s="321">
        <f>A14+1</f>
        <v>8</v>
      </c>
      <c r="C15" s="331" t="s">
        <v>120</v>
      </c>
      <c r="H15" s="319" t="str">
        <f>"Line "&amp;A12&amp;" + Line "&amp;A13&amp;" + Line "&amp;A14&amp;""</f>
        <v>Line 5 + Line 6 + Line 7</v>
      </c>
      <c r="J15" s="333">
        <f>SUM(J12:J14)</f>
        <v>67115794.362185776</v>
      </c>
      <c r="L15" s="326"/>
      <c r="N15" s="328"/>
    </row>
    <row r="16" spans="1:14" ht="13" x14ac:dyDescent="0.3">
      <c r="A16" s="321"/>
      <c r="C16" s="331"/>
      <c r="J16" s="328"/>
      <c r="L16" s="326"/>
      <c r="N16" s="328"/>
    </row>
    <row r="17" spans="1:14" ht="13" x14ac:dyDescent="0.3">
      <c r="A17" s="321"/>
      <c r="C17" s="334" t="s">
        <v>121</v>
      </c>
      <c r="J17" s="328"/>
      <c r="L17" s="326"/>
      <c r="N17" s="328"/>
    </row>
    <row r="18" spans="1:14" ht="13" x14ac:dyDescent="0.3">
      <c r="A18" s="321">
        <f>A15+1</f>
        <v>9</v>
      </c>
      <c r="C18" s="331" t="s">
        <v>122</v>
      </c>
      <c r="F18" s="319" t="s">
        <v>110</v>
      </c>
      <c r="G18" s="319" t="s">
        <v>123</v>
      </c>
      <c r="H18" s="327" t="s">
        <v>796</v>
      </c>
      <c r="J18" s="328">
        <v>-1839774172.2805853</v>
      </c>
      <c r="L18" s="326"/>
      <c r="N18" s="328"/>
    </row>
    <row r="19" spans="1:14" ht="13" x14ac:dyDescent="0.3">
      <c r="A19" s="321">
        <f>A18+1</f>
        <v>10</v>
      </c>
      <c r="C19" s="331" t="s">
        <v>124</v>
      </c>
      <c r="F19" s="319" t="s">
        <v>112</v>
      </c>
      <c r="G19" s="319" t="s">
        <v>123</v>
      </c>
      <c r="H19" s="327" t="s">
        <v>797</v>
      </c>
      <c r="J19" s="328">
        <v>0</v>
      </c>
      <c r="L19" s="326"/>
      <c r="N19" s="328"/>
    </row>
    <row r="20" spans="1:14" ht="13" x14ac:dyDescent="0.3">
      <c r="A20" s="321">
        <f>A19+1</f>
        <v>11</v>
      </c>
      <c r="C20" s="331" t="s">
        <v>125</v>
      </c>
      <c r="D20" s="47"/>
      <c r="F20" s="319" t="s">
        <v>112</v>
      </c>
      <c r="G20" s="319" t="s">
        <v>123</v>
      </c>
      <c r="H20" s="327" t="s">
        <v>798</v>
      </c>
      <c r="J20" s="335">
        <v>-105831142.34877566</v>
      </c>
      <c r="L20" s="326"/>
      <c r="N20" s="328"/>
    </row>
    <row r="21" spans="1:14" ht="13" x14ac:dyDescent="0.3">
      <c r="A21" s="321">
        <f>A20+1</f>
        <v>12</v>
      </c>
      <c r="C21" s="46" t="s">
        <v>126</v>
      </c>
      <c r="D21" s="47"/>
      <c r="H21" s="319" t="str">
        <f>"Line "&amp;A18&amp;" + Line "&amp;A19&amp;" + Line "&amp;A20&amp;""</f>
        <v>Line 9 + Line 10 + Line 11</v>
      </c>
      <c r="J21" s="328">
        <f>SUM(J18:J20)</f>
        <v>-1945605314.6293609</v>
      </c>
      <c r="L21" s="326"/>
      <c r="N21" s="328"/>
    </row>
    <row r="22" spans="1:14" ht="13" x14ac:dyDescent="0.3">
      <c r="A22" s="321"/>
      <c r="C22" s="329"/>
      <c r="J22" s="328"/>
      <c r="L22" s="326"/>
      <c r="N22" s="328"/>
    </row>
    <row r="23" spans="1:14" ht="13" x14ac:dyDescent="0.3">
      <c r="A23" s="321">
        <f>A21+1</f>
        <v>13</v>
      </c>
      <c r="C23" s="336" t="s">
        <v>127</v>
      </c>
      <c r="F23" s="319" t="s">
        <v>112</v>
      </c>
      <c r="H23" s="327" t="s">
        <v>802</v>
      </c>
      <c r="J23" s="328">
        <v>-1632992371.4042728</v>
      </c>
      <c r="L23" s="326"/>
      <c r="N23" s="328"/>
    </row>
    <row r="24" spans="1:14" ht="13" x14ac:dyDescent="0.3">
      <c r="A24" s="321">
        <f>A23+1</f>
        <v>14</v>
      </c>
      <c r="C24" s="327" t="s">
        <v>128</v>
      </c>
      <c r="F24" s="319" t="s">
        <v>110</v>
      </c>
      <c r="H24" s="327" t="s">
        <v>804</v>
      </c>
      <c r="J24" s="328">
        <v>602185189.09144735</v>
      </c>
      <c r="L24" s="326"/>
      <c r="N24" s="328"/>
    </row>
    <row r="25" spans="1:14" ht="13" x14ac:dyDescent="0.3">
      <c r="A25" s="321">
        <f>A24+1</f>
        <v>15</v>
      </c>
      <c r="C25" s="336" t="s">
        <v>129</v>
      </c>
      <c r="F25" s="319" t="s">
        <v>112</v>
      </c>
      <c r="G25" s="319" t="s">
        <v>123</v>
      </c>
      <c r="H25" s="327" t="s">
        <v>806</v>
      </c>
      <c r="J25" s="328">
        <v>-50661304.942000374</v>
      </c>
      <c r="L25" s="326"/>
      <c r="N25" s="328"/>
    </row>
    <row r="26" spans="1:14" ht="13" x14ac:dyDescent="0.3">
      <c r="A26" s="321">
        <f>A25+1</f>
        <v>16</v>
      </c>
      <c r="C26" s="327" t="s">
        <v>130</v>
      </c>
      <c r="H26" s="329" t="s">
        <v>809</v>
      </c>
      <c r="J26" s="328">
        <v>-192296783.42467985</v>
      </c>
      <c r="L26" s="326"/>
      <c r="N26" s="328"/>
    </row>
    <row r="27" spans="1:14" ht="13" x14ac:dyDescent="0.3">
      <c r="A27" s="321">
        <f>A26+1</f>
        <v>17</v>
      </c>
      <c r="C27" s="336" t="s">
        <v>131</v>
      </c>
      <c r="F27" s="319" t="s">
        <v>112</v>
      </c>
      <c r="H27" s="327" t="s">
        <v>811</v>
      </c>
      <c r="J27" s="328">
        <v>0</v>
      </c>
      <c r="L27" s="326"/>
      <c r="N27" s="328"/>
    </row>
    <row r="28" spans="1:14" ht="13" x14ac:dyDescent="0.3">
      <c r="A28" s="321"/>
      <c r="C28" s="336"/>
      <c r="L28" s="326"/>
      <c r="N28" s="328"/>
    </row>
    <row r="29" spans="1:14" ht="13" x14ac:dyDescent="0.3">
      <c r="A29" s="321">
        <f>A27+1</f>
        <v>18</v>
      </c>
      <c r="C29" s="319" t="s">
        <v>132</v>
      </c>
      <c r="H29" s="319" t="str">
        <f>"L"&amp;A6&amp;"+L"&amp;A7&amp;"+L"&amp;A8&amp;"+L"&amp;A9&amp;"+L"&amp;A15&amp;"+L"&amp;A21&amp;"+"</f>
        <v>L1+L2+L3+L4+L8+L12+</v>
      </c>
      <c r="J29" s="333">
        <f>J6+ J7+J8+J9+J15+J21+J23+J24+J25+J26+J27</f>
        <v>6086362135.4579544</v>
      </c>
      <c r="L29" s="326"/>
      <c r="N29" s="328"/>
    </row>
    <row r="30" spans="1:14" ht="13" x14ac:dyDescent="0.3">
      <c r="A30" s="321"/>
      <c r="H30" s="319" t="str">
        <f>"L"&amp;A23&amp;"+L"&amp;A24&amp;"+L"&amp;A25&amp;"+L"&amp;A26&amp;"+L"&amp;A27&amp;""</f>
        <v>L13+L14+L15+L16+L17</v>
      </c>
      <c r="J30" s="328"/>
      <c r="L30" s="326"/>
      <c r="N30" s="328"/>
    </row>
    <row r="31" spans="1:14" ht="13" x14ac:dyDescent="0.3">
      <c r="A31" s="321"/>
      <c r="B31" s="318" t="s">
        <v>133</v>
      </c>
      <c r="J31" s="328"/>
      <c r="L31" s="326"/>
      <c r="N31" s="328"/>
    </row>
    <row r="32" spans="1:14" ht="13" x14ac:dyDescent="0.3">
      <c r="A32" s="323" t="s">
        <v>104</v>
      </c>
      <c r="C32" s="318"/>
      <c r="J32" s="328"/>
      <c r="L32" s="326"/>
      <c r="N32" s="328"/>
    </row>
    <row r="33" spans="1:14" ht="13" x14ac:dyDescent="0.3">
      <c r="A33" s="321">
        <f>A29+1</f>
        <v>19</v>
      </c>
      <c r="B33" s="329"/>
      <c r="C33" s="329" t="s">
        <v>134</v>
      </c>
      <c r="D33" s="329"/>
      <c r="E33" s="329"/>
      <c r="F33" s="329"/>
      <c r="G33" s="329" t="s">
        <v>135</v>
      </c>
      <c r="H33" s="329" t="str">
        <f>"Instruction 1, Line "&amp;B98&amp;""</f>
        <v>Instruction 1, Line j</v>
      </c>
      <c r="I33" s="329"/>
      <c r="J33" s="337">
        <f>E98</f>
        <v>7.5731353457413608E-2</v>
      </c>
      <c r="L33" s="326"/>
      <c r="M33" s="338"/>
      <c r="N33" s="328"/>
    </row>
    <row r="34" spans="1:14" ht="13" x14ac:dyDescent="0.3">
      <c r="A34" s="321">
        <f>A33+1</f>
        <v>20</v>
      </c>
      <c r="C34" s="329" t="s">
        <v>136</v>
      </c>
      <c r="D34" s="329"/>
      <c r="E34" s="329"/>
      <c r="F34" s="329"/>
      <c r="G34" s="329"/>
      <c r="H34" s="319" t="str">
        <f>"Line "&amp;A29&amp;" * Line "&amp;A33&amp;""</f>
        <v>Line 18 * Line 19</v>
      </c>
      <c r="J34" s="339">
        <f>J29*J33</f>
        <v>460928442.15018505</v>
      </c>
      <c r="L34" s="326"/>
      <c r="N34" s="328"/>
    </row>
    <row r="35" spans="1:14" ht="13" x14ac:dyDescent="0.3">
      <c r="A35" s="321"/>
      <c r="B35" s="324"/>
      <c r="L35" s="326"/>
      <c r="N35" s="328"/>
    </row>
    <row r="36" spans="1:14" ht="13" x14ac:dyDescent="0.3">
      <c r="A36" s="321"/>
      <c r="B36" s="318" t="s">
        <v>137</v>
      </c>
      <c r="L36" s="326"/>
      <c r="N36" s="328"/>
    </row>
    <row r="37" spans="1:14" ht="13" x14ac:dyDescent="0.3">
      <c r="A37" s="321"/>
      <c r="B37" s="324"/>
      <c r="L37" s="326"/>
      <c r="N37" s="328"/>
    </row>
    <row r="38" spans="1:14" ht="13" x14ac:dyDescent="0.3">
      <c r="A38" s="321">
        <f>A34+1</f>
        <v>21</v>
      </c>
      <c r="C38" s="329" t="s">
        <v>138</v>
      </c>
      <c r="J38" s="333">
        <f>(((J29*J42) + J45) *(J43/(1-J43)))+(J44/(1-J43))</f>
        <v>110538956.83035715</v>
      </c>
      <c r="L38" s="326"/>
      <c r="N38" s="328"/>
    </row>
    <row r="39" spans="1:14" ht="13" x14ac:dyDescent="0.3">
      <c r="A39" s="321"/>
      <c r="J39" s="329"/>
      <c r="L39" s="326"/>
      <c r="N39" s="328"/>
    </row>
    <row r="40" spans="1:14" ht="13" x14ac:dyDescent="0.3">
      <c r="A40" s="321"/>
      <c r="D40" s="319" t="s">
        <v>139</v>
      </c>
      <c r="L40" s="326"/>
      <c r="N40" s="328"/>
    </row>
    <row r="41" spans="1:14" ht="13" x14ac:dyDescent="0.3">
      <c r="A41" s="321">
        <f>A38+1</f>
        <v>22</v>
      </c>
      <c r="D41" s="324" t="s">
        <v>140</v>
      </c>
      <c r="H41" s="319" t="str">
        <f>"Line "&amp;A29&amp;""</f>
        <v>Line 18</v>
      </c>
      <c r="J41" s="333">
        <f>J29</f>
        <v>6086362135.4579544</v>
      </c>
      <c r="L41" s="326"/>
      <c r="N41" s="328"/>
    </row>
    <row r="42" spans="1:14" ht="13" x14ac:dyDescent="0.3">
      <c r="A42" s="321">
        <f>A41+1</f>
        <v>23</v>
      </c>
      <c r="D42" s="331" t="s">
        <v>141</v>
      </c>
      <c r="G42" s="329" t="s">
        <v>142</v>
      </c>
      <c r="H42" s="329" t="str">
        <f>"Instruction 1, Line "&amp;B103&amp;""</f>
        <v>Instruction 1, Line k</v>
      </c>
      <c r="J42" s="337">
        <f>E103</f>
        <v>5.3927439169434502E-2</v>
      </c>
      <c r="L42" s="326"/>
      <c r="M42" s="338"/>
      <c r="N42" s="328"/>
    </row>
    <row r="43" spans="1:14" ht="13" x14ac:dyDescent="0.3">
      <c r="A43" s="321">
        <f>A42+1</f>
        <v>24</v>
      </c>
      <c r="D43" s="324" t="s">
        <v>143</v>
      </c>
      <c r="H43" s="319" t="s">
        <v>781</v>
      </c>
      <c r="J43" s="338">
        <v>0.27983599999999997</v>
      </c>
      <c r="L43" s="326"/>
      <c r="M43" s="338"/>
      <c r="N43" s="328"/>
    </row>
    <row r="44" spans="1:14" ht="13" x14ac:dyDescent="0.3">
      <c r="A44" s="321">
        <f>A43+1</f>
        <v>25</v>
      </c>
      <c r="D44" s="324" t="s">
        <v>144</v>
      </c>
      <c r="H44" s="319" t="s">
        <v>782</v>
      </c>
      <c r="J44" s="328">
        <v>-13338285</v>
      </c>
      <c r="L44" s="326"/>
      <c r="N44" s="328"/>
    </row>
    <row r="45" spans="1:14" ht="13" x14ac:dyDescent="0.3">
      <c r="A45" s="321">
        <f>A44+1</f>
        <v>26</v>
      </c>
      <c r="D45" s="324" t="s">
        <v>145</v>
      </c>
      <c r="H45" s="319" t="s">
        <v>783</v>
      </c>
      <c r="J45" s="340">
        <v>3917123</v>
      </c>
      <c r="L45" s="326"/>
      <c r="N45" s="328"/>
    </row>
    <row r="46" spans="1:14" ht="13" x14ac:dyDescent="0.3">
      <c r="A46" s="321"/>
      <c r="B46" s="324"/>
      <c r="L46" s="326"/>
      <c r="N46" s="328"/>
    </row>
    <row r="47" spans="1:14" ht="13" x14ac:dyDescent="0.3">
      <c r="A47" s="321"/>
      <c r="B47" s="318" t="s">
        <v>146</v>
      </c>
      <c r="L47" s="326"/>
      <c r="N47" s="328"/>
    </row>
    <row r="48" spans="1:14" ht="13" x14ac:dyDescent="0.3">
      <c r="A48" s="321">
        <f>A45+1</f>
        <v>27</v>
      </c>
      <c r="B48" s="324"/>
      <c r="C48" s="319" t="s">
        <v>147</v>
      </c>
      <c r="H48" s="319" t="s">
        <v>784</v>
      </c>
      <c r="J48" s="328">
        <v>112781173.69267865</v>
      </c>
      <c r="L48" s="326"/>
      <c r="N48" s="328"/>
    </row>
    <row r="49" spans="1:14" ht="13" x14ac:dyDescent="0.3">
      <c r="A49" s="321">
        <f t="shared" ref="A49:A59" si="0">A48+1</f>
        <v>28</v>
      </c>
      <c r="B49" s="324"/>
      <c r="C49" s="329" t="s">
        <v>148</v>
      </c>
      <c r="H49" s="319" t="s">
        <v>785</v>
      </c>
      <c r="J49" s="333">
        <v>81970951.47498028</v>
      </c>
      <c r="L49" s="326"/>
      <c r="N49" s="328"/>
    </row>
    <row r="50" spans="1:14" ht="13" x14ac:dyDescent="0.3">
      <c r="A50" s="321">
        <f>A49+1</f>
        <v>29</v>
      </c>
      <c r="B50" s="324"/>
      <c r="C50" s="319" t="s">
        <v>149</v>
      </c>
      <c r="H50" s="319" t="s">
        <v>786</v>
      </c>
      <c r="J50" s="328">
        <v>4075483.5901751588</v>
      </c>
      <c r="L50" s="326"/>
      <c r="N50" s="328"/>
    </row>
    <row r="51" spans="1:14" ht="13" x14ac:dyDescent="0.3">
      <c r="A51" s="321">
        <f t="shared" si="0"/>
        <v>30</v>
      </c>
      <c r="B51" s="324"/>
      <c r="C51" s="329" t="s">
        <v>150</v>
      </c>
      <c r="H51" s="319" t="s">
        <v>787</v>
      </c>
      <c r="J51" s="328">
        <v>255157633.3971031</v>
      </c>
      <c r="L51" s="326"/>
      <c r="N51" s="328"/>
    </row>
    <row r="52" spans="1:14" ht="13" x14ac:dyDescent="0.3">
      <c r="A52" s="321">
        <f t="shared" si="0"/>
        <v>31</v>
      </c>
      <c r="B52" s="324"/>
      <c r="C52" s="329" t="s">
        <v>151</v>
      </c>
      <c r="H52" s="319" t="s">
        <v>788</v>
      </c>
      <c r="J52" s="328">
        <v>0</v>
      </c>
      <c r="L52" s="326"/>
      <c r="N52" s="328"/>
    </row>
    <row r="53" spans="1:14" ht="13" x14ac:dyDescent="0.3">
      <c r="A53" s="321">
        <f t="shared" si="0"/>
        <v>32</v>
      </c>
      <c r="B53" s="324"/>
      <c r="C53" s="329" t="s">
        <v>152</v>
      </c>
      <c r="H53" s="319" t="s">
        <v>789</v>
      </c>
      <c r="J53" s="328">
        <v>66058181.16746673</v>
      </c>
      <c r="L53" s="326"/>
      <c r="N53" s="328"/>
    </row>
    <row r="54" spans="1:14" ht="13" x14ac:dyDescent="0.3">
      <c r="A54" s="321">
        <f t="shared" si="0"/>
        <v>33</v>
      </c>
      <c r="B54" s="324"/>
      <c r="C54" s="319" t="s">
        <v>153</v>
      </c>
      <c r="G54" s="329"/>
      <c r="H54" s="319" t="s">
        <v>790</v>
      </c>
      <c r="J54" s="328">
        <v>-54094032.244774804</v>
      </c>
      <c r="L54" s="326"/>
      <c r="N54" s="328"/>
    </row>
    <row r="55" spans="1:14" ht="13" x14ac:dyDescent="0.3">
      <c r="A55" s="321">
        <f t="shared" si="0"/>
        <v>34</v>
      </c>
      <c r="B55" s="324"/>
      <c r="C55" s="319" t="s">
        <v>154</v>
      </c>
      <c r="H55" s="319" t="str">
        <f>"Line "&amp;A34&amp;""</f>
        <v>Line 20</v>
      </c>
      <c r="J55" s="333">
        <f>J34</f>
        <v>460928442.15018505</v>
      </c>
      <c r="L55" s="326"/>
      <c r="N55" s="328"/>
    </row>
    <row r="56" spans="1:14" ht="13" x14ac:dyDescent="0.3">
      <c r="A56" s="321">
        <f t="shared" si="0"/>
        <v>35</v>
      </c>
      <c r="B56" s="324"/>
      <c r="C56" s="319" t="s">
        <v>155</v>
      </c>
      <c r="H56" s="319" t="str">
        <f>"Line "&amp;A38&amp;""</f>
        <v>Line 21</v>
      </c>
      <c r="J56" s="339">
        <f>J38</f>
        <v>110538956.83035715</v>
      </c>
      <c r="L56" s="326"/>
      <c r="N56" s="328"/>
    </row>
    <row r="57" spans="1:14" ht="13" x14ac:dyDescent="0.3">
      <c r="A57" s="321">
        <f t="shared" si="0"/>
        <v>36</v>
      </c>
      <c r="B57" s="324"/>
      <c r="C57" s="329" t="s">
        <v>156</v>
      </c>
      <c r="H57" s="319" t="s">
        <v>791</v>
      </c>
      <c r="J57" s="340">
        <v>0</v>
      </c>
      <c r="L57" s="326"/>
      <c r="N57" s="328"/>
    </row>
    <row r="58" spans="1:14" ht="13" x14ac:dyDescent="0.3">
      <c r="A58" s="321">
        <f t="shared" si="0"/>
        <v>37</v>
      </c>
      <c r="B58" s="324"/>
      <c r="C58" s="48" t="s">
        <v>157</v>
      </c>
      <c r="D58" s="48"/>
      <c r="H58" s="319" t="s">
        <v>792</v>
      </c>
      <c r="J58" s="335">
        <v>0</v>
      </c>
      <c r="L58" s="326"/>
      <c r="N58" s="328"/>
    </row>
    <row r="59" spans="1:14" ht="13" x14ac:dyDescent="0.3">
      <c r="A59" s="321">
        <f t="shared" si="0"/>
        <v>38</v>
      </c>
      <c r="B59" s="324"/>
      <c r="C59" s="329" t="s">
        <v>158</v>
      </c>
      <c r="H59" s="319" t="str">
        <f>"Sum Line "&amp;A48&amp;" to Line "&amp;A58&amp;""</f>
        <v>Sum Line 27 to Line 37</v>
      </c>
      <c r="J59" s="333">
        <f>SUM(J48:J58)</f>
        <v>1037416790.0581714</v>
      </c>
      <c r="L59" s="326"/>
      <c r="N59" s="328"/>
    </row>
    <row r="60" spans="1:14" ht="13" x14ac:dyDescent="0.3">
      <c r="A60" s="321"/>
      <c r="B60" s="324"/>
      <c r="J60" s="328"/>
      <c r="L60" s="326"/>
      <c r="N60" s="328"/>
    </row>
    <row r="61" spans="1:14" ht="12.75" customHeight="1" x14ac:dyDescent="0.3">
      <c r="A61" s="321">
        <f>A59+1</f>
        <v>39</v>
      </c>
      <c r="B61" s="324"/>
      <c r="C61" s="329" t="s">
        <v>159</v>
      </c>
      <c r="H61" s="319" t="s">
        <v>814</v>
      </c>
      <c r="J61" s="333">
        <v>25263750.677767433</v>
      </c>
      <c r="L61" s="326"/>
      <c r="N61" s="328"/>
    </row>
    <row r="62" spans="1:14" ht="12.75" customHeight="1" x14ac:dyDescent="0.3">
      <c r="A62" s="321" t="s">
        <v>160</v>
      </c>
      <c r="B62" s="329"/>
      <c r="C62" s="329" t="s">
        <v>161</v>
      </c>
      <c r="D62" s="329"/>
      <c r="E62" s="329"/>
      <c r="F62" s="329"/>
      <c r="G62" s="329"/>
      <c r="H62" s="329" t="s">
        <v>162</v>
      </c>
      <c r="I62" s="329"/>
      <c r="J62" s="339">
        <f>-J61</f>
        <v>-25263750.677767433</v>
      </c>
      <c r="L62" s="326"/>
      <c r="N62" s="328"/>
    </row>
    <row r="63" spans="1:14" ht="13" x14ac:dyDescent="0.3">
      <c r="A63" s="321"/>
      <c r="B63" s="324"/>
      <c r="C63" s="329"/>
      <c r="J63" s="328"/>
      <c r="L63" s="326"/>
      <c r="N63" s="328"/>
    </row>
    <row r="64" spans="1:14" ht="13" x14ac:dyDescent="0.3">
      <c r="A64" s="321">
        <f>A61+1</f>
        <v>40</v>
      </c>
      <c r="B64" s="324"/>
      <c r="C64" s="329" t="s">
        <v>163</v>
      </c>
      <c r="H64" s="329" t="s">
        <v>164</v>
      </c>
      <c r="J64" s="333">
        <f>J59+J61+J62</f>
        <v>1037416790.0581714</v>
      </c>
      <c r="L64" s="326"/>
      <c r="N64" s="328"/>
    </row>
    <row r="65" spans="1:14" ht="13" x14ac:dyDescent="0.3">
      <c r="A65" s="321"/>
      <c r="B65" s="324"/>
      <c r="C65" s="329"/>
      <c r="J65" s="328"/>
    </row>
    <row r="66" spans="1:14" ht="13" x14ac:dyDescent="0.3">
      <c r="A66" s="321"/>
      <c r="B66" s="320" t="s">
        <v>165</v>
      </c>
      <c r="C66" s="329"/>
      <c r="J66" s="328"/>
      <c r="N66" s="321"/>
    </row>
    <row r="67" spans="1:14" ht="13.5" thickBot="1" x14ac:dyDescent="0.35">
      <c r="A67" s="323" t="s">
        <v>104</v>
      </c>
      <c r="B67" s="336"/>
      <c r="G67" s="325" t="s">
        <v>166</v>
      </c>
      <c r="N67" s="326"/>
    </row>
    <row r="68" spans="1:14" ht="13" x14ac:dyDescent="0.3">
      <c r="A68" s="321">
        <f>A64+1</f>
        <v>41</v>
      </c>
      <c r="B68" s="336"/>
      <c r="D68" s="341" t="s">
        <v>167</v>
      </c>
      <c r="E68" s="333">
        <f>J64</f>
        <v>1037416790.0581714</v>
      </c>
      <c r="G68" s="319" t="str">
        <f>"Line "&amp;A64&amp;""</f>
        <v>Line 40</v>
      </c>
      <c r="J68" s="342" t="s">
        <v>168</v>
      </c>
      <c r="L68" s="328"/>
      <c r="N68" s="328"/>
    </row>
    <row r="69" spans="1:14" ht="13" x14ac:dyDescent="0.3">
      <c r="A69" s="321">
        <f>A68+1</f>
        <v>42</v>
      </c>
      <c r="B69" s="336"/>
      <c r="D69" s="341" t="s">
        <v>169</v>
      </c>
      <c r="E69" s="343">
        <v>9.2480778683301894E-3</v>
      </c>
      <c r="G69" s="319" t="s">
        <v>816</v>
      </c>
      <c r="J69" s="344" t="s">
        <v>170</v>
      </c>
      <c r="L69" s="338"/>
      <c r="N69" s="338"/>
    </row>
    <row r="70" spans="1:14" ht="13" x14ac:dyDescent="0.3">
      <c r="A70" s="321">
        <f>A69+1</f>
        <v>43</v>
      </c>
      <c r="B70" s="336"/>
      <c r="D70" s="345" t="s">
        <v>171</v>
      </c>
      <c r="E70" s="333">
        <v>9594111.2563711219</v>
      </c>
      <c r="G70" s="319" t="str">
        <f>"Line "&amp;A68&amp;" * Line "&amp;A69&amp;""</f>
        <v>Line 41 * Line 42</v>
      </c>
      <c r="J70" s="346">
        <f>E73</f>
        <v>1049224756.6136806</v>
      </c>
      <c r="L70" s="328"/>
      <c r="N70" s="328"/>
    </row>
    <row r="71" spans="1:14" ht="38" x14ac:dyDescent="0.3">
      <c r="A71" s="321">
        <f>A70+1</f>
        <v>44</v>
      </c>
      <c r="B71" s="336"/>
      <c r="D71" s="341" t="s">
        <v>172</v>
      </c>
      <c r="E71" s="343">
        <v>2.134007585335019E-3</v>
      </c>
      <c r="G71" s="319" t="s">
        <v>816</v>
      </c>
      <c r="J71" s="347">
        <f>'TO2018 WF-Sch4-TUTRR-Rev'!E73</f>
        <v>1029975576.9781398</v>
      </c>
      <c r="L71" s="268" t="s">
        <v>837</v>
      </c>
      <c r="N71" s="338"/>
    </row>
    <row r="72" spans="1:14" ht="13.5" thickBot="1" x14ac:dyDescent="0.35">
      <c r="A72" s="321">
        <f>A71+1</f>
        <v>45</v>
      </c>
      <c r="B72" s="336"/>
      <c r="D72" s="341" t="s">
        <v>173</v>
      </c>
      <c r="E72" s="333">
        <v>2213855.2991380445</v>
      </c>
      <c r="G72" s="319" t="str">
        <f>"Line "&amp;A70&amp;" * Line "&amp;A71&amp;""</f>
        <v>Line 43 * Line 44</v>
      </c>
      <c r="J72" s="349">
        <f>J70-J71</f>
        <v>19249179.635540843</v>
      </c>
      <c r="L72" s="328"/>
      <c r="N72" s="328"/>
    </row>
    <row r="73" spans="1:14" ht="13" x14ac:dyDescent="0.3">
      <c r="A73" s="321">
        <f>A72+1</f>
        <v>46</v>
      </c>
      <c r="B73" s="336"/>
      <c r="D73" s="341" t="s">
        <v>174</v>
      </c>
      <c r="E73" s="333">
        <f>E68+E70+E72</f>
        <v>1049224756.6136806</v>
      </c>
      <c r="G73" s="319" t="str">
        <f>"L "&amp;A68&amp;" + L "&amp;A70&amp;" + L "&amp;A72&amp;""</f>
        <v>L 41 + L 43 + L 45</v>
      </c>
      <c r="L73" s="328"/>
      <c r="N73" s="328"/>
    </row>
    <row r="74" spans="1:14" ht="13" x14ac:dyDescent="0.3">
      <c r="B74" s="320" t="s">
        <v>175</v>
      </c>
      <c r="D74" s="345"/>
      <c r="E74" s="328"/>
      <c r="H74" s="50"/>
      <c r="L74" s="328"/>
    </row>
    <row r="75" spans="1:14" ht="13" x14ac:dyDescent="0.3">
      <c r="A75" s="321"/>
      <c r="B75" s="329" t="s">
        <v>176</v>
      </c>
      <c r="C75" s="320"/>
      <c r="D75" s="345"/>
      <c r="E75" s="328"/>
      <c r="L75" s="328"/>
    </row>
    <row r="76" spans="1:14" ht="13" x14ac:dyDescent="0.3">
      <c r="A76" s="321"/>
      <c r="B76" s="329" t="s">
        <v>177</v>
      </c>
      <c r="C76" s="320"/>
      <c r="D76" s="345"/>
      <c r="E76" s="328"/>
      <c r="L76" s="328"/>
      <c r="M76" s="360"/>
    </row>
    <row r="77" spans="1:14" ht="13" x14ac:dyDescent="0.3">
      <c r="A77" s="321"/>
      <c r="B77" s="327" t="s">
        <v>178</v>
      </c>
      <c r="C77" s="329"/>
      <c r="D77" s="345"/>
      <c r="E77" s="328"/>
      <c r="L77" s="328"/>
      <c r="M77" s="329"/>
    </row>
    <row r="78" spans="1:14" ht="13" x14ac:dyDescent="0.3">
      <c r="A78" s="321"/>
      <c r="B78" s="327" t="s">
        <v>179</v>
      </c>
      <c r="D78" s="345"/>
      <c r="E78" s="328"/>
      <c r="L78" s="328"/>
      <c r="M78" s="329"/>
    </row>
    <row r="79" spans="1:14" ht="13" x14ac:dyDescent="0.3">
      <c r="A79" s="321"/>
      <c r="L79" s="335"/>
      <c r="M79" s="330"/>
    </row>
    <row r="80" spans="1:14" ht="13" x14ac:dyDescent="0.3">
      <c r="A80" s="321"/>
      <c r="B80" s="329" t="s">
        <v>180</v>
      </c>
      <c r="L80" s="328"/>
    </row>
    <row r="81" spans="1:12" ht="13" x14ac:dyDescent="0.3">
      <c r="A81" s="321"/>
      <c r="B81" s="329"/>
      <c r="C81" s="329" t="s">
        <v>181</v>
      </c>
      <c r="L81" s="328"/>
    </row>
    <row r="82" spans="1:12" ht="13" x14ac:dyDescent="0.3">
      <c r="A82" s="321"/>
      <c r="B82" s="329"/>
      <c r="J82" s="321" t="s">
        <v>182</v>
      </c>
      <c r="L82" s="328"/>
    </row>
    <row r="83" spans="1:12" ht="13" x14ac:dyDescent="0.3">
      <c r="A83" s="321"/>
      <c r="E83" s="326" t="s">
        <v>183</v>
      </c>
      <c r="F83" s="325" t="s">
        <v>166</v>
      </c>
      <c r="G83" s="326" t="s">
        <v>184</v>
      </c>
      <c r="H83" s="326" t="s">
        <v>185</v>
      </c>
      <c r="J83" s="326" t="s">
        <v>186</v>
      </c>
      <c r="L83" s="328"/>
    </row>
    <row r="84" spans="1:12" ht="13" x14ac:dyDescent="0.3">
      <c r="B84" s="351" t="s">
        <v>187</v>
      </c>
      <c r="C84" s="329" t="s">
        <v>188</v>
      </c>
      <c r="E84" s="352">
        <v>0.10299999999999999</v>
      </c>
      <c r="F84" s="329" t="s">
        <v>189</v>
      </c>
      <c r="G84" s="353">
        <v>43781</v>
      </c>
      <c r="H84" s="353">
        <v>43830</v>
      </c>
      <c r="I84" s="329"/>
      <c r="J84" s="354">
        <v>50</v>
      </c>
      <c r="K84" s="329"/>
    </row>
    <row r="85" spans="1:12" ht="13" x14ac:dyDescent="0.3">
      <c r="B85" s="351" t="s">
        <v>190</v>
      </c>
      <c r="C85" s="329" t="s">
        <v>191</v>
      </c>
      <c r="E85" s="352">
        <v>0.112</v>
      </c>
      <c r="F85" s="329" t="s">
        <v>192</v>
      </c>
      <c r="G85" s="353">
        <v>43466</v>
      </c>
      <c r="H85" s="353">
        <v>43780</v>
      </c>
      <c r="I85" s="329"/>
      <c r="J85" s="354">
        <v>315</v>
      </c>
      <c r="K85" s="329"/>
      <c r="L85" s="329"/>
    </row>
    <row r="86" spans="1:12" ht="13" x14ac:dyDescent="0.3">
      <c r="B86" s="351" t="s">
        <v>193</v>
      </c>
      <c r="C86" s="329"/>
      <c r="E86" s="355"/>
      <c r="F86" s="329"/>
      <c r="G86" s="356"/>
      <c r="H86" s="356"/>
      <c r="I86" s="341" t="s">
        <v>194</v>
      </c>
      <c r="J86" s="329">
        <f>SUM(J84:J85)</f>
        <v>365</v>
      </c>
      <c r="K86" s="329"/>
      <c r="L86" s="329"/>
    </row>
    <row r="87" spans="1:12" ht="13" x14ac:dyDescent="0.3">
      <c r="B87" s="351" t="s">
        <v>195</v>
      </c>
      <c r="C87" s="329" t="s">
        <v>196</v>
      </c>
      <c r="E87" s="357">
        <f>((E84*J84) + (E85* J85)) / J86</f>
        <v>0.11076712328767123</v>
      </c>
      <c r="F87" s="329" t="s">
        <v>197</v>
      </c>
      <c r="H87" s="329"/>
      <c r="I87" s="329"/>
      <c r="J87" s="329"/>
      <c r="K87" s="329"/>
      <c r="L87" s="329"/>
    </row>
    <row r="88" spans="1:12" ht="13" x14ac:dyDescent="0.3">
      <c r="A88" s="321"/>
      <c r="B88" s="329"/>
      <c r="H88" s="329"/>
      <c r="I88" s="329"/>
      <c r="J88" s="329"/>
      <c r="K88" s="329"/>
      <c r="L88" s="329"/>
    </row>
    <row r="89" spans="1:12" ht="13" x14ac:dyDescent="0.3">
      <c r="A89" s="321"/>
      <c r="B89" s="329" t="s">
        <v>198</v>
      </c>
      <c r="H89" s="329"/>
      <c r="I89" s="329"/>
      <c r="J89" s="329"/>
      <c r="K89" s="329"/>
      <c r="L89" s="329"/>
    </row>
    <row r="90" spans="1:12" ht="13" x14ac:dyDescent="0.3">
      <c r="A90" s="321"/>
      <c r="B90" s="329"/>
      <c r="E90" s="325" t="s">
        <v>166</v>
      </c>
      <c r="H90" s="329"/>
      <c r="I90" s="329"/>
      <c r="J90" s="329"/>
      <c r="K90" s="329"/>
      <c r="L90" s="329"/>
    </row>
    <row r="91" spans="1:12" ht="13" x14ac:dyDescent="0.3">
      <c r="B91" s="351" t="s">
        <v>199</v>
      </c>
      <c r="C91" s="329" t="s">
        <v>200</v>
      </c>
      <c r="E91" s="358" t="s">
        <v>201</v>
      </c>
      <c r="F91" s="359"/>
      <c r="G91" s="359"/>
      <c r="H91" s="354"/>
      <c r="I91" s="354"/>
      <c r="J91" s="354"/>
      <c r="K91" s="329"/>
      <c r="L91" s="329"/>
    </row>
    <row r="92" spans="1:12" ht="13" x14ac:dyDescent="0.3">
      <c r="B92" s="351" t="s">
        <v>202</v>
      </c>
      <c r="C92" s="329" t="s">
        <v>203</v>
      </c>
      <c r="E92" s="358" t="s">
        <v>204</v>
      </c>
      <c r="F92" s="359"/>
      <c r="G92" s="359"/>
      <c r="H92" s="354"/>
      <c r="I92" s="354"/>
      <c r="J92" s="354"/>
      <c r="K92" s="329"/>
      <c r="L92" s="329"/>
    </row>
    <row r="93" spans="1:12" x14ac:dyDescent="0.25">
      <c r="C93" s="329"/>
      <c r="E93" s="356"/>
      <c r="I93" s="329"/>
      <c r="J93" s="329"/>
      <c r="K93" s="329"/>
      <c r="L93" s="329"/>
    </row>
    <row r="94" spans="1:12" ht="13" x14ac:dyDescent="0.3">
      <c r="E94" s="326" t="s">
        <v>183</v>
      </c>
      <c r="F94" s="325" t="s">
        <v>166</v>
      </c>
      <c r="H94" s="329"/>
      <c r="I94" s="329"/>
      <c r="L94" s="329"/>
    </row>
    <row r="95" spans="1:12" ht="13" x14ac:dyDescent="0.3">
      <c r="B95" s="351" t="s">
        <v>205</v>
      </c>
      <c r="C95" s="329" t="s">
        <v>206</v>
      </c>
      <c r="D95" s="329"/>
      <c r="E95" s="338">
        <v>2.1803914287979103E-2</v>
      </c>
      <c r="F95" s="319" t="s">
        <v>793</v>
      </c>
      <c r="H95" s="329"/>
      <c r="I95" s="329"/>
    </row>
    <row r="96" spans="1:12" ht="13" x14ac:dyDescent="0.3">
      <c r="B96" s="351" t="s">
        <v>207</v>
      </c>
      <c r="C96" s="329" t="s">
        <v>208</v>
      </c>
      <c r="E96" s="338">
        <v>4.1703636316651844E-3</v>
      </c>
      <c r="F96" s="319" t="s">
        <v>794</v>
      </c>
      <c r="H96" s="329"/>
      <c r="I96" s="329"/>
    </row>
    <row r="97" spans="1:10" ht="13" x14ac:dyDescent="0.3">
      <c r="B97" s="351" t="s">
        <v>209</v>
      </c>
      <c r="C97" s="329" t="s">
        <v>210</v>
      </c>
      <c r="E97" s="350">
        <v>4.975707553776932E-2</v>
      </c>
      <c r="F97" s="319" t="s">
        <v>795</v>
      </c>
      <c r="G97" s="329"/>
      <c r="H97" s="329"/>
    </row>
    <row r="98" spans="1:10" ht="13" x14ac:dyDescent="0.3">
      <c r="B98" s="321" t="s">
        <v>211</v>
      </c>
      <c r="C98" s="331" t="s">
        <v>134</v>
      </c>
      <c r="E98" s="360">
        <f>SUM(E95:E97)</f>
        <v>7.5731353457413608E-2</v>
      </c>
      <c r="F98" s="328" t="str">
        <f>"Sum of Lines "&amp;B95&amp;" to "&amp;B97&amp;""</f>
        <v>Sum of Lines g to i</v>
      </c>
      <c r="G98" s="361"/>
      <c r="J98" s="362"/>
    </row>
    <row r="99" spans="1:10" ht="13" x14ac:dyDescent="0.3">
      <c r="A99" s="321"/>
      <c r="C99" s="45"/>
      <c r="D99" s="51"/>
      <c r="E99" s="328"/>
      <c r="F99" s="328"/>
      <c r="G99" s="361"/>
      <c r="H99" s="328"/>
      <c r="J99" s="362"/>
    </row>
    <row r="100" spans="1:10" ht="13" x14ac:dyDescent="0.3">
      <c r="A100" s="321"/>
      <c r="B100" s="329" t="s">
        <v>212</v>
      </c>
    </row>
    <row r="101" spans="1:10" ht="13" x14ac:dyDescent="0.3">
      <c r="A101" s="321"/>
    </row>
    <row r="102" spans="1:10" ht="13" x14ac:dyDescent="0.3">
      <c r="A102" s="321"/>
      <c r="E102" s="326" t="s">
        <v>183</v>
      </c>
      <c r="F102" s="325" t="s">
        <v>166</v>
      </c>
    </row>
    <row r="103" spans="1:10" ht="13" x14ac:dyDescent="0.3">
      <c r="B103" s="351" t="s">
        <v>213</v>
      </c>
      <c r="E103" s="338">
        <f>E96+E97</f>
        <v>5.3927439169434502E-2</v>
      </c>
      <c r="F103" s="328" t="str">
        <f>"Sum of Lines "&amp;B96&amp;" to "&amp;B97&amp;""</f>
        <v>Sum of Lines h to i</v>
      </c>
    </row>
    <row r="104" spans="1:10" ht="13" x14ac:dyDescent="0.3">
      <c r="A104" s="321"/>
      <c r="E104" s="338"/>
      <c r="F104" s="328"/>
    </row>
    <row r="105" spans="1:10" ht="13" x14ac:dyDescent="0.3">
      <c r="A105" s="321"/>
      <c r="B105" s="329" t="s">
        <v>87</v>
      </c>
      <c r="E105" s="361"/>
      <c r="F105" s="361"/>
      <c r="G105" s="361"/>
      <c r="H105" s="328"/>
    </row>
    <row r="106" spans="1:10" ht="13" x14ac:dyDescent="0.3">
      <c r="A106" s="321"/>
      <c r="B106" s="329" t="s">
        <v>214</v>
      </c>
    </row>
    <row r="107" spans="1:10" ht="13" x14ac:dyDescent="0.3">
      <c r="A107" s="321"/>
      <c r="B107" s="329" t="s">
        <v>215</v>
      </c>
      <c r="D107" s="321"/>
      <c r="E107" s="321"/>
      <c r="F107" s="321"/>
      <c r="G107" s="321"/>
      <c r="H107" s="321"/>
    </row>
    <row r="108" spans="1:10" ht="13" x14ac:dyDescent="0.3">
      <c r="A108" s="321"/>
      <c r="B108" s="327"/>
      <c r="D108" s="321"/>
      <c r="E108" s="321"/>
      <c r="F108" s="321"/>
      <c r="G108" s="321"/>
      <c r="H108" s="321"/>
    </row>
    <row r="109" spans="1:10" ht="13" x14ac:dyDescent="0.3">
      <c r="A109" s="321"/>
      <c r="C109" s="44"/>
      <c r="D109" s="44"/>
      <c r="E109" s="326"/>
      <c r="F109" s="326"/>
      <c r="G109" s="326"/>
      <c r="H109" s="326"/>
    </row>
    <row r="110" spans="1:10" ht="13" x14ac:dyDescent="0.3">
      <c r="A110" s="321"/>
    </row>
    <row r="111" spans="1:10" ht="13" x14ac:dyDescent="0.3">
      <c r="A111" s="321"/>
    </row>
    <row r="112" spans="1:10" ht="13" x14ac:dyDescent="0.3">
      <c r="A112" s="321"/>
    </row>
    <row r="113" spans="1:10" ht="13" x14ac:dyDescent="0.3">
      <c r="A113" s="321"/>
      <c r="C113" s="45"/>
      <c r="E113" s="328"/>
      <c r="F113" s="328"/>
      <c r="H113" s="328"/>
      <c r="J113" s="362"/>
    </row>
    <row r="114" spans="1:10" ht="13" x14ac:dyDescent="0.3">
      <c r="A114" s="321"/>
      <c r="C114" s="45"/>
      <c r="E114" s="328"/>
      <c r="F114" s="328"/>
      <c r="H114" s="328"/>
      <c r="J114" s="362"/>
    </row>
    <row r="115" spans="1:10" ht="13" x14ac:dyDescent="0.3">
      <c r="A115" s="323"/>
      <c r="C115" s="45"/>
      <c r="E115" s="328"/>
      <c r="F115" s="328"/>
      <c r="H115" s="328"/>
      <c r="J115" s="362"/>
    </row>
    <row r="116" spans="1:10" ht="13" x14ac:dyDescent="0.3">
      <c r="A116" s="321"/>
      <c r="D116" s="49"/>
      <c r="E116" s="328"/>
      <c r="F116" s="328"/>
      <c r="G116" s="329"/>
      <c r="H116" s="328"/>
      <c r="J116" s="362"/>
    </row>
    <row r="117" spans="1:10" ht="13" x14ac:dyDescent="0.3">
      <c r="A117" s="321"/>
      <c r="C117" s="45"/>
      <c r="D117" s="341"/>
      <c r="E117" s="335"/>
      <c r="F117" s="328"/>
      <c r="G117" s="329"/>
      <c r="H117" s="328"/>
      <c r="J117" s="362"/>
    </row>
    <row r="118" spans="1:10" ht="13" x14ac:dyDescent="0.3">
      <c r="A118" s="321"/>
      <c r="C118" s="45"/>
      <c r="D118" s="341"/>
      <c r="E118" s="328"/>
      <c r="F118" s="328"/>
      <c r="G118" s="329"/>
      <c r="H118" s="328"/>
      <c r="J118" s="362"/>
    </row>
    <row r="119" spans="1:10" ht="13" x14ac:dyDescent="0.3">
      <c r="A119" s="321"/>
    </row>
    <row r="120" spans="1:10" ht="13" x14ac:dyDescent="0.3">
      <c r="A120" s="321"/>
      <c r="B120" s="318"/>
    </row>
    <row r="121" spans="1:10" ht="13" x14ac:dyDescent="0.3">
      <c r="A121" s="321"/>
    </row>
    <row r="122" spans="1:10" ht="13" x14ac:dyDescent="0.3">
      <c r="A122" s="321"/>
    </row>
    <row r="123" spans="1:10" ht="13" x14ac:dyDescent="0.3">
      <c r="A123" s="321"/>
      <c r="F123" s="321"/>
    </row>
    <row r="124" spans="1:10" ht="13" x14ac:dyDescent="0.3">
      <c r="A124" s="321"/>
      <c r="F124" s="321"/>
    </row>
    <row r="125" spans="1:10" ht="13" x14ac:dyDescent="0.3">
      <c r="A125" s="321"/>
      <c r="D125" s="321"/>
      <c r="E125" s="321"/>
      <c r="F125" s="321"/>
      <c r="H125" s="321"/>
    </row>
    <row r="126" spans="1:10" ht="13" x14ac:dyDescent="0.3">
      <c r="A126" s="321"/>
      <c r="D126" s="321"/>
      <c r="E126" s="321"/>
      <c r="F126" s="321"/>
      <c r="G126" s="321"/>
      <c r="H126" s="351"/>
    </row>
    <row r="127" spans="1:10" ht="13" x14ac:dyDescent="0.3">
      <c r="A127" s="323"/>
      <c r="C127" s="44"/>
      <c r="D127" s="44"/>
      <c r="E127" s="326"/>
      <c r="F127" s="363"/>
      <c r="G127" s="326"/>
      <c r="H127" s="351"/>
    </row>
    <row r="128" spans="1:10" ht="13" x14ac:dyDescent="0.3">
      <c r="A128" s="321"/>
      <c r="C128" s="45"/>
      <c r="D128" s="51"/>
      <c r="E128" s="328"/>
      <c r="F128" s="328"/>
      <c r="G128" s="357"/>
      <c r="H128" s="328"/>
    </row>
    <row r="129" spans="1:8" ht="13" x14ac:dyDescent="0.3">
      <c r="A129" s="321"/>
      <c r="C129" s="45"/>
      <c r="D129" s="51"/>
      <c r="E129" s="328"/>
      <c r="F129" s="328"/>
      <c r="G129" s="357"/>
      <c r="H129" s="328"/>
    </row>
    <row r="130" spans="1:8" ht="13" x14ac:dyDescent="0.3">
      <c r="A130" s="321"/>
      <c r="C130" s="45"/>
      <c r="D130" s="51"/>
      <c r="E130" s="328"/>
      <c r="F130" s="328"/>
      <c r="G130" s="357"/>
      <c r="H130" s="328"/>
    </row>
    <row r="131" spans="1:8" ht="13" x14ac:dyDescent="0.3">
      <c r="A131" s="321"/>
      <c r="C131" s="45"/>
      <c r="D131" s="51"/>
      <c r="E131" s="328"/>
      <c r="F131" s="328"/>
      <c r="G131" s="357"/>
      <c r="H131" s="328"/>
    </row>
    <row r="132" spans="1:8" ht="13" x14ac:dyDescent="0.3">
      <c r="A132" s="321"/>
      <c r="C132" s="45"/>
      <c r="D132" s="51"/>
      <c r="E132" s="328"/>
      <c r="F132" s="328"/>
      <c r="G132" s="357"/>
      <c r="H132" s="328"/>
    </row>
    <row r="133" spans="1:8" ht="13" x14ac:dyDescent="0.3">
      <c r="A133" s="321"/>
      <c r="C133" s="45"/>
      <c r="D133" s="51"/>
      <c r="E133" s="328"/>
      <c r="F133" s="328"/>
      <c r="G133" s="357"/>
      <c r="H133" s="328"/>
    </row>
    <row r="134" spans="1:8" ht="13" x14ac:dyDescent="0.3">
      <c r="A134" s="321"/>
      <c r="C134" s="45"/>
      <c r="D134" s="51"/>
      <c r="E134" s="328"/>
      <c r="F134" s="328"/>
      <c r="G134" s="357"/>
      <c r="H134" s="328"/>
    </row>
    <row r="135" spans="1:8" ht="13" x14ac:dyDescent="0.3">
      <c r="A135" s="321"/>
      <c r="C135" s="45"/>
      <c r="D135" s="51"/>
      <c r="E135" s="328"/>
      <c r="F135" s="328"/>
      <c r="G135" s="357"/>
      <c r="H135" s="328"/>
    </row>
    <row r="136" spans="1:8" ht="13" x14ac:dyDescent="0.3">
      <c r="A136" s="321"/>
      <c r="C136" s="45"/>
      <c r="D136" s="51"/>
      <c r="E136" s="328"/>
      <c r="F136" s="328"/>
      <c r="G136" s="357"/>
      <c r="H136" s="328"/>
    </row>
    <row r="137" spans="1:8" ht="13" x14ac:dyDescent="0.3">
      <c r="A137" s="321"/>
      <c r="C137" s="45"/>
      <c r="D137" s="51"/>
      <c r="E137" s="328"/>
      <c r="F137" s="328"/>
      <c r="G137" s="357"/>
      <c r="H137" s="328"/>
    </row>
    <row r="138" spans="1:8" ht="13" x14ac:dyDescent="0.3">
      <c r="A138" s="321"/>
      <c r="C138" s="45"/>
      <c r="D138" s="51"/>
      <c r="E138" s="328"/>
      <c r="F138" s="328"/>
      <c r="G138" s="357"/>
      <c r="H138" s="328"/>
    </row>
    <row r="139" spans="1:8" ht="13" x14ac:dyDescent="0.3">
      <c r="A139" s="321"/>
      <c r="C139" s="45"/>
      <c r="D139" s="51"/>
      <c r="E139" s="328"/>
      <c r="F139" s="328"/>
      <c r="G139" s="357"/>
      <c r="H139" s="335"/>
    </row>
    <row r="140" spans="1:8" ht="13" x14ac:dyDescent="0.3">
      <c r="A140" s="321"/>
      <c r="H140" s="328"/>
    </row>
    <row r="141" spans="1:8" ht="13" x14ac:dyDescent="0.3">
      <c r="A141" s="321"/>
      <c r="C141" s="45"/>
      <c r="D141" s="51"/>
      <c r="F141" s="364"/>
      <c r="G141" s="357"/>
      <c r="H141" s="364"/>
    </row>
    <row r="142" spans="1:8" ht="13" x14ac:dyDescent="0.3">
      <c r="A142" s="321"/>
      <c r="B142" s="318"/>
      <c r="C142" s="45"/>
      <c r="D142" s="51"/>
      <c r="F142" s="364"/>
      <c r="G142" s="357"/>
      <c r="H142" s="364"/>
    </row>
    <row r="143" spans="1:8" ht="13" x14ac:dyDescent="0.3">
      <c r="A143" s="323"/>
      <c r="B143" s="318"/>
      <c r="C143" s="45"/>
      <c r="D143" s="51"/>
      <c r="F143" s="364"/>
      <c r="G143" s="357"/>
      <c r="H143" s="364"/>
    </row>
    <row r="144" spans="1:8" ht="13" x14ac:dyDescent="0.3">
      <c r="A144" s="321"/>
      <c r="C144" s="45"/>
      <c r="D144" s="52"/>
      <c r="E144" s="328"/>
      <c r="F144" s="365"/>
      <c r="G144" s="357"/>
      <c r="H144" s="364"/>
    </row>
    <row r="145" spans="1:8" ht="13" x14ac:dyDescent="0.3">
      <c r="A145" s="321"/>
      <c r="C145" s="45"/>
      <c r="D145" s="345"/>
      <c r="E145" s="328"/>
      <c r="F145" s="365"/>
      <c r="G145" s="357"/>
      <c r="H145" s="364"/>
    </row>
    <row r="146" spans="1:8" ht="13" x14ac:dyDescent="0.3">
      <c r="A146" s="321"/>
      <c r="C146" s="45"/>
      <c r="D146" s="345"/>
      <c r="E146" s="335"/>
      <c r="F146" s="365"/>
      <c r="G146" s="357"/>
      <c r="H146" s="364"/>
    </row>
    <row r="147" spans="1:8" ht="13" x14ac:dyDescent="0.3">
      <c r="A147" s="321"/>
      <c r="C147" s="45"/>
      <c r="D147" s="52"/>
      <c r="E147" s="328"/>
      <c r="F147" s="364"/>
      <c r="G147" s="357"/>
      <c r="H147" s="364"/>
    </row>
    <row r="148" spans="1:8" ht="13" x14ac:dyDescent="0.3">
      <c r="A148" s="321"/>
      <c r="C148" s="45"/>
      <c r="D148" s="51"/>
      <c r="F148" s="364"/>
      <c r="G148" s="357"/>
      <c r="H148" s="364"/>
    </row>
    <row r="149" spans="1:8" ht="13" x14ac:dyDescent="0.3">
      <c r="A149" s="321"/>
    </row>
    <row r="150" spans="1:8" ht="13" x14ac:dyDescent="0.3">
      <c r="A150" s="321"/>
    </row>
    <row r="151" spans="1:8" ht="13" x14ac:dyDescent="0.3">
      <c r="A151" s="321"/>
    </row>
    <row r="152" spans="1:8" ht="13" x14ac:dyDescent="0.3">
      <c r="A152" s="321"/>
      <c r="B152" s="318"/>
    </row>
    <row r="153" spans="1:8" ht="13" x14ac:dyDescent="0.3">
      <c r="A153" s="321"/>
      <c r="B153" s="329"/>
    </row>
    <row r="154" spans="1:8" ht="13" x14ac:dyDescent="0.3">
      <c r="A154" s="321"/>
      <c r="B154" s="329"/>
    </row>
    <row r="155" spans="1:8" ht="13" x14ac:dyDescent="0.3">
      <c r="A155" s="321"/>
      <c r="B155" s="329"/>
    </row>
    <row r="156" spans="1:8" ht="13" x14ac:dyDescent="0.3">
      <c r="A156" s="321"/>
    </row>
    <row r="157" spans="1:8" ht="13" x14ac:dyDescent="0.3">
      <c r="A157" s="321"/>
      <c r="B157" s="318"/>
    </row>
    <row r="158" spans="1:8" ht="13" x14ac:dyDescent="0.3">
      <c r="A158" s="321"/>
    </row>
    <row r="159" spans="1:8" ht="13" x14ac:dyDescent="0.3">
      <c r="A159" s="323"/>
      <c r="C159" s="44"/>
      <c r="D159" s="326"/>
    </row>
    <row r="160" spans="1:8" ht="13" x14ac:dyDescent="0.3">
      <c r="A160" s="321"/>
      <c r="C160" s="45"/>
      <c r="D160" s="366"/>
      <c r="F160" s="338"/>
    </row>
    <row r="161" spans="1:6" ht="13" x14ac:dyDescent="0.3">
      <c r="A161" s="321"/>
      <c r="C161" s="45"/>
      <c r="D161" s="366"/>
      <c r="F161" s="338"/>
    </row>
    <row r="162" spans="1:6" ht="13" x14ac:dyDescent="0.3">
      <c r="A162" s="321"/>
      <c r="C162" s="45"/>
      <c r="D162" s="366"/>
      <c r="F162" s="338"/>
    </row>
    <row r="163" spans="1:6" ht="13" x14ac:dyDescent="0.3">
      <c r="A163" s="321"/>
      <c r="C163" s="45"/>
      <c r="D163" s="366"/>
      <c r="F163" s="338"/>
    </row>
    <row r="164" spans="1:6" ht="13" x14ac:dyDescent="0.3">
      <c r="A164" s="321"/>
      <c r="C164" s="45"/>
      <c r="D164" s="366"/>
      <c r="F164" s="338"/>
    </row>
    <row r="165" spans="1:6" ht="13" x14ac:dyDescent="0.3">
      <c r="A165" s="321"/>
      <c r="C165" s="45"/>
      <c r="D165" s="366"/>
      <c r="F165" s="338"/>
    </row>
    <row r="166" spans="1:6" ht="13" x14ac:dyDescent="0.3">
      <c r="A166" s="321"/>
      <c r="C166" s="45"/>
      <c r="D166" s="366"/>
      <c r="F166" s="338"/>
    </row>
    <row r="167" spans="1:6" ht="13" x14ac:dyDescent="0.3">
      <c r="A167" s="321"/>
      <c r="C167" s="45"/>
      <c r="D167" s="366"/>
      <c r="F167" s="338"/>
    </row>
    <row r="168" spans="1:6" ht="13" x14ac:dyDescent="0.3">
      <c r="A168" s="321"/>
      <c r="C168" s="45"/>
      <c r="D168" s="366"/>
      <c r="F168" s="338"/>
    </row>
    <row r="169" spans="1:6" ht="13" x14ac:dyDescent="0.3">
      <c r="A169" s="321"/>
      <c r="C169" s="45"/>
      <c r="D169" s="366"/>
      <c r="F169" s="338"/>
    </row>
    <row r="170" spans="1:6" ht="13" x14ac:dyDescent="0.3">
      <c r="A170" s="321"/>
      <c r="C170" s="45"/>
      <c r="D170" s="366"/>
      <c r="F170" s="338"/>
    </row>
    <row r="171" spans="1:6" ht="13" x14ac:dyDescent="0.3">
      <c r="A171" s="321"/>
      <c r="C171" s="45"/>
      <c r="D171" s="367"/>
      <c r="F171" s="350"/>
    </row>
    <row r="172" spans="1:6" ht="13" x14ac:dyDescent="0.3">
      <c r="A172" s="321"/>
      <c r="C172" s="49"/>
      <c r="D172" s="366"/>
    </row>
  </sheetData>
  <pageMargins left="0.75" right="0.75" top="1" bottom="1" header="0.5" footer="0.5"/>
  <pageSetup scale="78" orientation="landscape" cellComments="asDisplayed" r:id="rId1"/>
  <headerFooter alignWithMargins="0">
    <oddHeader xml:space="preserve">&amp;CSchedule 4
True Up TRR
(TO2018 EDIT Adj)&amp;RTO2021 Annual Update
Attachment 4
WP-Schedule 3-One Time Adjustment Transition
Page &amp;P of &amp;N
</oddHeader>
    <oddFooter>&amp;R&amp;A</oddFooter>
  </headerFooter>
  <rowBreaks count="4" manualBreakCount="4">
    <brk id="45" max="11" man="1"/>
    <brk id="73" max="16383" man="1"/>
    <brk id="119" max="9" man="1"/>
    <brk id="15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9825D-69E7-4AE3-83D9-E851DAC44878}">
  <sheetPr codeName="Sheet12">
    <tabColor rgb="FFCCFFCC"/>
  </sheetPr>
  <dimension ref="A1:L175"/>
  <sheetViews>
    <sheetView zoomScaleNormal="100" zoomScalePageLayoutView="85" workbookViewId="0"/>
  </sheetViews>
  <sheetFormatPr defaultRowHeight="12.5" x14ac:dyDescent="0.25"/>
  <cols>
    <col min="1" max="1" width="4.54296875" style="238" customWidth="1"/>
    <col min="2" max="6" width="8.7265625" style="238"/>
    <col min="7" max="7" width="6.54296875" style="238" customWidth="1"/>
    <col min="8" max="8" width="25.54296875" style="238" bestFit="1" customWidth="1"/>
    <col min="9" max="9" width="29.453125" style="238" customWidth="1"/>
    <col min="10" max="10" width="2.54296875" style="238" customWidth="1"/>
    <col min="11" max="11" width="17.54296875" style="238" customWidth="1"/>
    <col min="12" max="12" width="7.54296875" style="238" customWidth="1"/>
    <col min="13" max="16384" width="8.7265625" style="238"/>
  </cols>
  <sheetData>
    <row r="1" spans="1:11" ht="13" x14ac:dyDescent="0.3">
      <c r="A1" s="237" t="s">
        <v>216</v>
      </c>
    </row>
    <row r="2" spans="1:11" x14ac:dyDescent="0.25">
      <c r="I2" s="73" t="s">
        <v>217</v>
      </c>
      <c r="J2" s="73"/>
    </row>
    <row r="3" spans="1:11" ht="13" x14ac:dyDescent="0.3">
      <c r="A3" s="237" t="s">
        <v>218</v>
      </c>
    </row>
    <row r="4" spans="1:11" ht="13" x14ac:dyDescent="0.3">
      <c r="H4" s="242"/>
      <c r="I4" s="242" t="s">
        <v>103</v>
      </c>
      <c r="K4" s="271">
        <v>2019</v>
      </c>
    </row>
    <row r="5" spans="1:11" ht="13" x14ac:dyDescent="0.3">
      <c r="A5" s="243" t="s">
        <v>104</v>
      </c>
      <c r="H5" s="244" t="s">
        <v>107</v>
      </c>
      <c r="I5" s="244" t="s">
        <v>108</v>
      </c>
      <c r="K5" s="244" t="s">
        <v>219</v>
      </c>
    </row>
    <row r="7" spans="1:11" ht="13" x14ac:dyDescent="0.3">
      <c r="A7" s="272" t="s">
        <v>220</v>
      </c>
      <c r="B7" s="273"/>
      <c r="C7" s="273"/>
      <c r="D7" s="273"/>
      <c r="E7" s="273"/>
      <c r="F7" s="273"/>
      <c r="G7" s="273"/>
      <c r="H7" s="274"/>
      <c r="I7" s="274"/>
      <c r="J7" s="274"/>
      <c r="K7" s="274"/>
    </row>
    <row r="9" spans="1:11" ht="13" x14ac:dyDescent="0.3">
      <c r="A9" s="242">
        <v>1</v>
      </c>
      <c r="B9" s="264" t="s">
        <v>109</v>
      </c>
      <c r="I9" s="238" t="s">
        <v>768</v>
      </c>
      <c r="K9" s="247">
        <v>9285531120.7645969</v>
      </c>
    </row>
    <row r="10" spans="1:11" ht="13" x14ac:dyDescent="0.3">
      <c r="A10" s="242">
        <f>A9+1</f>
        <v>2</v>
      </c>
      <c r="B10" s="264" t="s">
        <v>221</v>
      </c>
      <c r="I10" s="238" t="s">
        <v>769</v>
      </c>
      <c r="K10" s="247">
        <v>295141395.33780432</v>
      </c>
    </row>
    <row r="11" spans="1:11" ht="13" x14ac:dyDescent="0.3">
      <c r="A11" s="242">
        <f>A10+1</f>
        <v>3</v>
      </c>
      <c r="B11" s="264" t="s">
        <v>113</v>
      </c>
      <c r="I11" s="238" t="s">
        <v>771</v>
      </c>
      <c r="K11" s="247">
        <v>9942155</v>
      </c>
    </row>
    <row r="12" spans="1:11" ht="13" x14ac:dyDescent="0.3">
      <c r="A12" s="242">
        <f>A11+1</f>
        <v>4</v>
      </c>
      <c r="B12" s="264" t="s">
        <v>114</v>
      </c>
      <c r="I12" s="238" t="s">
        <v>774</v>
      </c>
      <c r="K12" s="247">
        <v>0</v>
      </c>
    </row>
    <row r="13" spans="1:11" ht="13" x14ac:dyDescent="0.3">
      <c r="A13" s="242"/>
      <c r="B13" s="264"/>
      <c r="K13" s="247"/>
    </row>
    <row r="14" spans="1:11" ht="13" x14ac:dyDescent="0.3">
      <c r="A14" s="242"/>
      <c r="B14" s="265" t="s">
        <v>222</v>
      </c>
      <c r="K14" s="247"/>
    </row>
    <row r="15" spans="1:11" ht="13" x14ac:dyDescent="0.3">
      <c r="A15" s="242">
        <f>A12+1</f>
        <v>5</v>
      </c>
      <c r="B15" s="248" t="s">
        <v>116</v>
      </c>
      <c r="I15" s="238" t="s">
        <v>778</v>
      </c>
      <c r="K15" s="247">
        <v>23772508.986329257</v>
      </c>
    </row>
    <row r="16" spans="1:11" ht="13" x14ac:dyDescent="0.3">
      <c r="A16" s="242">
        <f>A15+1</f>
        <v>6</v>
      </c>
      <c r="B16" s="248" t="s">
        <v>117</v>
      </c>
      <c r="I16" s="238" t="s">
        <v>779</v>
      </c>
      <c r="K16" s="247">
        <v>14005541.534857571</v>
      </c>
    </row>
    <row r="17" spans="1:11" ht="13" x14ac:dyDescent="0.3">
      <c r="A17" s="242">
        <f>A16+1</f>
        <v>7</v>
      </c>
      <c r="B17" s="248" t="s">
        <v>118</v>
      </c>
      <c r="I17" s="238" t="str">
        <f>"(Line "&amp;A124&amp;" + Line "&amp;A125&amp;") / 8"</f>
        <v>(Line 66 + Line 67) / 8</v>
      </c>
      <c r="K17" s="266">
        <f>(K124+K125)/8</f>
        <v>24344015.645957366</v>
      </c>
    </row>
    <row r="18" spans="1:11" ht="13" x14ac:dyDescent="0.3">
      <c r="A18" s="242">
        <f>A17+1</f>
        <v>8</v>
      </c>
      <c r="B18" s="248" t="s">
        <v>120</v>
      </c>
      <c r="I18" s="238" t="str">
        <f>"Line "&amp;A15&amp;" + Line "&amp;A16&amp;" + Line "&amp;A17&amp;""</f>
        <v>Line 5 + Line 6 + Line 7</v>
      </c>
      <c r="K18" s="246">
        <f>SUM(K15:K17)</f>
        <v>62122066.167144194</v>
      </c>
    </row>
    <row r="19" spans="1:11" ht="13" x14ac:dyDescent="0.3">
      <c r="A19" s="242"/>
      <c r="B19" s="248"/>
      <c r="K19" s="247"/>
    </row>
    <row r="20" spans="1:11" ht="13" x14ac:dyDescent="0.3">
      <c r="A20" s="242"/>
      <c r="B20" s="267" t="s">
        <v>223</v>
      </c>
      <c r="K20" s="247"/>
    </row>
    <row r="21" spans="1:11" ht="13" x14ac:dyDescent="0.3">
      <c r="A21" s="242">
        <f>A18+1</f>
        <v>9</v>
      </c>
      <c r="B21" s="248" t="s">
        <v>224</v>
      </c>
      <c r="H21" s="238" t="s">
        <v>123</v>
      </c>
      <c r="I21" s="238" t="s">
        <v>799</v>
      </c>
      <c r="K21" s="247">
        <v>-1910452318.1000457</v>
      </c>
    </row>
    <row r="22" spans="1:11" ht="13" x14ac:dyDescent="0.3">
      <c r="A22" s="242">
        <f>A21+1</f>
        <v>10</v>
      </c>
      <c r="B22" s="248" t="s">
        <v>225</v>
      </c>
      <c r="H22" s="238" t="s">
        <v>123</v>
      </c>
      <c r="I22" s="238" t="s">
        <v>800</v>
      </c>
      <c r="K22" s="247">
        <v>0</v>
      </c>
    </row>
    <row r="23" spans="1:11" ht="13" x14ac:dyDescent="0.3">
      <c r="A23" s="242">
        <f>A22+1</f>
        <v>11</v>
      </c>
      <c r="B23" s="248" t="s">
        <v>226</v>
      </c>
      <c r="C23" s="47"/>
      <c r="H23" s="238" t="s">
        <v>123</v>
      </c>
      <c r="I23" s="238" t="s">
        <v>801</v>
      </c>
      <c r="K23" s="250">
        <v>-105759955.80085519</v>
      </c>
    </row>
    <row r="24" spans="1:11" ht="13" x14ac:dyDescent="0.3">
      <c r="A24" s="242">
        <f>A23+1</f>
        <v>12</v>
      </c>
      <c r="B24" s="46" t="s">
        <v>126</v>
      </c>
      <c r="C24" s="47"/>
      <c r="I24" s="238" t="str">
        <f>"Line "&amp;A21&amp;" + Line "&amp;A22&amp;" + Line "&amp;A23&amp;""</f>
        <v>Line 9 + Line 10 + Line 11</v>
      </c>
      <c r="K24" s="247">
        <f>SUM(K21:K23)</f>
        <v>-2016212273.9009008</v>
      </c>
    </row>
    <row r="25" spans="1:11" x14ac:dyDescent="0.25">
      <c r="K25" s="247"/>
    </row>
    <row r="26" spans="1:11" ht="13" x14ac:dyDescent="0.3">
      <c r="A26" s="242">
        <f>A24+1</f>
        <v>13</v>
      </c>
      <c r="B26" s="264" t="s">
        <v>127</v>
      </c>
      <c r="H26" s="238" t="s">
        <v>123</v>
      </c>
      <c r="I26" s="238" t="s">
        <v>803</v>
      </c>
      <c r="K26" s="247">
        <v>-1621347526.6225657</v>
      </c>
    </row>
    <row r="27" spans="1:11" ht="13" x14ac:dyDescent="0.3">
      <c r="A27" s="242"/>
      <c r="B27" s="264"/>
    </row>
    <row r="28" spans="1:11" ht="13" x14ac:dyDescent="0.3">
      <c r="A28" s="242">
        <f>A26+1</f>
        <v>14</v>
      </c>
      <c r="B28" s="264" t="s">
        <v>128</v>
      </c>
      <c r="I28" s="238" t="s">
        <v>805</v>
      </c>
      <c r="K28" s="246">
        <v>647763205.16651607</v>
      </c>
    </row>
    <row r="29" spans="1:11" ht="13" x14ac:dyDescent="0.3">
      <c r="A29" s="242"/>
      <c r="B29" s="264"/>
      <c r="K29" s="247"/>
    </row>
    <row r="30" spans="1:11" ht="13" x14ac:dyDescent="0.3">
      <c r="A30" s="242">
        <f>A28+1</f>
        <v>15</v>
      </c>
      <c r="B30" s="264" t="s">
        <v>131</v>
      </c>
      <c r="I30" s="238" t="s">
        <v>812</v>
      </c>
      <c r="K30" s="247">
        <v>0</v>
      </c>
    </row>
    <row r="31" spans="1:11" ht="13" x14ac:dyDescent="0.3">
      <c r="A31" s="242">
        <f>A30+1</f>
        <v>16</v>
      </c>
      <c r="B31" s="264" t="s">
        <v>130</v>
      </c>
      <c r="I31" s="238" t="s">
        <v>810</v>
      </c>
      <c r="K31" s="247">
        <v>-197804839.17250916</v>
      </c>
    </row>
    <row r="32" spans="1:11" ht="13" x14ac:dyDescent="0.3">
      <c r="A32" s="242">
        <f>A31+1</f>
        <v>17</v>
      </c>
      <c r="B32" s="264" t="s">
        <v>129</v>
      </c>
      <c r="H32" s="238" t="s">
        <v>123</v>
      </c>
      <c r="I32" s="238" t="s">
        <v>807</v>
      </c>
      <c r="K32" s="247">
        <v>-36762569.307422847</v>
      </c>
    </row>
    <row r="33" spans="1:11" ht="13" x14ac:dyDescent="0.3">
      <c r="A33" s="242"/>
      <c r="B33" s="264"/>
    </row>
    <row r="34" spans="1:11" ht="13" x14ac:dyDescent="0.3">
      <c r="A34" s="242">
        <f>A32+1</f>
        <v>18</v>
      </c>
      <c r="B34" s="238" t="s">
        <v>132</v>
      </c>
      <c r="I34" s="238" t="str">
        <f>"L"&amp;A9&amp;" + L"&amp;A10&amp;" + L"&amp;A11&amp;" + L"&amp;A12&amp;" + L"&amp;A18&amp;" + L"&amp;A24&amp;" +"</f>
        <v>L1 + L2 + L3 + L4 + L8 + L12 +</v>
      </c>
      <c r="K34" s="246">
        <f>K9+K10+K11+K12+K18+K24+K26+K28+K30+K31+K32</f>
        <v>6428372733.4326649</v>
      </c>
    </row>
    <row r="35" spans="1:11" ht="13" x14ac:dyDescent="0.3">
      <c r="A35" s="242"/>
      <c r="I35" s="264" t="str">
        <f>"L"&amp;A26&amp;" + L"&amp;A28&amp;"+ L"&amp;A30&amp;"+ L"&amp;A31&amp;" + L"&amp;A32&amp;""</f>
        <v>L13 + L14+ L15+ L16 + L17</v>
      </c>
      <c r="K35" s="247"/>
    </row>
    <row r="37" spans="1:11" ht="13" x14ac:dyDescent="0.3">
      <c r="A37" s="272" t="s">
        <v>227</v>
      </c>
      <c r="B37" s="273"/>
      <c r="C37" s="273"/>
      <c r="D37" s="273"/>
      <c r="E37" s="273"/>
      <c r="F37" s="273"/>
      <c r="G37" s="273"/>
      <c r="H37" s="274"/>
      <c r="I37" s="274"/>
      <c r="J37" s="274"/>
      <c r="K37" s="274"/>
    </row>
    <row r="39" spans="1:11" ht="13" x14ac:dyDescent="0.3">
      <c r="A39" s="242">
        <f>A34+1</f>
        <v>19</v>
      </c>
      <c r="B39" s="238" t="s">
        <v>228</v>
      </c>
      <c r="H39" s="73" t="s">
        <v>229</v>
      </c>
      <c r="I39" s="238" t="s">
        <v>230</v>
      </c>
      <c r="K39" s="245">
        <v>329452981</v>
      </c>
    </row>
    <row r="40" spans="1:11" ht="13" x14ac:dyDescent="0.3">
      <c r="A40" s="242">
        <f>A39+1</f>
        <v>20</v>
      </c>
      <c r="B40" s="248" t="s">
        <v>231</v>
      </c>
      <c r="I40" s="238" t="s">
        <v>552</v>
      </c>
      <c r="K40" s="253">
        <v>0.18668153702052509</v>
      </c>
    </row>
    <row r="41" spans="1:11" ht="13" x14ac:dyDescent="0.3">
      <c r="A41" s="242">
        <f>A40+1</f>
        <v>21</v>
      </c>
      <c r="B41" s="238" t="s">
        <v>232</v>
      </c>
      <c r="I41" s="238" t="str">
        <f>"Line "&amp;A39&amp;" * Line "&amp;A40&amp;""</f>
        <v>Line 19 * Line 20</v>
      </c>
      <c r="K41" s="247">
        <f>K39*K40</f>
        <v>61502788.869073845</v>
      </c>
    </row>
    <row r="42" spans="1:11" ht="13" x14ac:dyDescent="0.3">
      <c r="A42" s="242" t="s">
        <v>233</v>
      </c>
      <c r="K42" s="253"/>
    </row>
    <row r="43" spans="1:11" ht="13" x14ac:dyDescent="0.3">
      <c r="A43" s="242">
        <f>A41+1</f>
        <v>22</v>
      </c>
      <c r="B43" s="238" t="s">
        <v>234</v>
      </c>
      <c r="K43" s="253"/>
    </row>
    <row r="44" spans="1:11" ht="13" x14ac:dyDescent="0.3">
      <c r="A44" s="242">
        <f t="shared" ref="A44:A56" si="0">A43+1</f>
        <v>23</v>
      </c>
      <c r="B44" s="248" t="s">
        <v>235</v>
      </c>
      <c r="E44" s="237"/>
      <c r="F44" s="237"/>
      <c r="G44" s="237"/>
      <c r="I44" s="238" t="str">
        <f>"Line "&amp;A45&amp;" + Line "&amp;A46&amp;"+ Line "&amp;A47&amp;""</f>
        <v>Line 24 + Line 25+ Line 26</v>
      </c>
      <c r="K44" s="247">
        <f>SUM(K45:K47)</f>
        <v>117647986</v>
      </c>
    </row>
    <row r="45" spans="1:11" ht="13" x14ac:dyDescent="0.3">
      <c r="A45" s="242">
        <f t="shared" si="0"/>
        <v>24</v>
      </c>
      <c r="B45" s="262" t="s">
        <v>236</v>
      </c>
      <c r="E45" s="237"/>
      <c r="F45" s="237"/>
      <c r="G45" s="237"/>
      <c r="H45" s="73" t="s">
        <v>237</v>
      </c>
      <c r="I45" s="238" t="s">
        <v>230</v>
      </c>
      <c r="K45" s="245">
        <v>116228864</v>
      </c>
    </row>
    <row r="46" spans="1:11" ht="13" x14ac:dyDescent="0.3">
      <c r="A46" s="242">
        <f t="shared" si="0"/>
        <v>25</v>
      </c>
      <c r="B46" s="262" t="s">
        <v>238</v>
      </c>
      <c r="E46" s="237"/>
      <c r="F46" s="237"/>
      <c r="G46" s="237"/>
      <c r="H46" s="73" t="s">
        <v>239</v>
      </c>
      <c r="I46" s="238" t="s">
        <v>230</v>
      </c>
      <c r="K46" s="245">
        <v>1175852</v>
      </c>
    </row>
    <row r="47" spans="1:11" ht="13" x14ac:dyDescent="0.3">
      <c r="A47" s="242">
        <f t="shared" si="0"/>
        <v>26</v>
      </c>
      <c r="B47" s="262" t="s">
        <v>240</v>
      </c>
      <c r="E47" s="237"/>
      <c r="F47" s="237"/>
      <c r="G47" s="237"/>
      <c r="H47" s="73" t="s">
        <v>241</v>
      </c>
      <c r="I47" s="238" t="s">
        <v>230</v>
      </c>
      <c r="K47" s="245">
        <v>243270</v>
      </c>
    </row>
    <row r="48" spans="1:11" ht="13" x14ac:dyDescent="0.3">
      <c r="A48" s="242">
        <f t="shared" si="0"/>
        <v>27</v>
      </c>
      <c r="B48" s="248" t="s">
        <v>242</v>
      </c>
      <c r="H48" s="73" t="s">
        <v>243</v>
      </c>
      <c r="I48" s="238" t="s">
        <v>230</v>
      </c>
      <c r="K48" s="245">
        <v>5948364</v>
      </c>
    </row>
    <row r="49" spans="1:11" ht="13" x14ac:dyDescent="0.3">
      <c r="A49" s="242">
        <f t="shared" si="0"/>
        <v>28</v>
      </c>
      <c r="B49" s="248" t="s">
        <v>244</v>
      </c>
      <c r="H49" s="73" t="s">
        <v>245</v>
      </c>
      <c r="I49" s="238" t="s">
        <v>230</v>
      </c>
      <c r="K49" s="245">
        <v>1718978</v>
      </c>
    </row>
    <row r="50" spans="1:11" ht="13" x14ac:dyDescent="0.3">
      <c r="A50" s="242">
        <f t="shared" si="0"/>
        <v>29</v>
      </c>
      <c r="B50" s="248" t="s">
        <v>246</v>
      </c>
      <c r="H50" s="73" t="s">
        <v>247</v>
      </c>
      <c r="I50" s="238" t="s">
        <v>230</v>
      </c>
      <c r="K50" s="245">
        <v>1879323</v>
      </c>
    </row>
    <row r="51" spans="1:11" ht="13" x14ac:dyDescent="0.3">
      <c r="A51" s="242">
        <f t="shared" si="0"/>
        <v>30</v>
      </c>
      <c r="B51" s="248" t="s">
        <v>248</v>
      </c>
      <c r="H51" s="73" t="s">
        <v>249</v>
      </c>
      <c r="I51" s="238" t="s">
        <v>230</v>
      </c>
      <c r="K51" s="245">
        <v>39927</v>
      </c>
    </row>
    <row r="52" spans="1:11" ht="13" x14ac:dyDescent="0.3">
      <c r="A52" s="242">
        <f t="shared" si="0"/>
        <v>31</v>
      </c>
      <c r="B52" s="238" t="s">
        <v>250</v>
      </c>
      <c r="I52" s="238" t="str">
        <f>"Line "&amp;A44&amp;" + (Line "&amp;A48&amp;" to Line "&amp;A51&amp;")"</f>
        <v>Line 23 + (Line 27 to Line 30)</v>
      </c>
      <c r="K52" s="247">
        <f>K44+K48+K49+K50+K51</f>
        <v>127234578</v>
      </c>
    </row>
    <row r="53" spans="1:11" ht="13" x14ac:dyDescent="0.3">
      <c r="A53" s="242">
        <f t="shared" si="0"/>
        <v>32</v>
      </c>
      <c r="B53" s="238" t="s">
        <v>251</v>
      </c>
      <c r="I53" s="238" t="s">
        <v>819</v>
      </c>
      <c r="K53" s="275">
        <v>57891732.990000002</v>
      </c>
    </row>
    <row r="54" spans="1:11" ht="13" x14ac:dyDescent="0.3">
      <c r="A54" s="242">
        <f t="shared" si="0"/>
        <v>33</v>
      </c>
      <c r="B54" s="238" t="s">
        <v>252</v>
      </c>
      <c r="I54" s="238" t="str">
        <f>"Line "&amp;A52&amp;" - Line "&amp;A53&amp;""</f>
        <v>Line 31 - Line 32</v>
      </c>
      <c r="K54" s="247">
        <f>K52-K53</f>
        <v>69342845.00999999</v>
      </c>
    </row>
    <row r="55" spans="1:11" ht="13" x14ac:dyDescent="0.3">
      <c r="A55" s="242">
        <f t="shared" si="0"/>
        <v>34</v>
      </c>
      <c r="B55" s="248" t="s">
        <v>253</v>
      </c>
      <c r="I55" s="238" t="s">
        <v>549</v>
      </c>
      <c r="K55" s="253">
        <v>6.5693761162178274E-2</v>
      </c>
    </row>
    <row r="56" spans="1:11" ht="13" x14ac:dyDescent="0.3">
      <c r="A56" s="242">
        <f t="shared" si="0"/>
        <v>35</v>
      </c>
      <c r="B56" s="264" t="s">
        <v>234</v>
      </c>
      <c r="I56" s="238" t="str">
        <f>"Line "&amp;A54&amp;" * Line "&amp;A55&amp;""</f>
        <v>Line 33 * Line 34</v>
      </c>
      <c r="K56" s="247">
        <f>K54*K55</f>
        <v>4555392.2983928854</v>
      </c>
    </row>
    <row r="57" spans="1:11" ht="13" x14ac:dyDescent="0.3">
      <c r="A57" s="242"/>
      <c r="K57" s="247"/>
    </row>
    <row r="58" spans="1:11" ht="13" x14ac:dyDescent="0.3">
      <c r="A58" s="242">
        <f>A56+1</f>
        <v>36</v>
      </c>
      <c r="B58" s="238" t="s">
        <v>152</v>
      </c>
      <c r="H58" s="238" t="s">
        <v>254</v>
      </c>
      <c r="I58" s="238" t="str">
        <f>"Line "&amp;A41&amp;" + Line "&amp;A56&amp;""</f>
        <v>Line 21 + Line 35</v>
      </c>
      <c r="K58" s="247">
        <f>K41+K56</f>
        <v>66058181.16746673</v>
      </c>
    </row>
    <row r="60" spans="1:11" ht="13" x14ac:dyDescent="0.3">
      <c r="A60" s="272" t="s">
        <v>255</v>
      </c>
      <c r="B60" s="273"/>
      <c r="C60" s="273"/>
      <c r="D60" s="273"/>
      <c r="E60" s="273"/>
      <c r="F60" s="273"/>
      <c r="G60" s="273"/>
      <c r="H60" s="274"/>
      <c r="I60" s="274"/>
      <c r="J60" s="274"/>
      <c r="K60" s="274"/>
    </row>
    <row r="61" spans="1:11" ht="13" x14ac:dyDescent="0.3">
      <c r="A61" s="237"/>
    </row>
    <row r="62" spans="1:11" x14ac:dyDescent="0.25">
      <c r="A62" s="240"/>
      <c r="B62" s="265" t="s">
        <v>256</v>
      </c>
    </row>
    <row r="63" spans="1:11" ht="13" x14ac:dyDescent="0.3">
      <c r="A63" s="242">
        <f>A58+1</f>
        <v>37</v>
      </c>
      <c r="B63" s="238" t="s">
        <v>257</v>
      </c>
      <c r="I63" s="238" t="s">
        <v>258</v>
      </c>
      <c r="K63" s="247">
        <v>14367696054.330769</v>
      </c>
    </row>
    <row r="64" spans="1:11" ht="13" x14ac:dyDescent="0.3">
      <c r="A64" s="242">
        <f>A63+1</f>
        <v>38</v>
      </c>
      <c r="B64" s="238" t="s">
        <v>259</v>
      </c>
      <c r="I64" s="238" t="s">
        <v>260</v>
      </c>
      <c r="K64" s="247">
        <v>655538361</v>
      </c>
    </row>
    <row r="65" spans="1:11" ht="13" x14ac:dyDescent="0.3">
      <c r="A65" s="242">
        <f>A64+1</f>
        <v>39</v>
      </c>
      <c r="B65" s="238" t="s">
        <v>261</v>
      </c>
      <c r="I65" s="238" t="s">
        <v>262</v>
      </c>
      <c r="K65" s="253">
        <v>4.5625851112183362E-2</v>
      </c>
    </row>
    <row r="66" spans="1:11" ht="13" x14ac:dyDescent="0.3">
      <c r="A66" s="242"/>
      <c r="K66" s="253"/>
    </row>
    <row r="67" spans="1:11" ht="13" x14ac:dyDescent="0.3">
      <c r="A67" s="242"/>
      <c r="B67" s="265" t="s">
        <v>263</v>
      </c>
      <c r="K67" s="276"/>
    </row>
    <row r="68" spans="1:11" ht="13" x14ac:dyDescent="0.3">
      <c r="A68" s="242">
        <f>A65+1</f>
        <v>40</v>
      </c>
      <c r="B68" s="238" t="s">
        <v>264</v>
      </c>
      <c r="I68" s="238" t="s">
        <v>265</v>
      </c>
      <c r="K68" s="247">
        <v>2192067551.2041321</v>
      </c>
    </row>
    <row r="69" spans="1:11" ht="13" x14ac:dyDescent="0.3">
      <c r="A69" s="242">
        <f>A68+1</f>
        <v>41</v>
      </c>
      <c r="B69" s="238" t="s">
        <v>266</v>
      </c>
      <c r="I69" s="238" t="s">
        <v>267</v>
      </c>
      <c r="K69" s="247">
        <v>125382686.05206428</v>
      </c>
    </row>
    <row r="70" spans="1:11" ht="13" x14ac:dyDescent="0.3">
      <c r="A70" s="242">
        <f>A69+1</f>
        <v>42</v>
      </c>
      <c r="B70" s="238" t="s">
        <v>268</v>
      </c>
      <c r="I70" s="238" t="s">
        <v>269</v>
      </c>
      <c r="K70" s="253">
        <v>5.719836780722834E-2</v>
      </c>
    </row>
    <row r="71" spans="1:11" ht="13" x14ac:dyDescent="0.3">
      <c r="A71" s="242"/>
      <c r="K71" s="253"/>
    </row>
    <row r="72" spans="1:11" ht="13" x14ac:dyDescent="0.3">
      <c r="A72" s="242"/>
      <c r="B72" s="265" t="s">
        <v>270</v>
      </c>
    </row>
    <row r="73" spans="1:11" ht="13" x14ac:dyDescent="0.3">
      <c r="A73" s="242">
        <f>A70+1</f>
        <v>43</v>
      </c>
      <c r="B73" s="238" t="s">
        <v>271</v>
      </c>
      <c r="I73" s="238" t="s">
        <v>822</v>
      </c>
      <c r="K73" s="246">
        <v>13505405076.650312</v>
      </c>
    </row>
    <row r="74" spans="1:11" ht="13" x14ac:dyDescent="0.3">
      <c r="A74" s="242"/>
      <c r="I74" s="277"/>
    </row>
    <row r="75" spans="1:11" ht="13" x14ac:dyDescent="0.3">
      <c r="A75" s="242">
        <f>A73+1</f>
        <v>44</v>
      </c>
      <c r="B75" s="238" t="s">
        <v>272</v>
      </c>
      <c r="I75" s="238" t="str">
        <f>"Line "&amp;A63&amp;" + Line "&amp;A68&amp;" + Line "&amp;A73&amp;""</f>
        <v>Line 37 + Line 40 + Line 43</v>
      </c>
      <c r="K75" s="246">
        <f>K63+K68+K73</f>
        <v>30065168682.185211</v>
      </c>
    </row>
    <row r="76" spans="1:11" ht="13" x14ac:dyDescent="0.3">
      <c r="A76" s="242"/>
      <c r="B76" s="248"/>
      <c r="K76" s="247"/>
    </row>
    <row r="77" spans="1:11" ht="13" x14ac:dyDescent="0.3">
      <c r="A77" s="242"/>
      <c r="B77" s="265" t="s">
        <v>273</v>
      </c>
    </row>
    <row r="78" spans="1:11" ht="13" x14ac:dyDescent="0.3">
      <c r="A78" s="242">
        <f>A75+1</f>
        <v>45</v>
      </c>
      <c r="B78" s="238" t="s">
        <v>274</v>
      </c>
      <c r="I78" s="238" t="str">
        <f>"Line "&amp;A63&amp;" / Line "&amp;A75&amp;""</f>
        <v>Line 37 / Line 44</v>
      </c>
      <c r="K78" s="309">
        <f>K63/K75</f>
        <v>0.47788509707727633</v>
      </c>
    </row>
    <row r="79" spans="1:11" ht="13" x14ac:dyDescent="0.3">
      <c r="A79" s="242">
        <f>A78+1</f>
        <v>46</v>
      </c>
      <c r="B79" s="238" t="s">
        <v>275</v>
      </c>
      <c r="I79" s="238" t="str">
        <f>"Line "&amp;A68&amp;" / Line "&amp;A75&amp;""</f>
        <v>Line 40 / Line 44</v>
      </c>
      <c r="K79" s="309">
        <f>K68/K75</f>
        <v>7.291053558941174E-2</v>
      </c>
    </row>
    <row r="80" spans="1:11" ht="13" x14ac:dyDescent="0.3">
      <c r="A80" s="242">
        <f>A79+1</f>
        <v>47</v>
      </c>
      <c r="B80" s="238" t="s">
        <v>276</v>
      </c>
      <c r="I80" s="238" t="str">
        <f>"Line "&amp;A73&amp;" / Line "&amp;A75&amp;""</f>
        <v>Line 43 / Line 44</v>
      </c>
      <c r="K80" s="310">
        <f>K73/K75</f>
        <v>0.44920436733331198</v>
      </c>
    </row>
    <row r="81" spans="1:12" ht="13" x14ac:dyDescent="0.3">
      <c r="A81" s="242"/>
      <c r="I81" s="238" t="str">
        <f>"Line "&amp;A78&amp;" + Line "&amp;A79&amp;"+ Line "&amp;A80&amp;""</f>
        <v>Line 45 + Line 46+ Line 47</v>
      </c>
      <c r="K81" s="253">
        <f>SUM(K78:K80)</f>
        <v>1</v>
      </c>
    </row>
    <row r="82" spans="1:12" ht="13" x14ac:dyDescent="0.3">
      <c r="A82" s="242"/>
      <c r="B82" s="265" t="s">
        <v>277</v>
      </c>
      <c r="K82" s="253"/>
    </row>
    <row r="83" spans="1:12" ht="13" x14ac:dyDescent="0.3">
      <c r="A83" s="242">
        <f>A80+1</f>
        <v>48</v>
      </c>
      <c r="B83" s="238" t="s">
        <v>261</v>
      </c>
      <c r="I83" s="238" t="str">
        <f>"Line "&amp;A65&amp;""</f>
        <v>Line 39</v>
      </c>
      <c r="K83" s="253">
        <f>K65</f>
        <v>4.5625851112183362E-2</v>
      </c>
    </row>
    <row r="84" spans="1:12" ht="13" x14ac:dyDescent="0.3">
      <c r="A84" s="242">
        <f>A83+1</f>
        <v>49</v>
      </c>
      <c r="B84" s="238" t="s">
        <v>268</v>
      </c>
      <c r="I84" s="238" t="str">
        <f>"Line "&amp;A70&amp;""</f>
        <v>Line 42</v>
      </c>
      <c r="K84" s="253">
        <f>K70</f>
        <v>5.719836780722834E-2</v>
      </c>
    </row>
    <row r="85" spans="1:12" ht="13" x14ac:dyDescent="0.3">
      <c r="A85" s="242">
        <f>A84+1</f>
        <v>50</v>
      </c>
      <c r="B85" s="238" t="s">
        <v>278</v>
      </c>
      <c r="H85" s="238" t="s">
        <v>279</v>
      </c>
      <c r="I85" s="238" t="s">
        <v>280</v>
      </c>
      <c r="K85" s="270">
        <v>0.112</v>
      </c>
      <c r="L85" s="278"/>
    </row>
    <row r="86" spans="1:12" ht="13" x14ac:dyDescent="0.3">
      <c r="A86" s="242"/>
      <c r="I86" s="279"/>
      <c r="K86" s="253"/>
    </row>
    <row r="87" spans="1:12" ht="13" x14ac:dyDescent="0.3">
      <c r="A87" s="242"/>
      <c r="B87" s="265" t="s">
        <v>281</v>
      </c>
    </row>
    <row r="88" spans="1:12" ht="13" x14ac:dyDescent="0.3">
      <c r="A88" s="242">
        <f>A85+1</f>
        <v>51</v>
      </c>
      <c r="B88" s="238" t="s">
        <v>282</v>
      </c>
      <c r="I88" s="238" t="str">
        <f>"Line "&amp;A65&amp;" * Line "&amp;A78&amp;""</f>
        <v>Line 39 * Line 45</v>
      </c>
      <c r="K88" s="309">
        <f>K65*K78</f>
        <v>2.1803914287979103E-2</v>
      </c>
    </row>
    <row r="89" spans="1:12" ht="13" x14ac:dyDescent="0.3">
      <c r="A89" s="242">
        <f>A88+1</f>
        <v>52</v>
      </c>
      <c r="B89" s="238" t="s">
        <v>283</v>
      </c>
      <c r="I89" s="238" t="str">
        <f>"Line "&amp;A70&amp;" * Line "&amp;A79&amp;""</f>
        <v>Line 42 * Line 46</v>
      </c>
      <c r="K89" s="309">
        <f>K70*K79</f>
        <v>4.1703636316651844E-3</v>
      </c>
    </row>
    <row r="90" spans="1:12" ht="13" x14ac:dyDescent="0.3">
      <c r="A90" s="242">
        <f>A89+1</f>
        <v>53</v>
      </c>
      <c r="B90" s="238" t="s">
        <v>284</v>
      </c>
      <c r="I90" s="238" t="str">
        <f>"Line "&amp;A80&amp;" * Line "&amp;A85&amp;""</f>
        <v>Line 47 * Line 50</v>
      </c>
      <c r="K90" s="310">
        <f>K80*K85</f>
        <v>5.0310889141330944E-2</v>
      </c>
    </row>
    <row r="91" spans="1:12" ht="13" x14ac:dyDescent="0.3">
      <c r="A91" s="242">
        <f>A90+1</f>
        <v>54</v>
      </c>
      <c r="B91" s="248" t="s">
        <v>134</v>
      </c>
      <c r="I91" s="238" t="str">
        <f>"Line "&amp;A88&amp;" + Line "&amp;A89&amp;" + Line "&amp;A90&amp;""</f>
        <v>Line 51 + Line 52 + Line 53</v>
      </c>
      <c r="K91" s="309">
        <f>SUM(K88:K90)</f>
        <v>7.628516706097524E-2</v>
      </c>
    </row>
    <row r="92" spans="1:12" ht="13" x14ac:dyDescent="0.3">
      <c r="A92" s="242"/>
      <c r="B92" s="248"/>
      <c r="K92" s="280"/>
    </row>
    <row r="93" spans="1:12" ht="13" x14ac:dyDescent="0.3">
      <c r="A93" s="242">
        <f>A91+1</f>
        <v>55</v>
      </c>
      <c r="B93" s="264" t="s">
        <v>285</v>
      </c>
      <c r="H93" s="238" t="s">
        <v>286</v>
      </c>
      <c r="I93" s="238" t="str">
        <f>"Line "&amp;A89&amp;" + Line "&amp;A90&amp;""</f>
        <v>Line 52 + Line 53</v>
      </c>
      <c r="K93" s="309">
        <f>K89+K90</f>
        <v>5.4481252772996126E-2</v>
      </c>
    </row>
    <row r="94" spans="1:12" ht="13" x14ac:dyDescent="0.3">
      <c r="A94" s="242"/>
      <c r="K94" s="280"/>
    </row>
    <row r="95" spans="1:12" ht="13" x14ac:dyDescent="0.3">
      <c r="A95" s="242">
        <f>A93+1</f>
        <v>56</v>
      </c>
      <c r="B95" s="238" t="s">
        <v>136</v>
      </c>
      <c r="I95" s="238" t="str">
        <f>"Line "&amp;A34&amp;" * Line "&amp;A91&amp;""</f>
        <v>Line 18 * Line 54</v>
      </c>
      <c r="K95" s="246">
        <f>K34*K91</f>
        <v>490389487.9001289</v>
      </c>
    </row>
    <row r="96" spans="1:12" x14ac:dyDescent="0.25">
      <c r="A96" s="240"/>
    </row>
    <row r="98" spans="1:11" ht="13" x14ac:dyDescent="0.3">
      <c r="A98" s="272" t="s">
        <v>287</v>
      </c>
      <c r="B98" s="273"/>
      <c r="C98" s="273"/>
      <c r="D98" s="273"/>
      <c r="E98" s="273"/>
      <c r="F98" s="273"/>
      <c r="G98" s="273"/>
      <c r="H98" s="274"/>
      <c r="I98" s="274"/>
      <c r="J98" s="274"/>
      <c r="K98" s="274"/>
    </row>
    <row r="100" spans="1:11" ht="13" x14ac:dyDescent="0.3">
      <c r="A100" s="242">
        <f>A95+1</f>
        <v>57</v>
      </c>
      <c r="B100" s="238" t="s">
        <v>288</v>
      </c>
      <c r="I100" s="238" t="s">
        <v>820</v>
      </c>
      <c r="K100" s="253">
        <v>0.21</v>
      </c>
    </row>
    <row r="101" spans="1:11" ht="13" x14ac:dyDescent="0.3">
      <c r="A101" s="242">
        <f>A100+1</f>
        <v>58</v>
      </c>
      <c r="B101" s="238" t="s">
        <v>289</v>
      </c>
      <c r="I101" s="238" t="s">
        <v>821</v>
      </c>
      <c r="K101" s="253">
        <v>8.8400000000000006E-2</v>
      </c>
    </row>
    <row r="102" spans="1:11" ht="13" x14ac:dyDescent="0.3">
      <c r="A102" s="242">
        <f>A101+1</f>
        <v>59</v>
      </c>
      <c r="B102" s="238" t="s">
        <v>290</v>
      </c>
      <c r="H102" s="281" t="s">
        <v>291</v>
      </c>
      <c r="I102" s="238" t="str">
        <f>"(L"&amp;A100&amp;" + L"&amp;A101&amp;") - (L"&amp;A100&amp;" * L"&amp;A101&amp;")"</f>
        <v>(L57 + L58) - (L57 * L58)</v>
      </c>
      <c r="K102" s="253">
        <f>(K100+K101)-(K100*K101)</f>
        <v>0.27983599999999997</v>
      </c>
    </row>
    <row r="103" spans="1:11" ht="13" x14ac:dyDescent="0.3">
      <c r="A103" s="242"/>
      <c r="K103" s="253"/>
    </row>
    <row r="104" spans="1:11" ht="13.5" thickBot="1" x14ac:dyDescent="0.35">
      <c r="A104" s="242"/>
      <c r="B104" s="265" t="s">
        <v>292</v>
      </c>
      <c r="K104" s="253"/>
    </row>
    <row r="105" spans="1:11" ht="13.5" thickBot="1" x14ac:dyDescent="0.35">
      <c r="A105" s="242">
        <f>A102+1</f>
        <v>60</v>
      </c>
      <c r="B105" s="264" t="s">
        <v>293</v>
      </c>
      <c r="H105" s="238" t="s">
        <v>294</v>
      </c>
      <c r="K105" s="255">
        <v>-15761285</v>
      </c>
    </row>
    <row r="106" spans="1:11" ht="13" x14ac:dyDescent="0.3">
      <c r="A106" s="242">
        <f>A105+1</f>
        <v>61</v>
      </c>
      <c r="B106" s="264" t="s">
        <v>295</v>
      </c>
      <c r="H106" s="238" t="s">
        <v>294</v>
      </c>
      <c r="K106" s="57">
        <v>-183000</v>
      </c>
    </row>
    <row r="107" spans="1:11" ht="13" x14ac:dyDescent="0.3">
      <c r="A107" s="242">
        <f>A106+1</f>
        <v>62</v>
      </c>
      <c r="B107" s="264" t="s">
        <v>296</v>
      </c>
      <c r="H107" s="238" t="s">
        <v>294</v>
      </c>
      <c r="K107" s="250">
        <v>2606000</v>
      </c>
    </row>
    <row r="108" spans="1:11" ht="13" x14ac:dyDescent="0.3">
      <c r="A108" s="242">
        <f>A107+1</f>
        <v>63</v>
      </c>
      <c r="B108" s="248" t="s">
        <v>297</v>
      </c>
      <c r="I108" s="238" t="str">
        <f>"Line "&amp;A105&amp;" + Line "&amp;A106&amp;"+ Line "&amp;A107&amp;""</f>
        <v>Line 60 + Line 61+ Line 62</v>
      </c>
      <c r="K108" s="247">
        <f>SUM(K105:K107)</f>
        <v>-13338285</v>
      </c>
    </row>
    <row r="109" spans="1:11" ht="13" x14ac:dyDescent="0.3">
      <c r="A109" s="282"/>
    </row>
    <row r="110" spans="1:11" ht="13" x14ac:dyDescent="0.3">
      <c r="A110" s="242">
        <f>A108+1</f>
        <v>64</v>
      </c>
      <c r="B110" s="238" t="s">
        <v>298</v>
      </c>
      <c r="I110" s="238" t="str">
        <f>"Formula on Line "&amp;A112&amp;""</f>
        <v>Formula on Line 65</v>
      </c>
      <c r="K110" s="246">
        <f>(((K34*K93) + K119)*(K102/(1-K102)))+(K108/(1-K102))</f>
        <v>119089060.19633025</v>
      </c>
    </row>
    <row r="111" spans="1:11" ht="13" x14ac:dyDescent="0.3">
      <c r="A111" s="242"/>
    </row>
    <row r="112" spans="1:11" ht="13" x14ac:dyDescent="0.3">
      <c r="A112" s="242">
        <f>A110+1</f>
        <v>65</v>
      </c>
      <c r="B112" s="238" t="s">
        <v>138</v>
      </c>
    </row>
    <row r="113" spans="1:11" x14ac:dyDescent="0.25">
      <c r="A113" s="240"/>
    </row>
    <row r="114" spans="1:11" x14ac:dyDescent="0.25">
      <c r="A114" s="240"/>
      <c r="C114" s="238" t="s">
        <v>139</v>
      </c>
    </row>
    <row r="115" spans="1:11" x14ac:dyDescent="0.25">
      <c r="A115" s="240"/>
      <c r="C115" s="248" t="s">
        <v>140</v>
      </c>
      <c r="I115" s="238" t="str">
        <f>"Line "&amp;A34&amp;""</f>
        <v>Line 18</v>
      </c>
    </row>
    <row r="116" spans="1:11" x14ac:dyDescent="0.25">
      <c r="A116" s="240"/>
      <c r="C116" s="248" t="s">
        <v>299</v>
      </c>
      <c r="I116" s="238" t="str">
        <f>"Line "&amp;A93&amp;""</f>
        <v>Line 55</v>
      </c>
    </row>
    <row r="117" spans="1:11" x14ac:dyDescent="0.25">
      <c r="A117" s="240"/>
      <c r="C117" s="248" t="s">
        <v>143</v>
      </c>
      <c r="I117" s="238" t="str">
        <f>"Line "&amp;A102&amp;""</f>
        <v>Line 59</v>
      </c>
    </row>
    <row r="118" spans="1:11" x14ac:dyDescent="0.25">
      <c r="A118" s="240"/>
      <c r="C118" s="248" t="s">
        <v>144</v>
      </c>
      <c r="I118" s="238" t="str">
        <f>"Line "&amp;A108&amp;""</f>
        <v>Line 63</v>
      </c>
    </row>
    <row r="119" spans="1:11" x14ac:dyDescent="0.25">
      <c r="A119" s="240"/>
      <c r="C119" s="248" t="s">
        <v>145</v>
      </c>
      <c r="I119" s="238" t="s">
        <v>300</v>
      </c>
      <c r="K119" s="57">
        <v>3917123</v>
      </c>
    </row>
    <row r="121" spans="1:11" ht="13" x14ac:dyDescent="0.3">
      <c r="A121" s="272" t="s">
        <v>301</v>
      </c>
      <c r="B121" s="273"/>
      <c r="C121" s="273"/>
      <c r="D121" s="273"/>
      <c r="E121" s="273"/>
      <c r="F121" s="273"/>
      <c r="G121" s="273"/>
      <c r="H121" s="274"/>
      <c r="I121" s="274"/>
      <c r="J121" s="274"/>
      <c r="K121" s="274"/>
    </row>
    <row r="123" spans="1:11" x14ac:dyDescent="0.25">
      <c r="B123" s="265" t="s">
        <v>302</v>
      </c>
    </row>
    <row r="124" spans="1:11" ht="13" x14ac:dyDescent="0.3">
      <c r="A124" s="242">
        <f>A112+1</f>
        <v>66</v>
      </c>
      <c r="B124" s="238" t="s">
        <v>147</v>
      </c>
      <c r="H124" s="248"/>
      <c r="I124" s="238" t="s">
        <v>823</v>
      </c>
      <c r="K124" s="247">
        <v>112781173.69267865</v>
      </c>
    </row>
    <row r="125" spans="1:11" ht="13" x14ac:dyDescent="0.3">
      <c r="A125" s="242">
        <f t="shared" ref="A125:A140" si="1">A124+1</f>
        <v>67</v>
      </c>
      <c r="B125" s="238" t="s">
        <v>148</v>
      </c>
      <c r="H125" s="248"/>
      <c r="I125" s="238" t="s">
        <v>824</v>
      </c>
      <c r="K125" s="246">
        <v>81970951.47498028</v>
      </c>
    </row>
    <row r="126" spans="1:11" ht="13" x14ac:dyDescent="0.3">
      <c r="A126" s="242">
        <f t="shared" si="1"/>
        <v>68</v>
      </c>
      <c r="B126" s="238" t="s">
        <v>149</v>
      </c>
      <c r="H126" s="248"/>
      <c r="I126" s="238" t="s">
        <v>808</v>
      </c>
      <c r="K126" s="247">
        <v>4075483.5901751588</v>
      </c>
    </row>
    <row r="127" spans="1:11" ht="13" x14ac:dyDescent="0.3">
      <c r="A127" s="242">
        <f t="shared" si="1"/>
        <v>69</v>
      </c>
      <c r="B127" s="238" t="s">
        <v>150</v>
      </c>
      <c r="H127" s="248"/>
      <c r="I127" s="238" t="s">
        <v>825</v>
      </c>
      <c r="K127" s="247">
        <v>255157633.3971031</v>
      </c>
    </row>
    <row r="128" spans="1:11" ht="13" x14ac:dyDescent="0.3">
      <c r="A128" s="242">
        <f t="shared" si="1"/>
        <v>70</v>
      </c>
      <c r="B128" s="238" t="s">
        <v>151</v>
      </c>
      <c r="H128" s="248"/>
      <c r="I128" s="238" t="s">
        <v>775</v>
      </c>
      <c r="K128" s="247">
        <v>0</v>
      </c>
    </row>
    <row r="129" spans="1:11" ht="13" x14ac:dyDescent="0.3">
      <c r="A129" s="242">
        <f t="shared" si="1"/>
        <v>71</v>
      </c>
      <c r="B129" s="238" t="s">
        <v>152</v>
      </c>
      <c r="H129" s="248"/>
      <c r="I129" s="238" t="str">
        <f>"Line "&amp;A58&amp;""</f>
        <v>Line 36</v>
      </c>
      <c r="K129" s="247">
        <f>K58</f>
        <v>66058181.16746673</v>
      </c>
    </row>
    <row r="130" spans="1:11" ht="13" x14ac:dyDescent="0.3">
      <c r="A130" s="242">
        <f t="shared" si="1"/>
        <v>72</v>
      </c>
      <c r="B130" s="238" t="s">
        <v>153</v>
      </c>
      <c r="H130" s="248" t="s">
        <v>123</v>
      </c>
      <c r="I130" s="238" t="s">
        <v>826</v>
      </c>
      <c r="K130" s="247">
        <v>-54094032.244774804</v>
      </c>
    </row>
    <row r="131" spans="1:11" ht="13" x14ac:dyDescent="0.3">
      <c r="A131" s="242">
        <f t="shared" si="1"/>
        <v>73</v>
      </c>
      <c r="B131" s="238" t="s">
        <v>154</v>
      </c>
      <c r="H131" s="248"/>
      <c r="I131" s="238" t="str">
        <f>"Line "&amp;A95&amp;""</f>
        <v>Line 56</v>
      </c>
      <c r="K131" s="246">
        <f>K95</f>
        <v>490389487.9001289</v>
      </c>
    </row>
    <row r="132" spans="1:11" ht="13" x14ac:dyDescent="0.3">
      <c r="A132" s="242">
        <f t="shared" si="1"/>
        <v>74</v>
      </c>
      <c r="B132" s="238" t="s">
        <v>155</v>
      </c>
      <c r="H132" s="248"/>
      <c r="I132" s="238" t="str">
        <f>"Line "&amp;A110&amp;""</f>
        <v>Line 64</v>
      </c>
      <c r="K132" s="246">
        <f>K110</f>
        <v>119089060.19633025</v>
      </c>
    </row>
    <row r="133" spans="1:11" ht="13" x14ac:dyDescent="0.3">
      <c r="A133" s="242">
        <f t="shared" si="1"/>
        <v>75</v>
      </c>
      <c r="B133" s="238" t="s">
        <v>303</v>
      </c>
      <c r="H133" s="248" t="s">
        <v>304</v>
      </c>
      <c r="I133" s="238" t="s">
        <v>772</v>
      </c>
      <c r="K133" s="247">
        <v>0</v>
      </c>
    </row>
    <row r="134" spans="1:11" ht="13" x14ac:dyDescent="0.3">
      <c r="A134" s="242">
        <f t="shared" si="1"/>
        <v>76</v>
      </c>
      <c r="B134" s="48" t="s">
        <v>157</v>
      </c>
      <c r="C134" s="48"/>
      <c r="H134" s="248"/>
      <c r="I134" s="238" t="s">
        <v>813</v>
      </c>
      <c r="K134" s="247">
        <v>0</v>
      </c>
    </row>
    <row r="135" spans="1:11" ht="13" x14ac:dyDescent="0.3">
      <c r="A135" s="242">
        <f t="shared" si="1"/>
        <v>77</v>
      </c>
      <c r="B135" s="238" t="s">
        <v>305</v>
      </c>
      <c r="H135" s="248"/>
      <c r="I135" s="238" t="s">
        <v>815</v>
      </c>
      <c r="K135" s="246">
        <v>24921524.532935672</v>
      </c>
    </row>
    <row r="136" spans="1:11" ht="13" x14ac:dyDescent="0.3">
      <c r="A136" s="242" t="s">
        <v>306</v>
      </c>
      <c r="B136" s="238" t="s">
        <v>307</v>
      </c>
      <c r="H136" s="238" t="s">
        <v>308</v>
      </c>
      <c r="I136" s="238" t="s">
        <v>309</v>
      </c>
      <c r="K136" s="246">
        <f>-K135</f>
        <v>-24921524.532935672</v>
      </c>
    </row>
    <row r="137" spans="1:11" ht="13" x14ac:dyDescent="0.3">
      <c r="A137" s="242">
        <f>A135+1</f>
        <v>78</v>
      </c>
      <c r="B137" s="238" t="s">
        <v>310</v>
      </c>
      <c r="H137" s="248"/>
      <c r="I137" s="238" t="str">
        <f>"Sum of Lines "&amp;A124&amp;" to "&amp;A135&amp;""</f>
        <v>Sum of Lines 66 to 77</v>
      </c>
      <c r="K137" s="246">
        <f>SUM(K124:K136)</f>
        <v>1075427939.1740882</v>
      </c>
    </row>
    <row r="138" spans="1:11" ht="13" x14ac:dyDescent="0.3">
      <c r="A138" s="282"/>
      <c r="H138" s="248"/>
      <c r="K138" s="247"/>
    </row>
    <row r="139" spans="1:11" ht="13" x14ac:dyDescent="0.3">
      <c r="A139" s="242">
        <f>A137+1</f>
        <v>79</v>
      </c>
      <c r="B139" s="238" t="s">
        <v>311</v>
      </c>
      <c r="I139" s="238" t="s">
        <v>817</v>
      </c>
      <c r="K139" s="246">
        <v>9945641.3232598305</v>
      </c>
    </row>
    <row r="140" spans="1:11" ht="13" x14ac:dyDescent="0.3">
      <c r="A140" s="242">
        <f t="shared" si="1"/>
        <v>80</v>
      </c>
      <c r="B140" s="238" t="s">
        <v>312</v>
      </c>
      <c r="I140" s="238" t="s">
        <v>818</v>
      </c>
      <c r="K140" s="246">
        <v>2294971.3796787118</v>
      </c>
    </row>
    <row r="141" spans="1:11" ht="13" x14ac:dyDescent="0.3">
      <c r="A141" s="242"/>
      <c r="K141" s="247"/>
    </row>
    <row r="142" spans="1:11" ht="13" x14ac:dyDescent="0.3">
      <c r="A142" s="242">
        <f>A140+1</f>
        <v>81</v>
      </c>
      <c r="B142" s="238" t="s">
        <v>313</v>
      </c>
      <c r="I142" s="238" t="str">
        <f>"Line "&amp;A137&amp;" + Line "&amp;A139&amp;"+ Line "&amp;A140&amp;""</f>
        <v>Line 78 + Line 79+ Line 80</v>
      </c>
      <c r="K142" s="246">
        <f>K137+K139+K140</f>
        <v>1087668551.8770268</v>
      </c>
    </row>
    <row r="144" spans="1:11" ht="13" x14ac:dyDescent="0.3">
      <c r="A144" s="272" t="s">
        <v>314</v>
      </c>
      <c r="B144" s="273"/>
      <c r="C144" s="273"/>
      <c r="D144" s="273"/>
      <c r="E144" s="273"/>
      <c r="F144" s="273"/>
      <c r="G144" s="273"/>
      <c r="H144" s="274"/>
      <c r="I144" s="274"/>
      <c r="J144" s="274"/>
      <c r="K144" s="274"/>
    </row>
    <row r="146" spans="1:11" x14ac:dyDescent="0.25">
      <c r="B146" s="265" t="s">
        <v>315</v>
      </c>
    </row>
    <row r="147" spans="1:11" ht="13" x14ac:dyDescent="0.3">
      <c r="A147" s="242">
        <f>A142+1</f>
        <v>82</v>
      </c>
      <c r="B147" s="238" t="s">
        <v>313</v>
      </c>
      <c r="I147" s="238" t="str">
        <f>"Line "&amp;A142&amp;""</f>
        <v>Line 81</v>
      </c>
      <c r="K147" s="246">
        <f>K142</f>
        <v>1087668551.8770268</v>
      </c>
    </row>
    <row r="148" spans="1:11" ht="13" x14ac:dyDescent="0.3">
      <c r="A148" s="242">
        <f>A147+1</f>
        <v>83</v>
      </c>
      <c r="B148" s="238" t="s">
        <v>316</v>
      </c>
      <c r="I148" s="238" t="s">
        <v>827</v>
      </c>
      <c r="K148" s="246">
        <v>104159852.67480499</v>
      </c>
    </row>
    <row r="149" spans="1:11" ht="13" x14ac:dyDescent="0.3">
      <c r="A149" s="242">
        <f>A148+1</f>
        <v>84</v>
      </c>
      <c r="B149" s="238" t="s">
        <v>317</v>
      </c>
      <c r="I149" s="238" t="s">
        <v>828</v>
      </c>
      <c r="K149" s="246">
        <v>-54638770.723364934</v>
      </c>
    </row>
    <row r="150" spans="1:11" ht="13" x14ac:dyDescent="0.3">
      <c r="A150" s="242">
        <f>A149+1</f>
        <v>85</v>
      </c>
      <c r="B150" s="238" t="s">
        <v>318</v>
      </c>
      <c r="H150" s="238" t="s">
        <v>319</v>
      </c>
      <c r="K150" s="260">
        <v>0</v>
      </c>
    </row>
    <row r="151" spans="1:11" ht="13" x14ac:dyDescent="0.3">
      <c r="A151" s="242"/>
      <c r="K151" s="247"/>
    </row>
    <row r="152" spans="1:11" ht="13" x14ac:dyDescent="0.3">
      <c r="A152" s="242">
        <f>A150+1</f>
        <v>86</v>
      </c>
      <c r="B152" s="238" t="s">
        <v>320</v>
      </c>
      <c r="H152" s="238" t="s">
        <v>321</v>
      </c>
      <c r="I152" s="238" t="str">
        <f>"L "&amp;A147&amp;" + L "&amp;A148&amp;" + L "&amp;A149&amp;" + L "&amp;A150&amp;""</f>
        <v>L 82 + L 83 + L 84 + L 85</v>
      </c>
      <c r="K152" s="246">
        <f>K147+K148+K149+K150</f>
        <v>1137189633.8284669</v>
      </c>
    </row>
    <row r="153" spans="1:11" ht="13" x14ac:dyDescent="0.3">
      <c r="A153" s="242"/>
      <c r="K153" s="247"/>
    </row>
    <row r="154" spans="1:11" ht="13" x14ac:dyDescent="0.3">
      <c r="A154" s="242"/>
      <c r="B154" s="265" t="s">
        <v>322</v>
      </c>
      <c r="K154" s="247"/>
    </row>
    <row r="155" spans="1:11" ht="13" x14ac:dyDescent="0.3">
      <c r="A155" s="242">
        <f>A152+1</f>
        <v>87</v>
      </c>
      <c r="B155" s="238" t="s">
        <v>323</v>
      </c>
      <c r="I155" s="238" t="str">
        <f>"Line "&amp;A152&amp;""</f>
        <v>Line 86</v>
      </c>
      <c r="K155" s="246">
        <f>K152</f>
        <v>1137189633.8284669</v>
      </c>
    </row>
    <row r="156" spans="1:11" ht="13" x14ac:dyDescent="0.3">
      <c r="A156" s="242">
        <f>A155+1</f>
        <v>88</v>
      </c>
      <c r="B156" s="238" t="s">
        <v>324</v>
      </c>
      <c r="I156" s="238" t="s">
        <v>829</v>
      </c>
      <c r="K156" s="266">
        <v>-4757200.1521527562</v>
      </c>
    </row>
    <row r="157" spans="1:11" ht="13" x14ac:dyDescent="0.3">
      <c r="A157" s="242">
        <f>A156+1</f>
        <v>89</v>
      </c>
      <c r="B157" s="238" t="s">
        <v>322</v>
      </c>
      <c r="I157" s="238" t="str">
        <f>"Line "&amp;A155&amp;" + Line "&amp;A156&amp;""</f>
        <v>Line 87 + Line 88</v>
      </c>
      <c r="K157" s="246">
        <f>K155+K156</f>
        <v>1132432433.6763141</v>
      </c>
    </row>
    <row r="160" spans="1:11" ht="13" x14ac:dyDescent="0.3">
      <c r="B160" s="257" t="s">
        <v>87</v>
      </c>
    </row>
    <row r="161" spans="2:6" x14ac:dyDescent="0.25">
      <c r="B161" s="238" t="s">
        <v>325</v>
      </c>
    </row>
    <row r="162" spans="2:6" x14ac:dyDescent="0.25">
      <c r="B162" s="248" t="s">
        <v>326</v>
      </c>
    </row>
    <row r="163" spans="2:6" x14ac:dyDescent="0.25">
      <c r="B163" s="238" t="s">
        <v>327</v>
      </c>
      <c r="C163" s="261"/>
      <c r="D163" s="261"/>
      <c r="E163" s="261"/>
    </row>
    <row r="164" spans="2:6" x14ac:dyDescent="0.25">
      <c r="B164" s="248" t="s">
        <v>328</v>
      </c>
      <c r="C164" s="261"/>
      <c r="D164" s="261"/>
      <c r="E164" s="261"/>
    </row>
    <row r="165" spans="2:6" x14ac:dyDescent="0.25">
      <c r="B165" s="248" t="s">
        <v>329</v>
      </c>
      <c r="C165" s="261"/>
      <c r="D165" s="261"/>
      <c r="E165" s="261"/>
    </row>
    <row r="166" spans="2:6" x14ac:dyDescent="0.25">
      <c r="B166" s="248" t="s">
        <v>330</v>
      </c>
      <c r="C166" s="261"/>
      <c r="D166" s="261"/>
      <c r="E166" s="261"/>
      <c r="F166" s="281"/>
    </row>
    <row r="167" spans="2:6" x14ac:dyDescent="0.25">
      <c r="B167" s="248" t="s">
        <v>331</v>
      </c>
    </row>
    <row r="168" spans="2:6" x14ac:dyDescent="0.25">
      <c r="B168" s="238" t="s">
        <v>332</v>
      </c>
    </row>
    <row r="169" spans="2:6" x14ac:dyDescent="0.25">
      <c r="B169" s="248" t="s">
        <v>333</v>
      </c>
    </row>
    <row r="170" spans="2:6" x14ac:dyDescent="0.25">
      <c r="B170" s="248" t="s">
        <v>334</v>
      </c>
    </row>
    <row r="171" spans="2:6" x14ac:dyDescent="0.25">
      <c r="B171" s="248" t="s">
        <v>335</v>
      </c>
    </row>
    <row r="172" spans="2:6" x14ac:dyDescent="0.25">
      <c r="B172" s="283" t="s">
        <v>336</v>
      </c>
    </row>
    <row r="173" spans="2:6" x14ac:dyDescent="0.25">
      <c r="B173" s="238" t="s">
        <v>337</v>
      </c>
    </row>
    <row r="174" spans="2:6" x14ac:dyDescent="0.25">
      <c r="B174" s="238" t="s">
        <v>338</v>
      </c>
    </row>
    <row r="175" spans="2:6" x14ac:dyDescent="0.25">
      <c r="B175" s="238" t="s">
        <v>339</v>
      </c>
    </row>
  </sheetData>
  <pageMargins left="0.75" right="0.75" top="1" bottom="1" header="0.5" footer="0.5"/>
  <pageSetup scale="65" orientation="portrait" cellComments="asDisplayed" r:id="rId1"/>
  <headerFooter alignWithMargins="0">
    <oddHeader xml:space="preserve">&amp;CSchedule 1
Base TRR
(TO2018 EDIT Adj)&amp;RTO2021 Annual Update
Attachment 4
WP-Schedule 3-One Time Adjustment Transition
Page &amp;P of &amp;N
</oddHeader>
    <oddFooter>&amp;R&amp;A</oddFooter>
  </headerFooter>
  <rowBreaks count="2" manualBreakCount="2">
    <brk id="59" max="16383" man="1"/>
    <brk id="120" max="1638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1F3F7-7520-4908-A9AC-F3DE6646C678}">
  <sheetPr codeName="Sheet13">
    <tabColor rgb="FFCCFFCC"/>
    <pageSetUpPr fitToPage="1"/>
  </sheetPr>
  <dimension ref="A1:P81"/>
  <sheetViews>
    <sheetView zoomScaleNormal="100" zoomScaleSheetLayoutView="80" zoomScalePageLayoutView="80" workbookViewId="0"/>
  </sheetViews>
  <sheetFormatPr defaultColWidth="8.54296875" defaultRowHeight="12.5" x14ac:dyDescent="0.25"/>
  <cols>
    <col min="1" max="1" width="4.54296875" style="238" customWidth="1"/>
    <col min="2" max="2" width="6.453125" style="238" customWidth="1"/>
    <col min="3" max="3" width="14.54296875" style="238" customWidth="1"/>
    <col min="4" max="4" width="16.453125" style="238" customWidth="1"/>
    <col min="5" max="14" width="14.54296875" style="238" customWidth="1"/>
    <col min="15" max="15" width="14.453125" style="238" customWidth="1"/>
    <col min="16" max="16" width="18" style="238" customWidth="1"/>
    <col min="17" max="16384" width="8.54296875" style="238"/>
  </cols>
  <sheetData>
    <row r="1" spans="1:16" ht="13" x14ac:dyDescent="0.3">
      <c r="A1" s="237" t="s">
        <v>683</v>
      </c>
      <c r="B1" s="237"/>
    </row>
    <row r="2" spans="1:16" ht="13" x14ac:dyDescent="0.3">
      <c r="A2" s="242" t="s">
        <v>684</v>
      </c>
      <c r="B2" s="292">
        <v>2019</v>
      </c>
    </row>
    <row r="3" spans="1:16" ht="13" x14ac:dyDescent="0.3">
      <c r="C3" s="241" t="s">
        <v>12</v>
      </c>
      <c r="D3" s="241" t="s">
        <v>343</v>
      </c>
      <c r="E3" s="241" t="s">
        <v>361</v>
      </c>
      <c r="F3" s="241" t="s">
        <v>13</v>
      </c>
      <c r="G3" s="241" t="s">
        <v>362</v>
      </c>
      <c r="H3" s="241" t="s">
        <v>363</v>
      </c>
      <c r="I3" s="241" t="s">
        <v>364</v>
      </c>
      <c r="J3" s="241" t="s">
        <v>451</v>
      </c>
      <c r="K3" s="241" t="s">
        <v>685</v>
      </c>
      <c r="L3" s="241" t="s">
        <v>686</v>
      </c>
      <c r="M3" s="241" t="s">
        <v>687</v>
      </c>
      <c r="N3" s="241" t="s">
        <v>688</v>
      </c>
      <c r="O3" s="241" t="s">
        <v>689</v>
      </c>
      <c r="P3" s="241" t="s">
        <v>690</v>
      </c>
    </row>
    <row r="4" spans="1:16" ht="13" x14ac:dyDescent="0.3">
      <c r="A4" s="244" t="s">
        <v>104</v>
      </c>
      <c r="B4" s="244" t="s">
        <v>691</v>
      </c>
      <c r="C4" s="251" t="s">
        <v>110</v>
      </c>
      <c r="D4" s="293" t="s">
        <v>27</v>
      </c>
      <c r="E4" s="269" t="s">
        <v>30</v>
      </c>
      <c r="F4" s="269" t="s">
        <v>32</v>
      </c>
      <c r="G4" s="269" t="s">
        <v>34</v>
      </c>
      <c r="H4" s="269" t="s">
        <v>36</v>
      </c>
      <c r="I4" s="269" t="s">
        <v>37</v>
      </c>
      <c r="J4" s="269" t="s">
        <v>471</v>
      </c>
      <c r="K4" s="269" t="s">
        <v>39</v>
      </c>
      <c r="L4" s="269" t="s">
        <v>40</v>
      </c>
      <c r="M4" s="269" t="s">
        <v>41</v>
      </c>
      <c r="N4" s="269" t="s">
        <v>42</v>
      </c>
      <c r="O4" s="269" t="s">
        <v>43</v>
      </c>
      <c r="P4" s="269" t="s">
        <v>27</v>
      </c>
    </row>
    <row r="5" spans="1:16" ht="13" x14ac:dyDescent="0.3">
      <c r="A5" s="244"/>
      <c r="B5" s="244"/>
      <c r="C5" s="269" t="s">
        <v>692</v>
      </c>
      <c r="D5" s="293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</row>
    <row r="6" spans="1:16" ht="13" x14ac:dyDescent="0.3">
      <c r="A6" s="243"/>
      <c r="B6" s="243"/>
      <c r="C6" s="251"/>
      <c r="D6" s="293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</row>
    <row r="7" spans="1:16" ht="13" x14ac:dyDescent="0.3">
      <c r="B7" s="237" t="s">
        <v>693</v>
      </c>
      <c r="D7" s="293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</row>
    <row r="8" spans="1:16" ht="13" x14ac:dyDescent="0.3">
      <c r="A8" s="242">
        <v>1</v>
      </c>
      <c r="B8" s="242"/>
      <c r="C8" s="247">
        <f>SUM(D8:P8)/13</f>
        <v>14061240659.277691</v>
      </c>
      <c r="D8" s="245">
        <v>12801900000</v>
      </c>
      <c r="E8" s="245">
        <v>12801899999.969999</v>
      </c>
      <c r="F8" s="245">
        <v>12762614285.68</v>
      </c>
      <c r="G8" s="245">
        <v>13862614285.68</v>
      </c>
      <c r="H8" s="245">
        <v>13862614285.68</v>
      </c>
      <c r="I8" s="245">
        <v>13862614285.68</v>
      </c>
      <c r="J8" s="245">
        <v>13862614285.68</v>
      </c>
      <c r="K8" s="245">
        <v>13862614285.68</v>
      </c>
      <c r="L8" s="245">
        <v>15023328571.389999</v>
      </c>
      <c r="M8" s="245">
        <v>15023328571.389999</v>
      </c>
      <c r="N8" s="245">
        <v>15023328571.389999</v>
      </c>
      <c r="O8" s="245">
        <v>15023328571.389999</v>
      </c>
      <c r="P8" s="245">
        <v>15023328571</v>
      </c>
    </row>
    <row r="9" spans="1:16" ht="13" x14ac:dyDescent="0.3">
      <c r="A9" s="242"/>
      <c r="B9" s="237" t="s">
        <v>694</v>
      </c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</row>
    <row r="10" spans="1:16" ht="13" x14ac:dyDescent="0.3">
      <c r="A10" s="242">
        <f>A8+1</f>
        <v>2</v>
      </c>
      <c r="B10" s="242"/>
      <c r="C10" s="247">
        <f>SUM(D10:P10)/13</f>
        <v>0</v>
      </c>
      <c r="D10" s="245">
        <v>0</v>
      </c>
      <c r="E10" s="245">
        <v>0</v>
      </c>
      <c r="F10" s="245">
        <v>0</v>
      </c>
      <c r="G10" s="245">
        <v>0</v>
      </c>
      <c r="H10" s="245">
        <v>0</v>
      </c>
      <c r="I10" s="245">
        <v>0</v>
      </c>
      <c r="J10" s="245">
        <v>0</v>
      </c>
      <c r="K10" s="245">
        <v>0</v>
      </c>
      <c r="L10" s="245">
        <v>0</v>
      </c>
      <c r="M10" s="245">
        <v>0</v>
      </c>
      <c r="N10" s="245">
        <v>0</v>
      </c>
      <c r="O10" s="245">
        <v>0</v>
      </c>
      <c r="P10" s="245">
        <v>0</v>
      </c>
    </row>
    <row r="11" spans="1:16" ht="13" x14ac:dyDescent="0.3">
      <c r="A11" s="242"/>
      <c r="B11" s="237" t="s">
        <v>695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</row>
    <row r="12" spans="1:16" ht="13" x14ac:dyDescent="0.3">
      <c r="A12" s="242" t="s">
        <v>696</v>
      </c>
      <c r="B12" s="237"/>
      <c r="C12" s="247">
        <f>SUM(D12:P12)/13</f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</row>
    <row r="13" spans="1:16" ht="13" x14ac:dyDescent="0.3">
      <c r="A13" s="242"/>
      <c r="B13" s="237" t="s">
        <v>697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</row>
    <row r="14" spans="1:16" ht="13" x14ac:dyDescent="0.3">
      <c r="A14" s="242">
        <f>A10+1</f>
        <v>3</v>
      </c>
      <c r="B14" s="242"/>
      <c r="C14" s="247">
        <f>SUM(D14:P14)/13</f>
        <v>306455395.05307692</v>
      </c>
      <c r="D14" s="245">
        <v>306490453</v>
      </c>
      <c r="E14" s="245">
        <v>306484699.54000002</v>
      </c>
      <c r="F14" s="245">
        <v>306478922.25999999</v>
      </c>
      <c r="G14" s="245">
        <v>306473120.62</v>
      </c>
      <c r="H14" s="245">
        <v>306467294.50999999</v>
      </c>
      <c r="I14" s="245">
        <v>306461443.82999998</v>
      </c>
      <c r="J14" s="245">
        <v>306455568.48000002</v>
      </c>
      <c r="K14" s="245">
        <v>306449668.36000001</v>
      </c>
      <c r="L14" s="245">
        <v>306443743.36000001</v>
      </c>
      <c r="M14" s="245">
        <v>306437793.38</v>
      </c>
      <c r="N14" s="245">
        <v>306431818.31</v>
      </c>
      <c r="O14" s="245">
        <v>306425818.04000002</v>
      </c>
      <c r="P14" s="245">
        <v>306419792</v>
      </c>
    </row>
    <row r="15" spans="1:16" ht="13" x14ac:dyDescent="0.3">
      <c r="A15" s="242"/>
      <c r="B15" s="23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</row>
    <row r="16" spans="1:16" ht="13" x14ac:dyDescent="0.3">
      <c r="A16" s="242">
        <f>A14+1</f>
        <v>4</v>
      </c>
      <c r="B16" s="263" t="s">
        <v>698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</row>
    <row r="17" spans="1:16" ht="13" x14ac:dyDescent="0.3">
      <c r="A17" s="242"/>
      <c r="B17" s="23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16" ht="13" x14ac:dyDescent="0.3">
      <c r="A18" s="242">
        <f>A16+1</f>
        <v>5</v>
      </c>
      <c r="B18" s="263" t="s">
        <v>698</v>
      </c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</row>
    <row r="19" spans="1:16" ht="13" x14ac:dyDescent="0.3">
      <c r="B19" s="237"/>
    </row>
    <row r="20" spans="1:16" ht="13" x14ac:dyDescent="0.3">
      <c r="A20" s="242">
        <v>6</v>
      </c>
      <c r="B20" s="263" t="s">
        <v>698</v>
      </c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</row>
    <row r="21" spans="1:16" ht="13" x14ac:dyDescent="0.3">
      <c r="A21" s="242"/>
      <c r="B21" s="23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</row>
    <row r="22" spans="1:16" ht="13" x14ac:dyDescent="0.3">
      <c r="A22" s="242">
        <f>A20+1</f>
        <v>7</v>
      </c>
      <c r="B22" s="263" t="s">
        <v>698</v>
      </c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</row>
    <row r="23" spans="1:16" ht="13" x14ac:dyDescent="0.3">
      <c r="B23" s="237" t="s">
        <v>699</v>
      </c>
    </row>
    <row r="24" spans="1:16" ht="13" x14ac:dyDescent="0.3">
      <c r="A24" s="242">
        <v>18</v>
      </c>
      <c r="B24" s="242"/>
      <c r="C24" s="247">
        <f t="shared" ref="C24:C30" si="0">SUM(D24:P24)/13</f>
        <v>2245054950</v>
      </c>
      <c r="D24" s="245">
        <v>2245054950</v>
      </c>
      <c r="E24" s="245">
        <v>2245054950</v>
      </c>
      <c r="F24" s="245">
        <v>2245054950</v>
      </c>
      <c r="G24" s="245">
        <v>2245054950</v>
      </c>
      <c r="H24" s="245">
        <v>2245054950</v>
      </c>
      <c r="I24" s="245">
        <v>2245054950</v>
      </c>
      <c r="J24" s="245">
        <v>2245054950</v>
      </c>
      <c r="K24" s="245">
        <v>2245054950</v>
      </c>
      <c r="L24" s="245">
        <v>2245054950</v>
      </c>
      <c r="M24" s="245">
        <v>2245054950</v>
      </c>
      <c r="N24" s="245">
        <v>2245054950</v>
      </c>
      <c r="O24" s="245">
        <v>2245054950</v>
      </c>
      <c r="P24" s="245">
        <v>2245054950</v>
      </c>
    </row>
    <row r="25" spans="1:16" ht="13" x14ac:dyDescent="0.3">
      <c r="A25" s="242"/>
      <c r="B25" s="237" t="s">
        <v>700</v>
      </c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</row>
    <row r="26" spans="1:16" ht="13" x14ac:dyDescent="0.3">
      <c r="A26" s="242">
        <f>A24+1</f>
        <v>19</v>
      </c>
      <c r="B26" s="242"/>
      <c r="C26" s="247">
        <f t="shared" si="0"/>
        <v>-35163418.50555554</v>
      </c>
      <c r="D26" s="57">
        <v>-36870625.247222207</v>
      </c>
      <c r="E26" s="57">
        <v>-36586090.790277764</v>
      </c>
      <c r="F26" s="57">
        <v>-36301556.333333321</v>
      </c>
      <c r="G26" s="57">
        <v>-36017021.876388878</v>
      </c>
      <c r="H26" s="57">
        <v>-35732487.419444434</v>
      </c>
      <c r="I26" s="57">
        <v>-35447952.962499984</v>
      </c>
      <c r="J26" s="57">
        <v>-35163418.50555554</v>
      </c>
      <c r="K26" s="57">
        <v>-34878884.048611097</v>
      </c>
      <c r="L26" s="57">
        <v>-34594349.591666661</v>
      </c>
      <c r="M26" s="57">
        <v>-34309815.13472221</v>
      </c>
      <c r="N26" s="57">
        <v>-34025280.677777767</v>
      </c>
      <c r="O26" s="57">
        <v>-33740746.220833324</v>
      </c>
      <c r="P26" s="57">
        <v>-33456211.763888881</v>
      </c>
    </row>
    <row r="27" spans="1:16" ht="13" x14ac:dyDescent="0.3">
      <c r="A27" s="242"/>
      <c r="B27" s="237" t="s">
        <v>701</v>
      </c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</row>
    <row r="28" spans="1:16" ht="13" x14ac:dyDescent="0.3">
      <c r="A28" s="242">
        <f>A26+1</f>
        <v>20</v>
      </c>
      <c r="B28" s="242"/>
      <c r="C28" s="247">
        <f t="shared" si="0"/>
        <v>-17823980.290312503</v>
      </c>
      <c r="D28" s="245">
        <v>-18337973.014893901</v>
      </c>
      <c r="E28" s="57">
        <v>-18252334.578202222</v>
      </c>
      <c r="F28" s="57">
        <v>-18166696.141510591</v>
      </c>
      <c r="G28" s="57">
        <v>-18081057.70481896</v>
      </c>
      <c r="H28" s="57">
        <v>-17995419.268127326</v>
      </c>
      <c r="I28" s="57">
        <v>-17909780.831435699</v>
      </c>
      <c r="J28" s="57">
        <v>-17824142.394744068</v>
      </c>
      <c r="K28" s="57">
        <v>-17738503.958052438</v>
      </c>
      <c r="L28" s="57">
        <v>-17652865.521360807</v>
      </c>
      <c r="M28" s="57">
        <v>-17567227.079999998</v>
      </c>
      <c r="N28" s="57">
        <v>-17481588.647977501</v>
      </c>
      <c r="O28" s="57">
        <v>-17395247.760305524</v>
      </c>
      <c r="P28" s="57">
        <v>-17308906.872633502</v>
      </c>
    </row>
    <row r="29" spans="1:16" ht="13" x14ac:dyDescent="0.3">
      <c r="B29" s="237" t="s">
        <v>702</v>
      </c>
    </row>
    <row r="30" spans="1:16" ht="13" x14ac:dyDescent="0.3">
      <c r="A30" s="242">
        <v>27</v>
      </c>
      <c r="B30" s="242"/>
      <c r="C30" s="247">
        <f t="shared" si="0"/>
        <v>15704168456.186155</v>
      </c>
      <c r="D30" s="245">
        <v>13785814466</v>
      </c>
      <c r="E30" s="57">
        <v>13895712474.389999</v>
      </c>
      <c r="F30" s="57">
        <v>13767842252.379999</v>
      </c>
      <c r="G30" s="57">
        <v>13870286066.51</v>
      </c>
      <c r="H30" s="57">
        <v>14697239347.15</v>
      </c>
      <c r="I30" s="57">
        <v>14816789369.77</v>
      </c>
      <c r="J30" s="57">
        <v>15492646758.120001</v>
      </c>
      <c r="K30" s="57">
        <v>15638828771.209999</v>
      </c>
      <c r="L30" s="57">
        <v>17040370051.540001</v>
      </c>
      <c r="M30" s="57">
        <v>17645554361.889999</v>
      </c>
      <c r="N30" s="57">
        <v>17790078831.189999</v>
      </c>
      <c r="O30" s="57">
        <v>17885756771.27</v>
      </c>
      <c r="P30" s="57">
        <v>17827270409</v>
      </c>
    </row>
    <row r="31" spans="1:16" ht="13.5" thickBot="1" x14ac:dyDescent="0.35">
      <c r="A31" s="242"/>
      <c r="B31" s="237" t="s">
        <v>703</v>
      </c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</row>
    <row r="32" spans="1:16" ht="13.5" thickBot="1" x14ac:dyDescent="0.35">
      <c r="A32" s="242">
        <v>30</v>
      </c>
      <c r="B32" s="242"/>
      <c r="C32" s="247">
        <f>SUM(D32:P32)/13</f>
        <v>2604739.0269230772</v>
      </c>
      <c r="D32" s="294">
        <v>2604107</v>
      </c>
      <c r="E32" s="294">
        <v>2604255.75</v>
      </c>
      <c r="F32" s="295">
        <v>2604255.75</v>
      </c>
      <c r="G32" s="295">
        <v>2604255.75</v>
      </c>
      <c r="H32" s="295">
        <v>2604255.75</v>
      </c>
      <c r="I32" s="295">
        <v>2604353.25</v>
      </c>
      <c r="J32" s="295">
        <v>2605065.75</v>
      </c>
      <c r="K32" s="295">
        <v>2605065.75</v>
      </c>
      <c r="L32" s="295">
        <v>2605206</v>
      </c>
      <c r="M32" s="295">
        <v>2605206</v>
      </c>
      <c r="N32" s="295">
        <v>2605206</v>
      </c>
      <c r="O32" s="295">
        <v>2605206</v>
      </c>
      <c r="P32" s="296">
        <v>2605168.6</v>
      </c>
    </row>
    <row r="33" spans="1:16" ht="13.5" thickBot="1" x14ac:dyDescent="0.35">
      <c r="A33" s="242"/>
      <c r="B33" s="237" t="s">
        <v>704</v>
      </c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</row>
    <row r="34" spans="1:16" ht="13.5" thickBot="1" x14ac:dyDescent="0.35">
      <c r="A34" s="242">
        <f>A32+1</f>
        <v>31</v>
      </c>
      <c r="B34" s="242"/>
      <c r="C34" s="247">
        <f>SUM(D34:P34)/13</f>
        <v>25862851.14692308</v>
      </c>
      <c r="D34" s="294">
        <v>22574194.449999999</v>
      </c>
      <c r="E34" s="295">
        <v>22115036.120000001</v>
      </c>
      <c r="F34" s="295">
        <v>26679120.789999999</v>
      </c>
      <c r="G34" s="295">
        <v>26605429.539999999</v>
      </c>
      <c r="H34" s="295">
        <v>26146271.210000001</v>
      </c>
      <c r="I34" s="295">
        <v>25687112.879999999</v>
      </c>
      <c r="J34" s="295">
        <v>25613421.649999999</v>
      </c>
      <c r="K34" s="295">
        <v>25154263.32</v>
      </c>
      <c r="L34" s="295">
        <v>24695104.989999998</v>
      </c>
      <c r="M34" s="295">
        <v>24621413.75</v>
      </c>
      <c r="N34" s="295">
        <v>24162255.420000002</v>
      </c>
      <c r="O34" s="296">
        <v>23351570.789999999</v>
      </c>
      <c r="P34" s="297">
        <v>38811870</v>
      </c>
    </row>
    <row r="35" spans="1:16" ht="13" x14ac:dyDescent="0.3">
      <c r="A35" s="242"/>
      <c r="B35" s="242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</row>
    <row r="36" spans="1:16" ht="13" x14ac:dyDescent="0.3">
      <c r="A36" s="242"/>
      <c r="B36" s="257" t="s">
        <v>175</v>
      </c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</row>
    <row r="37" spans="1:16" ht="13" x14ac:dyDescent="0.3">
      <c r="A37" s="242"/>
      <c r="B37" s="238" t="s">
        <v>705</v>
      </c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 ht="13" x14ac:dyDescent="0.3">
      <c r="A38" s="242"/>
      <c r="B38" s="248" t="s">
        <v>706</v>
      </c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</row>
    <row r="39" spans="1:16" ht="13" x14ac:dyDescent="0.3">
      <c r="A39" s="242"/>
      <c r="B39" s="238" t="s">
        <v>707</v>
      </c>
      <c r="C39" s="263" t="s">
        <v>698</v>
      </c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</row>
    <row r="40" spans="1:16" x14ac:dyDescent="0.25">
      <c r="B40" s="238" t="s">
        <v>708</v>
      </c>
    </row>
    <row r="41" spans="1:16" x14ac:dyDescent="0.25">
      <c r="B41" s="248"/>
    </row>
    <row r="42" spans="1:16" ht="13" x14ac:dyDescent="0.3">
      <c r="B42" s="237" t="s">
        <v>87</v>
      </c>
    </row>
    <row r="43" spans="1:16" x14ac:dyDescent="0.25">
      <c r="B43" s="238" t="s">
        <v>709</v>
      </c>
    </row>
    <row r="44" spans="1:16" x14ac:dyDescent="0.25">
      <c r="B44" s="238" t="s">
        <v>710</v>
      </c>
    </row>
    <row r="45" spans="1:16" x14ac:dyDescent="0.25">
      <c r="B45" s="238" t="s">
        <v>711</v>
      </c>
    </row>
    <row r="46" spans="1:16" x14ac:dyDescent="0.25">
      <c r="B46" s="238" t="s">
        <v>712</v>
      </c>
    </row>
    <row r="47" spans="1:16" ht="13" x14ac:dyDescent="0.3">
      <c r="B47" s="238" t="s">
        <v>713</v>
      </c>
      <c r="C47" s="263" t="s">
        <v>698</v>
      </c>
    </row>
    <row r="48" spans="1:16" ht="13" x14ac:dyDescent="0.3">
      <c r="B48" s="238" t="s">
        <v>714</v>
      </c>
      <c r="C48" s="263" t="s">
        <v>698</v>
      </c>
    </row>
    <row r="49" spans="2:13" ht="13" x14ac:dyDescent="0.3">
      <c r="B49" s="238" t="s">
        <v>715</v>
      </c>
      <c r="C49" s="263" t="s">
        <v>698</v>
      </c>
    </row>
    <row r="50" spans="2:13" ht="13" x14ac:dyDescent="0.3">
      <c r="B50" s="238" t="s">
        <v>716</v>
      </c>
      <c r="C50" s="263" t="s">
        <v>698</v>
      </c>
    </row>
    <row r="51" spans="2:13" x14ac:dyDescent="0.25">
      <c r="B51" s="238" t="s">
        <v>717</v>
      </c>
    </row>
    <row r="52" spans="2:13" x14ac:dyDescent="0.25">
      <c r="B52" s="238" t="s">
        <v>718</v>
      </c>
    </row>
    <row r="53" spans="2:13" x14ac:dyDescent="0.25">
      <c r="B53" s="248" t="s">
        <v>719</v>
      </c>
    </row>
    <row r="54" spans="2:13" ht="13" x14ac:dyDescent="0.3">
      <c r="H54" s="242" t="s">
        <v>720</v>
      </c>
    </row>
    <row r="55" spans="2:13" ht="13" x14ac:dyDescent="0.3">
      <c r="C55" s="242"/>
      <c r="E55" s="242" t="s">
        <v>721</v>
      </c>
      <c r="F55" s="242" t="s">
        <v>722</v>
      </c>
      <c r="G55" s="242" t="s">
        <v>722</v>
      </c>
      <c r="H55" s="242" t="s">
        <v>723</v>
      </c>
      <c r="I55" s="242" t="s">
        <v>724</v>
      </c>
    </row>
    <row r="56" spans="2:13" ht="13.5" thickBot="1" x14ac:dyDescent="0.35">
      <c r="C56" s="244" t="s">
        <v>725</v>
      </c>
      <c r="E56" s="244" t="s">
        <v>96</v>
      </c>
      <c r="F56" s="244" t="s">
        <v>726</v>
      </c>
      <c r="G56" s="244" t="s">
        <v>727</v>
      </c>
      <c r="H56" s="241" t="s">
        <v>728</v>
      </c>
      <c r="I56" s="244" t="s">
        <v>720</v>
      </c>
      <c r="J56" s="244" t="s">
        <v>107</v>
      </c>
    </row>
    <row r="57" spans="2:13" ht="13" thickBot="1" x14ac:dyDescent="0.3">
      <c r="C57" s="298" t="s">
        <v>729</v>
      </c>
      <c r="D57" s="299"/>
      <c r="E57" s="57">
        <v>350000000</v>
      </c>
      <c r="F57" s="300">
        <v>40925</v>
      </c>
      <c r="G57" s="255">
        <v>5957289</v>
      </c>
      <c r="H57" s="301">
        <v>10</v>
      </c>
      <c r="I57" s="259">
        <v>595728.9</v>
      </c>
      <c r="J57" s="73"/>
      <c r="K57" s="73"/>
      <c r="L57" s="73"/>
      <c r="M57" s="73"/>
    </row>
    <row r="58" spans="2:13" ht="13" thickBot="1" x14ac:dyDescent="0.3">
      <c r="C58" s="298" t="s">
        <v>730</v>
      </c>
      <c r="D58" s="299"/>
      <c r="E58" s="57">
        <v>400000000</v>
      </c>
      <c r="F58" s="300">
        <v>41303</v>
      </c>
      <c r="G58" s="255">
        <v>12972287</v>
      </c>
      <c r="H58" s="301">
        <v>30</v>
      </c>
      <c r="I58" s="259">
        <v>432409.566666667</v>
      </c>
      <c r="J58" s="73"/>
      <c r="K58" s="73"/>
      <c r="L58" s="73"/>
      <c r="M58" s="73"/>
    </row>
    <row r="59" spans="2:13" ht="13" thickBot="1" x14ac:dyDescent="0.3">
      <c r="C59" s="298" t="s">
        <v>731</v>
      </c>
      <c r="D59" s="299"/>
      <c r="E59" s="57">
        <v>275000000</v>
      </c>
      <c r="F59" s="300">
        <v>41704</v>
      </c>
      <c r="G59" s="255">
        <v>6272358</v>
      </c>
      <c r="H59" s="301">
        <v>10</v>
      </c>
      <c r="I59" s="259">
        <v>627235.80000000005</v>
      </c>
      <c r="J59" s="73"/>
      <c r="K59" s="73"/>
      <c r="L59" s="73"/>
      <c r="M59" s="73"/>
    </row>
    <row r="60" spans="2:13" ht="13" thickBot="1" x14ac:dyDescent="0.3">
      <c r="C60" s="298" t="s">
        <v>732</v>
      </c>
      <c r="D60" s="299"/>
      <c r="E60" s="57">
        <v>325000000</v>
      </c>
      <c r="F60" s="300">
        <v>42240</v>
      </c>
      <c r="G60" s="255">
        <v>6419578</v>
      </c>
      <c r="H60" s="301">
        <v>10</v>
      </c>
      <c r="I60" s="259">
        <v>641957.80000000005</v>
      </c>
      <c r="J60" s="73"/>
      <c r="K60" s="73"/>
      <c r="L60" s="73"/>
      <c r="M60" s="73"/>
    </row>
    <row r="61" spans="2:13" ht="13" thickBot="1" x14ac:dyDescent="0.3">
      <c r="C61" s="299" t="s">
        <v>733</v>
      </c>
      <c r="D61" s="299"/>
      <c r="E61" s="57">
        <v>300000000</v>
      </c>
      <c r="F61" s="300">
        <v>42437</v>
      </c>
      <c r="G61" s="255">
        <v>6959810</v>
      </c>
      <c r="H61" s="301">
        <v>10</v>
      </c>
      <c r="I61" s="259">
        <v>695981</v>
      </c>
      <c r="J61" s="73"/>
      <c r="K61" s="73"/>
      <c r="L61" s="73"/>
      <c r="M61" s="73"/>
    </row>
    <row r="62" spans="2:13" ht="13" thickBot="1" x14ac:dyDescent="0.3">
      <c r="C62" s="299" t="s">
        <v>734</v>
      </c>
      <c r="D62" s="299"/>
      <c r="E62" s="57">
        <v>475000000</v>
      </c>
      <c r="F62" s="300">
        <v>42912</v>
      </c>
      <c r="G62" s="255">
        <v>12800620</v>
      </c>
      <c r="H62" s="301">
        <v>30</v>
      </c>
      <c r="I62" s="57">
        <v>426687.33333333302</v>
      </c>
      <c r="J62" s="302" t="s">
        <v>735</v>
      </c>
      <c r="K62" s="73"/>
      <c r="L62" s="73"/>
      <c r="M62" s="73"/>
    </row>
    <row r="63" spans="2:13" x14ac:dyDescent="0.25">
      <c r="C63" s="281"/>
      <c r="D63" s="281"/>
      <c r="G63" s="246">
        <f>SUM(G57:G62)</f>
        <v>51381942</v>
      </c>
      <c r="I63" s="247">
        <f>SUM(I57:I62)</f>
        <v>3420000.4000000004</v>
      </c>
      <c r="J63" s="238" t="s">
        <v>736</v>
      </c>
    </row>
    <row r="64" spans="2:13" x14ac:dyDescent="0.25">
      <c r="B64" s="238" t="s">
        <v>737</v>
      </c>
    </row>
    <row r="65" spans="2:13" x14ac:dyDescent="0.25">
      <c r="B65" s="248" t="s">
        <v>738</v>
      </c>
    </row>
    <row r="66" spans="2:13" ht="13" x14ac:dyDescent="0.3">
      <c r="G66" s="242" t="s">
        <v>720</v>
      </c>
    </row>
    <row r="67" spans="2:13" ht="13" x14ac:dyDescent="0.3">
      <c r="C67" s="242"/>
      <c r="E67" s="242" t="s">
        <v>739</v>
      </c>
      <c r="F67" s="242" t="s">
        <v>720</v>
      </c>
      <c r="G67" s="242" t="s">
        <v>723</v>
      </c>
      <c r="H67" s="242" t="s">
        <v>724</v>
      </c>
      <c r="I67" s="242"/>
    </row>
    <row r="68" spans="2:13" ht="13" x14ac:dyDescent="0.3">
      <c r="C68" s="244" t="s">
        <v>740</v>
      </c>
      <c r="E68" s="244" t="s">
        <v>726</v>
      </c>
      <c r="F68" s="244" t="s">
        <v>96</v>
      </c>
      <c r="G68" s="241" t="s">
        <v>728</v>
      </c>
      <c r="H68" s="244" t="s">
        <v>720</v>
      </c>
      <c r="I68" s="244" t="s">
        <v>107</v>
      </c>
    </row>
    <row r="69" spans="2:13" x14ac:dyDescent="0.25">
      <c r="C69" s="298" t="s">
        <v>741</v>
      </c>
      <c r="D69" s="299"/>
      <c r="E69" s="303">
        <v>31444</v>
      </c>
      <c r="F69" s="57">
        <v>15312.5</v>
      </c>
      <c r="G69" s="301">
        <v>34</v>
      </c>
      <c r="H69" s="57">
        <v>183750</v>
      </c>
      <c r="I69" s="73"/>
      <c r="J69" s="73"/>
      <c r="K69" s="73"/>
      <c r="L69" s="73"/>
      <c r="M69" s="73"/>
    </row>
    <row r="70" spans="2:13" ht="13" thickBot="1" x14ac:dyDescent="0.3">
      <c r="C70" s="298" t="s">
        <v>741</v>
      </c>
      <c r="D70" s="299"/>
      <c r="E70" s="303">
        <v>31444</v>
      </c>
      <c r="F70" s="57">
        <v>2512.25490196077</v>
      </c>
      <c r="G70" s="301">
        <v>34</v>
      </c>
      <c r="H70" s="57">
        <v>30147.058823529402</v>
      </c>
      <c r="I70" s="73"/>
      <c r="J70" s="73"/>
      <c r="K70" s="73"/>
      <c r="L70" s="73"/>
      <c r="M70" s="73"/>
    </row>
    <row r="71" spans="2:13" ht="13" thickBot="1" x14ac:dyDescent="0.3">
      <c r="C71" s="298" t="s">
        <v>742</v>
      </c>
      <c r="D71" s="299"/>
      <c r="E71" s="303">
        <v>41333</v>
      </c>
      <c r="F71" s="255">
        <v>7184</v>
      </c>
      <c r="G71" s="301">
        <v>30</v>
      </c>
      <c r="H71" s="57">
        <v>86211.699351851697</v>
      </c>
      <c r="I71" s="73" t="s">
        <v>743</v>
      </c>
      <c r="J71" s="73"/>
      <c r="K71" s="73"/>
      <c r="L71" s="73"/>
      <c r="M71" s="73"/>
    </row>
    <row r="72" spans="2:13" ht="13" thickBot="1" x14ac:dyDescent="0.3">
      <c r="C72" s="298" t="s">
        <v>744</v>
      </c>
      <c r="D72" s="299"/>
      <c r="E72" s="303">
        <v>41333</v>
      </c>
      <c r="F72" s="255">
        <v>8019</v>
      </c>
      <c r="G72" s="301">
        <v>30</v>
      </c>
      <c r="H72" s="57">
        <v>96228.865740741297</v>
      </c>
      <c r="I72" s="73" t="s">
        <v>743</v>
      </c>
      <c r="J72" s="73"/>
      <c r="K72" s="73"/>
      <c r="L72" s="73"/>
      <c r="M72" s="73"/>
    </row>
    <row r="73" spans="2:13" ht="13.5" thickBot="1" x14ac:dyDescent="0.35">
      <c r="C73" s="304" t="s">
        <v>745</v>
      </c>
      <c r="D73" s="305"/>
      <c r="E73" s="300">
        <v>42460</v>
      </c>
      <c r="F73" s="255">
        <v>17898</v>
      </c>
      <c r="G73" s="306">
        <v>10</v>
      </c>
      <c r="H73" s="311">
        <v>214780.25000000099</v>
      </c>
      <c r="I73" s="307" t="s">
        <v>746</v>
      </c>
      <c r="J73" s="307"/>
      <c r="K73" s="307"/>
      <c r="L73" s="73"/>
      <c r="M73" s="73"/>
    </row>
    <row r="74" spans="2:13" ht="13.5" thickBot="1" x14ac:dyDescent="0.35">
      <c r="C74" s="304" t="s">
        <v>747</v>
      </c>
      <c r="D74" s="305"/>
      <c r="E74" s="300">
        <v>42935</v>
      </c>
      <c r="F74" s="255">
        <v>35414</v>
      </c>
      <c r="G74" s="306">
        <v>30</v>
      </c>
      <c r="H74" s="311">
        <v>424972.77814815001</v>
      </c>
      <c r="I74" s="428"/>
      <c r="J74" s="428"/>
      <c r="K74" s="428"/>
      <c r="L74" s="73"/>
      <c r="M74" s="73"/>
    </row>
    <row r="75" spans="2:13" x14ac:dyDescent="0.25">
      <c r="C75" s="299"/>
      <c r="D75" s="299"/>
      <c r="E75" s="303"/>
      <c r="F75" s="57"/>
      <c r="G75" s="306"/>
      <c r="H75" s="57"/>
      <c r="I75" s="73"/>
      <c r="J75" s="73"/>
      <c r="K75" s="73"/>
      <c r="L75" s="73"/>
      <c r="M75" s="73"/>
    </row>
    <row r="76" spans="2:13" x14ac:dyDescent="0.25">
      <c r="C76" s="299"/>
      <c r="D76" s="299"/>
      <c r="E76" s="303"/>
      <c r="F76" s="57"/>
      <c r="G76" s="306"/>
      <c r="H76" s="57"/>
      <c r="I76" s="73"/>
      <c r="J76" s="73"/>
      <c r="K76" s="73"/>
      <c r="L76" s="73"/>
      <c r="M76" s="73"/>
    </row>
    <row r="77" spans="2:13" x14ac:dyDescent="0.25">
      <c r="C77" s="281"/>
      <c r="D77" s="281"/>
      <c r="F77" s="246">
        <f>SUM(F69:F74)</f>
        <v>86339.754901960769</v>
      </c>
      <c r="H77" s="247">
        <f>SUM(H69:H76)</f>
        <v>1036090.6520642734</v>
      </c>
      <c r="I77" s="238" t="s">
        <v>748</v>
      </c>
    </row>
    <row r="78" spans="2:13" x14ac:dyDescent="0.25">
      <c r="F78" s="308"/>
    </row>
    <row r="79" spans="2:13" x14ac:dyDescent="0.25">
      <c r="B79" s="238" t="s">
        <v>749</v>
      </c>
    </row>
    <row r="80" spans="2:13" x14ac:dyDescent="0.25">
      <c r="B80" s="238" t="s">
        <v>750</v>
      </c>
    </row>
    <row r="81" spans="2:2" x14ac:dyDescent="0.25">
      <c r="B81" s="238" t="s">
        <v>751</v>
      </c>
    </row>
  </sheetData>
  <mergeCells count="1">
    <mergeCell ref="I74:K74"/>
  </mergeCells>
  <pageMargins left="0.7" right="0.7" top="0.75" bottom="0.75" header="0.3" footer="0.3"/>
  <pageSetup scale="55" fitToHeight="0" orientation="landscape" cellComments="asDisplayed" r:id="rId1"/>
  <headerFooter>
    <oddHeader xml:space="preserve">&amp;CSchedule 5 ROR-2
Return and Capitalization
(TO2018 EDIT Adj)&amp;RTO2021 Annual Update
Attachment 4
WP-Schedule 3-One Time Adjustment Transition
Page &amp;P of &amp;N
</oddHeader>
    <oddFooter>&amp;R5-ROR-2</oddFooter>
  </headerFooter>
  <rowBreaks count="1" manualBreakCount="1">
    <brk id="41" max="15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6957C-978D-4D4A-9F2F-9E6F3520109F}">
  <sheetPr codeName="Sheet14">
    <tabColor rgb="FFCCFFCC"/>
  </sheetPr>
  <dimension ref="A1:M444"/>
  <sheetViews>
    <sheetView zoomScaleNormal="100" zoomScaleSheetLayoutView="100" zoomScalePageLayoutView="70" workbookViewId="0"/>
  </sheetViews>
  <sheetFormatPr defaultRowHeight="12.5" x14ac:dyDescent="0.25"/>
  <cols>
    <col min="1" max="1" width="4.54296875" style="319" customWidth="1"/>
    <col min="2" max="2" width="12.54296875" style="319" customWidth="1"/>
    <col min="3" max="3" width="8.54296875" style="319" customWidth="1"/>
    <col min="4" max="4" width="15.453125" style="319" bestFit="1" customWidth="1"/>
    <col min="5" max="5" width="18.54296875" style="319" customWidth="1"/>
    <col min="6" max="6" width="16.453125" style="319" customWidth="1"/>
    <col min="7" max="7" width="13.453125" style="319" customWidth="1"/>
    <col min="8" max="8" width="13.54296875" style="319" bestFit="1" customWidth="1"/>
    <col min="9" max="9" width="17.453125" style="319" customWidth="1"/>
    <col min="10" max="10" width="15.453125" style="319" customWidth="1"/>
    <col min="11" max="11" width="17.453125" style="319" customWidth="1"/>
    <col min="12" max="12" width="14.54296875" style="319" bestFit="1" customWidth="1"/>
    <col min="13" max="13" width="13.453125" style="319" bestFit="1" customWidth="1"/>
    <col min="14" max="16384" width="8.7265625" style="319"/>
  </cols>
  <sheetData>
    <row r="1" spans="1:12" ht="13" x14ac:dyDescent="0.3">
      <c r="A1" s="318" t="s">
        <v>838</v>
      </c>
      <c r="K1" s="318"/>
    </row>
    <row r="2" spans="1:12" ht="13" x14ac:dyDescent="0.3">
      <c r="A2" s="318"/>
      <c r="K2" s="318"/>
    </row>
    <row r="3" spans="1:12" ht="13" x14ac:dyDescent="0.3">
      <c r="A3" s="318"/>
      <c r="B3" s="329" t="s">
        <v>839</v>
      </c>
      <c r="K3" s="318"/>
    </row>
    <row r="4" spans="1:12" ht="13" x14ac:dyDescent="0.3">
      <c r="B4" s="329" t="s">
        <v>840</v>
      </c>
      <c r="K4" s="318"/>
      <c r="L4" s="329"/>
    </row>
    <row r="5" spans="1:12" ht="13" x14ac:dyDescent="0.3">
      <c r="B5" s="329"/>
      <c r="K5" s="318"/>
    </row>
    <row r="6" spans="1:12" ht="13" x14ac:dyDescent="0.3">
      <c r="A6" s="329"/>
      <c r="B6" s="318" t="s">
        <v>841</v>
      </c>
      <c r="K6" s="318"/>
    </row>
    <row r="7" spans="1:12" ht="13" x14ac:dyDescent="0.3">
      <c r="A7" s="329"/>
      <c r="B7" s="318"/>
      <c r="D7" s="363" t="s">
        <v>12</v>
      </c>
      <c r="E7" s="363" t="s">
        <v>343</v>
      </c>
      <c r="F7" s="363" t="s">
        <v>361</v>
      </c>
      <c r="G7" s="363" t="s">
        <v>13</v>
      </c>
      <c r="H7" s="363" t="s">
        <v>362</v>
      </c>
      <c r="I7" s="363" t="s">
        <v>363</v>
      </c>
      <c r="J7" s="363"/>
      <c r="K7" s="318"/>
      <c r="L7" s="363"/>
    </row>
    <row r="8" spans="1:12" x14ac:dyDescent="0.25">
      <c r="D8" s="361" t="s">
        <v>842</v>
      </c>
    </row>
    <row r="9" spans="1:12" x14ac:dyDescent="0.25">
      <c r="D9" s="368" t="s">
        <v>843</v>
      </c>
    </row>
    <row r="10" spans="1:12" ht="13" x14ac:dyDescent="0.3">
      <c r="B10" s="321"/>
    </row>
    <row r="11" spans="1:12" ht="13" x14ac:dyDescent="0.3">
      <c r="B11" s="321"/>
      <c r="D11" s="321" t="s">
        <v>72</v>
      </c>
      <c r="F11" s="321" t="s">
        <v>844</v>
      </c>
      <c r="G11" s="369" t="s">
        <v>845</v>
      </c>
      <c r="H11" s="369" t="s">
        <v>846</v>
      </c>
      <c r="I11" s="321"/>
      <c r="J11" s="321"/>
      <c r="K11" s="329"/>
    </row>
    <row r="12" spans="1:12" ht="13" x14ac:dyDescent="0.3">
      <c r="A12" s="325" t="s">
        <v>22</v>
      </c>
      <c r="B12" s="94" t="s">
        <v>23</v>
      </c>
      <c r="C12" s="94" t="s">
        <v>24</v>
      </c>
      <c r="D12" s="326" t="s">
        <v>847</v>
      </c>
      <c r="E12" s="326" t="s">
        <v>848</v>
      </c>
      <c r="F12" s="326" t="s">
        <v>849</v>
      </c>
      <c r="G12" s="370" t="s">
        <v>850</v>
      </c>
      <c r="H12" s="370" t="s">
        <v>851</v>
      </c>
      <c r="I12" s="326" t="s">
        <v>852</v>
      </c>
      <c r="J12" s="326"/>
      <c r="K12" s="329"/>
    </row>
    <row r="13" spans="1:12" ht="13" x14ac:dyDescent="0.3">
      <c r="A13" s="321">
        <v>1</v>
      </c>
      <c r="B13" s="104" t="s">
        <v>27</v>
      </c>
      <c r="C13" s="371">
        <v>2018</v>
      </c>
      <c r="D13" s="333">
        <f>SUM(E13:I13)+SUM(D33:H33)</f>
        <v>442829075.92005408</v>
      </c>
      <c r="E13" s="372">
        <v>156282.26999999999</v>
      </c>
      <c r="F13" s="373">
        <v>0</v>
      </c>
      <c r="G13" s="373">
        <v>5220451.6500000004</v>
      </c>
      <c r="H13" s="373">
        <v>228226372.41</v>
      </c>
      <c r="I13" s="373">
        <v>0</v>
      </c>
      <c r="J13" s="374"/>
    </row>
    <row r="14" spans="1:12" ht="13" x14ac:dyDescent="0.3">
      <c r="A14" s="321">
        <f>A13+1</f>
        <v>2</v>
      </c>
      <c r="B14" s="104" t="s">
        <v>30</v>
      </c>
      <c r="C14" s="371">
        <v>2019</v>
      </c>
      <c r="D14" s="333">
        <f>SUM(E14:I14)+SUM(D34:H34)</f>
        <v>472722393.05005413</v>
      </c>
      <c r="E14" s="372">
        <v>156282.26999999999</v>
      </c>
      <c r="F14" s="373">
        <v>0</v>
      </c>
      <c r="G14" s="373">
        <v>5266927.67</v>
      </c>
      <c r="H14" s="373">
        <v>253402514.80000001</v>
      </c>
      <c r="I14" s="373">
        <v>0</v>
      </c>
      <c r="J14" s="374"/>
    </row>
    <row r="15" spans="1:12" ht="13" x14ac:dyDescent="0.3">
      <c r="A15" s="321">
        <f t="shared" ref="A15:A26" si="0">A14+1</f>
        <v>3</v>
      </c>
      <c r="B15" s="104" t="s">
        <v>32</v>
      </c>
      <c r="C15" s="371">
        <v>2019</v>
      </c>
      <c r="D15" s="333">
        <f t="shared" ref="D15:D25" si="1">SUM(E15:I15)+SUM(D35:H35)</f>
        <v>487765460.01005411</v>
      </c>
      <c r="E15" s="372">
        <v>156282.26999999999</v>
      </c>
      <c r="F15" s="373">
        <v>0</v>
      </c>
      <c r="G15" s="373">
        <v>5319581.3099999996</v>
      </c>
      <c r="H15" s="373">
        <v>266659186.94999999</v>
      </c>
      <c r="I15" s="373">
        <v>0</v>
      </c>
      <c r="J15" s="374"/>
    </row>
    <row r="16" spans="1:12" ht="13" x14ac:dyDescent="0.3">
      <c r="A16" s="321">
        <f t="shared" si="0"/>
        <v>4</v>
      </c>
      <c r="B16" s="104" t="s">
        <v>34</v>
      </c>
      <c r="C16" s="371">
        <v>2019</v>
      </c>
      <c r="D16" s="333">
        <f t="shared" si="1"/>
        <v>511877474.28005421</v>
      </c>
      <c r="E16" s="372">
        <v>156282.26999999999</v>
      </c>
      <c r="F16" s="373">
        <v>0</v>
      </c>
      <c r="G16" s="373">
        <v>5345711.95</v>
      </c>
      <c r="H16" s="373">
        <v>288804117.97000003</v>
      </c>
      <c r="I16" s="373">
        <v>0</v>
      </c>
      <c r="J16" s="374"/>
    </row>
    <row r="17" spans="1:11" ht="13" x14ac:dyDescent="0.3">
      <c r="A17" s="321">
        <f t="shared" si="0"/>
        <v>5</v>
      </c>
      <c r="B17" s="104" t="s">
        <v>36</v>
      </c>
      <c r="C17" s="371">
        <v>2019</v>
      </c>
      <c r="D17" s="333">
        <f t="shared" si="1"/>
        <v>552987154.63045406</v>
      </c>
      <c r="E17" s="372">
        <v>156915.20000000001</v>
      </c>
      <c r="F17" s="373">
        <v>0</v>
      </c>
      <c r="G17" s="373">
        <v>5406473.5</v>
      </c>
      <c r="H17" s="373">
        <v>317592590.81</v>
      </c>
      <c r="I17" s="373">
        <v>0</v>
      </c>
      <c r="J17" s="374"/>
    </row>
    <row r="18" spans="1:11" ht="13" x14ac:dyDescent="0.3">
      <c r="A18" s="321">
        <f t="shared" si="0"/>
        <v>6</v>
      </c>
      <c r="B18" s="104" t="s">
        <v>37</v>
      </c>
      <c r="C18" s="371">
        <v>2019</v>
      </c>
      <c r="D18" s="333">
        <f t="shared" si="1"/>
        <v>586610506.67005408</v>
      </c>
      <c r="E18" s="372">
        <v>156915.20000000001</v>
      </c>
      <c r="F18" s="373">
        <v>0</v>
      </c>
      <c r="G18" s="373">
        <v>5496940.6399999997</v>
      </c>
      <c r="H18" s="373">
        <v>340944316.75999999</v>
      </c>
      <c r="I18" s="373">
        <v>0</v>
      </c>
      <c r="J18" s="374"/>
    </row>
    <row r="19" spans="1:11" ht="13" x14ac:dyDescent="0.3">
      <c r="A19" s="321">
        <f t="shared" si="0"/>
        <v>7</v>
      </c>
      <c r="B19" s="104" t="s">
        <v>38</v>
      </c>
      <c r="C19" s="371">
        <v>2019</v>
      </c>
      <c r="D19" s="333">
        <f t="shared" si="1"/>
        <v>621571695.64005423</v>
      </c>
      <c r="E19" s="372">
        <v>156915.20000000001</v>
      </c>
      <c r="F19" s="373">
        <v>0</v>
      </c>
      <c r="G19" s="373">
        <v>5505966.71</v>
      </c>
      <c r="H19" s="373">
        <v>363648418.18000001</v>
      </c>
      <c r="I19" s="373">
        <v>0</v>
      </c>
      <c r="J19" s="374"/>
    </row>
    <row r="20" spans="1:11" ht="13" x14ac:dyDescent="0.3">
      <c r="A20" s="321">
        <f t="shared" si="0"/>
        <v>8</v>
      </c>
      <c r="B20" s="104" t="s">
        <v>39</v>
      </c>
      <c r="C20" s="371">
        <v>2019</v>
      </c>
      <c r="D20" s="333">
        <f t="shared" si="1"/>
        <v>644382967.01005423</v>
      </c>
      <c r="E20" s="372">
        <v>156915.20000000001</v>
      </c>
      <c r="F20" s="373">
        <v>0</v>
      </c>
      <c r="G20" s="373">
        <v>5545240.5199999996</v>
      </c>
      <c r="H20" s="373">
        <v>382091968.81</v>
      </c>
      <c r="I20" s="373">
        <v>0</v>
      </c>
      <c r="J20" s="374"/>
    </row>
    <row r="21" spans="1:11" ht="13" x14ac:dyDescent="0.3">
      <c r="A21" s="321">
        <f t="shared" si="0"/>
        <v>9</v>
      </c>
      <c r="B21" s="104" t="s">
        <v>40</v>
      </c>
      <c r="C21" s="371">
        <v>2019</v>
      </c>
      <c r="D21" s="333">
        <f t="shared" si="1"/>
        <v>667018299.47786617</v>
      </c>
      <c r="E21" s="372">
        <v>156915.20000000001</v>
      </c>
      <c r="F21" s="373">
        <v>0</v>
      </c>
      <c r="G21" s="373">
        <v>5551731.0199999996</v>
      </c>
      <c r="H21" s="373">
        <v>399965932.72000003</v>
      </c>
      <c r="I21" s="373">
        <v>0</v>
      </c>
      <c r="J21" s="374"/>
    </row>
    <row r="22" spans="1:11" ht="13" x14ac:dyDescent="0.3">
      <c r="A22" s="321">
        <f t="shared" si="0"/>
        <v>10</v>
      </c>
      <c r="B22" s="104" t="s">
        <v>41</v>
      </c>
      <c r="C22" s="371">
        <v>2019</v>
      </c>
      <c r="D22" s="333">
        <f t="shared" si="1"/>
        <v>705005373.29786611</v>
      </c>
      <c r="E22" s="372">
        <v>156915.20000000001</v>
      </c>
      <c r="F22" s="373">
        <v>0</v>
      </c>
      <c r="G22" s="373">
        <v>5551681.7000000002</v>
      </c>
      <c r="H22" s="373">
        <v>420281394.63</v>
      </c>
      <c r="I22" s="373">
        <v>0</v>
      </c>
      <c r="J22" s="374"/>
    </row>
    <row r="23" spans="1:11" ht="13" x14ac:dyDescent="0.3">
      <c r="A23" s="321">
        <f t="shared" si="0"/>
        <v>11</v>
      </c>
      <c r="B23" s="104" t="s">
        <v>853</v>
      </c>
      <c r="C23" s="371">
        <v>2019</v>
      </c>
      <c r="D23" s="333">
        <f t="shared" si="1"/>
        <v>734731437.8278662</v>
      </c>
      <c r="E23" s="372">
        <v>156915.20000000001</v>
      </c>
      <c r="F23" s="373">
        <v>0</v>
      </c>
      <c r="G23" s="373">
        <v>5553946.6500000004</v>
      </c>
      <c r="H23" s="373">
        <v>441271639.44</v>
      </c>
      <c r="I23" s="373">
        <v>0</v>
      </c>
      <c r="J23" s="374"/>
    </row>
    <row r="24" spans="1:11" ht="13" x14ac:dyDescent="0.3">
      <c r="A24" s="321">
        <f t="shared" si="0"/>
        <v>12</v>
      </c>
      <c r="B24" s="104" t="s">
        <v>43</v>
      </c>
      <c r="C24" s="371">
        <v>2019</v>
      </c>
      <c r="D24" s="333">
        <f t="shared" si="1"/>
        <v>753142415.20786619</v>
      </c>
      <c r="E24" s="372">
        <v>156915.20000000001</v>
      </c>
      <c r="F24" s="373">
        <v>0</v>
      </c>
      <c r="G24" s="373">
        <v>5555762.8799999999</v>
      </c>
      <c r="H24" s="373">
        <v>451949884.19</v>
      </c>
      <c r="I24" s="373">
        <v>0</v>
      </c>
      <c r="J24" s="374"/>
    </row>
    <row r="25" spans="1:11" ht="13" x14ac:dyDescent="0.3">
      <c r="A25" s="321">
        <f t="shared" si="0"/>
        <v>13</v>
      </c>
      <c r="B25" s="104" t="s">
        <v>27</v>
      </c>
      <c r="C25" s="371">
        <v>2019</v>
      </c>
      <c r="D25" s="332">
        <f t="shared" si="1"/>
        <v>647763205.16651607</v>
      </c>
      <c r="E25" s="375">
        <v>157682.99</v>
      </c>
      <c r="F25" s="376">
        <v>0</v>
      </c>
      <c r="G25" s="376">
        <v>5584199.04</v>
      </c>
      <c r="H25" s="376">
        <v>468121962.68000001</v>
      </c>
      <c r="I25" s="376">
        <v>0</v>
      </c>
      <c r="J25" s="374"/>
    </row>
    <row r="26" spans="1:11" ht="13" x14ac:dyDescent="0.3">
      <c r="A26" s="321">
        <f t="shared" si="0"/>
        <v>14</v>
      </c>
      <c r="B26" s="104"/>
      <c r="C26" s="377" t="s">
        <v>854</v>
      </c>
      <c r="D26" s="378">
        <f t="shared" ref="D26:I26" si="2">SUM(D13:D25)/13</f>
        <v>602185189.09144735</v>
      </c>
      <c r="E26" s="379">
        <f>SUM(E13:E25)/13</f>
        <v>156779.51307692306</v>
      </c>
      <c r="F26" s="379">
        <f t="shared" si="2"/>
        <v>0</v>
      </c>
      <c r="G26" s="379">
        <f t="shared" si="2"/>
        <v>5454201.1723076934</v>
      </c>
      <c r="H26" s="379">
        <f t="shared" si="2"/>
        <v>355612330.7961539</v>
      </c>
      <c r="I26" s="379">
        <f t="shared" si="2"/>
        <v>0</v>
      </c>
      <c r="J26" s="374"/>
      <c r="K26" s="374"/>
    </row>
    <row r="27" spans="1:11" ht="13" x14ac:dyDescent="0.3">
      <c r="A27" s="321"/>
      <c r="B27" s="104"/>
      <c r="C27" s="377"/>
      <c r="D27" s="379"/>
      <c r="E27" s="379"/>
      <c r="F27" s="379"/>
      <c r="G27" s="379"/>
      <c r="H27" s="379"/>
      <c r="I27" s="374"/>
      <c r="J27" s="331"/>
      <c r="K27" s="374"/>
    </row>
    <row r="28" spans="1:11" ht="13" x14ac:dyDescent="0.3">
      <c r="A28" s="321"/>
      <c r="B28" s="104"/>
      <c r="C28" s="377"/>
      <c r="D28" s="363" t="s">
        <v>364</v>
      </c>
      <c r="E28" s="363" t="s">
        <v>451</v>
      </c>
      <c r="F28" s="363" t="s">
        <v>685</v>
      </c>
      <c r="G28" s="363" t="s">
        <v>686</v>
      </c>
      <c r="H28" s="363" t="s">
        <v>687</v>
      </c>
      <c r="I28" s="363" t="s">
        <v>688</v>
      </c>
      <c r="J28" s="331"/>
      <c r="K28" s="374"/>
    </row>
    <row r="29" spans="1:11" ht="13" x14ac:dyDescent="0.3">
      <c r="A29" s="321"/>
      <c r="B29" s="104"/>
      <c r="C29" s="377"/>
      <c r="E29" s="369" t="s">
        <v>855</v>
      </c>
      <c r="F29" s="369"/>
      <c r="G29" s="369"/>
      <c r="H29" s="379"/>
      <c r="I29" s="374"/>
      <c r="J29" s="331"/>
      <c r="K29" s="374"/>
    </row>
    <row r="30" spans="1:11" ht="13" x14ac:dyDescent="0.3">
      <c r="B30" s="321"/>
      <c r="D30" s="321" t="s">
        <v>856</v>
      </c>
      <c r="E30" s="321" t="s">
        <v>857</v>
      </c>
      <c r="F30" s="369"/>
      <c r="G30" s="369"/>
      <c r="H30" s="379"/>
      <c r="I30" s="374"/>
      <c r="J30" s="331"/>
      <c r="K30" s="374"/>
    </row>
    <row r="31" spans="1:11" ht="13" x14ac:dyDescent="0.3">
      <c r="B31" s="321"/>
      <c r="D31" s="321" t="s">
        <v>858</v>
      </c>
      <c r="E31" s="321" t="s">
        <v>858</v>
      </c>
      <c r="F31" s="372"/>
      <c r="G31" s="380"/>
      <c r="H31" s="381" t="s">
        <v>859</v>
      </c>
      <c r="I31" s="380"/>
      <c r="J31" s="374"/>
      <c r="K31" s="374"/>
    </row>
    <row r="32" spans="1:11" ht="13.5" thickBot="1" x14ac:dyDescent="0.35">
      <c r="A32" s="325" t="s">
        <v>22</v>
      </c>
      <c r="B32" s="94" t="s">
        <v>23</v>
      </c>
      <c r="C32" s="94" t="s">
        <v>24</v>
      </c>
      <c r="D32" s="326" t="s">
        <v>860</v>
      </c>
      <c r="E32" s="326" t="s">
        <v>860</v>
      </c>
      <c r="F32" s="382" t="s">
        <v>861</v>
      </c>
      <c r="G32" s="382" t="s">
        <v>862</v>
      </c>
      <c r="H32" s="382" t="s">
        <v>863</v>
      </c>
      <c r="I32" s="382"/>
      <c r="J32" s="374"/>
      <c r="K32" s="374"/>
    </row>
    <row r="33" spans="1:11" ht="13" x14ac:dyDescent="0.3">
      <c r="A33" s="321">
        <f>+A26+1</f>
        <v>15</v>
      </c>
      <c r="B33" s="104" t="s">
        <v>27</v>
      </c>
      <c r="C33" s="371">
        <v>2018</v>
      </c>
      <c r="D33" s="373">
        <v>0</v>
      </c>
      <c r="E33" s="373">
        <v>0</v>
      </c>
      <c r="F33" s="383">
        <f>123208373.91+456370.793538</f>
        <v>123664744.703538</v>
      </c>
      <c r="G33" s="383">
        <f>20101220.48+238526.030866624</f>
        <v>20339746.510866623</v>
      </c>
      <c r="H33" s="383">
        <f>65187846.76+33631.6156495245</f>
        <v>65221478.375649519</v>
      </c>
      <c r="I33" s="384"/>
      <c r="J33" s="374"/>
      <c r="K33" s="374"/>
    </row>
    <row r="34" spans="1:11" ht="13" x14ac:dyDescent="0.3">
      <c r="A34" s="321">
        <f>A33+1</f>
        <v>16</v>
      </c>
      <c r="B34" s="104" t="s">
        <v>30</v>
      </c>
      <c r="C34" s="371">
        <v>2019</v>
      </c>
      <c r="D34" s="373">
        <v>0</v>
      </c>
      <c r="E34" s="373">
        <v>0</v>
      </c>
      <c r="F34" s="385">
        <f>128092182.55+456370.793538</f>
        <v>128548553.343538</v>
      </c>
      <c r="G34" s="385">
        <f>20216360.84+238526.030866624</f>
        <v>20454886.870866623</v>
      </c>
      <c r="H34" s="385">
        <f>64859596.48+33631.6156495245</f>
        <v>64893228.095649518</v>
      </c>
      <c r="I34" s="384"/>
      <c r="J34" s="374"/>
      <c r="K34" s="374"/>
    </row>
    <row r="35" spans="1:11" ht="13" x14ac:dyDescent="0.3">
      <c r="A35" s="321">
        <f t="shared" ref="A35:A46" si="3">A34+1</f>
        <v>17</v>
      </c>
      <c r="B35" s="104" t="s">
        <v>32</v>
      </c>
      <c r="C35" s="371">
        <v>2019</v>
      </c>
      <c r="D35" s="373">
        <v>0</v>
      </c>
      <c r="E35" s="373">
        <v>0</v>
      </c>
      <c r="F35" s="385">
        <f>129020038.06+456370.793538</f>
        <v>129476408.85353801</v>
      </c>
      <c r="G35" s="385">
        <f>20299975.9+238526.030866624</f>
        <v>20538501.930866621</v>
      </c>
      <c r="H35" s="385">
        <f>65581867.08+33631.6156495245</f>
        <v>65615498.69564952</v>
      </c>
      <c r="I35" s="384"/>
      <c r="J35" s="374"/>
      <c r="K35" s="374"/>
    </row>
    <row r="36" spans="1:11" ht="13" x14ac:dyDescent="0.3">
      <c r="A36" s="321">
        <f t="shared" si="3"/>
        <v>18</v>
      </c>
      <c r="B36" s="104" t="s">
        <v>34</v>
      </c>
      <c r="C36" s="371">
        <v>2019</v>
      </c>
      <c r="D36" s="373">
        <v>0</v>
      </c>
      <c r="E36" s="373">
        <v>0</v>
      </c>
      <c r="F36" s="385">
        <f>129270522.58+456370.793538</f>
        <v>129726893.373538</v>
      </c>
      <c r="G36" s="385">
        <f>20340469.41+238526.030866624</f>
        <v>20578995.440866623</v>
      </c>
      <c r="H36" s="385">
        <f>67231841.66+33631.6156495245</f>
        <v>67265473.275649518</v>
      </c>
      <c r="I36" s="384"/>
      <c r="J36" s="374"/>
      <c r="K36" s="374"/>
    </row>
    <row r="37" spans="1:11" ht="13" x14ac:dyDescent="0.3">
      <c r="A37" s="321">
        <f t="shared" si="3"/>
        <v>19</v>
      </c>
      <c r="B37" s="104" t="s">
        <v>36</v>
      </c>
      <c r="C37" s="371">
        <v>2019</v>
      </c>
      <c r="D37" s="373">
        <v>0</v>
      </c>
      <c r="E37" s="373">
        <v>0</v>
      </c>
      <c r="F37" s="385">
        <f>140178321.44+456370.793538</f>
        <v>140634692.233538</v>
      </c>
      <c r="G37" s="385">
        <f>20568513.64+330922.741266624</f>
        <v>20899436.381266624</v>
      </c>
      <c r="H37" s="385">
        <f>68263414.89+33631.6156495245</f>
        <v>68297046.505649522</v>
      </c>
      <c r="I37" s="384"/>
      <c r="J37" s="374"/>
      <c r="K37" s="374"/>
    </row>
    <row r="38" spans="1:11" ht="13" x14ac:dyDescent="0.3">
      <c r="A38" s="321">
        <f t="shared" si="3"/>
        <v>20</v>
      </c>
      <c r="B38" s="104" t="s">
        <v>37</v>
      </c>
      <c r="C38" s="371">
        <v>2019</v>
      </c>
      <c r="D38" s="373">
        <v>0</v>
      </c>
      <c r="E38" s="373">
        <v>0</v>
      </c>
      <c r="F38" s="385">
        <f>148755309.84+456370.793538</f>
        <v>149211680.63353801</v>
      </c>
      <c r="G38" s="385">
        <f>20672615.48+238526.030866624</f>
        <v>20911141.510866623</v>
      </c>
      <c r="H38" s="385">
        <f>69855849.39+33662.5356495245</f>
        <v>69889511.925649524</v>
      </c>
      <c r="I38" s="384"/>
      <c r="J38" s="374"/>
      <c r="K38" s="374"/>
    </row>
    <row r="39" spans="1:11" ht="13" x14ac:dyDescent="0.3">
      <c r="A39" s="321">
        <f t="shared" si="3"/>
        <v>21</v>
      </c>
      <c r="B39" s="104" t="s">
        <v>38</v>
      </c>
      <c r="C39" s="371">
        <v>2019</v>
      </c>
      <c r="D39" s="373">
        <v>0</v>
      </c>
      <c r="E39" s="373">
        <v>87058.16</v>
      </c>
      <c r="F39" s="385">
        <f>158253219.63+456370.793538</f>
        <v>158709590.423538</v>
      </c>
      <c r="G39" s="385">
        <f>20786417.91+238526.030866624</f>
        <v>21024943.940866623</v>
      </c>
      <c r="H39" s="385">
        <f>72405171.41+33631.6156495245</f>
        <v>72438803.025649518</v>
      </c>
      <c r="I39" s="384"/>
      <c r="J39" s="374"/>
      <c r="K39" s="374"/>
    </row>
    <row r="40" spans="1:11" ht="13" x14ac:dyDescent="0.3">
      <c r="A40" s="321">
        <f t="shared" si="3"/>
        <v>22</v>
      </c>
      <c r="B40" s="104" t="s">
        <v>39</v>
      </c>
      <c r="C40" s="371">
        <v>2019</v>
      </c>
      <c r="D40" s="373">
        <v>0</v>
      </c>
      <c r="E40" s="373">
        <v>98390.36</v>
      </c>
      <c r="F40" s="385">
        <f>160897148.81+456370.793538</f>
        <v>161353519.60353801</v>
      </c>
      <c r="G40" s="385">
        <f>20870506.37+238526.030866624</f>
        <v>21109032.400866624</v>
      </c>
      <c r="H40" s="385">
        <f>73994268.5+33631.6156495245</f>
        <v>74027900.115649521</v>
      </c>
      <c r="I40" s="384"/>
      <c r="J40" s="374"/>
      <c r="K40" s="374"/>
    </row>
    <row r="41" spans="1:11" ht="13" x14ac:dyDescent="0.3">
      <c r="A41" s="321">
        <f t="shared" si="3"/>
        <v>23</v>
      </c>
      <c r="B41" s="104" t="s">
        <v>40</v>
      </c>
      <c r="C41" s="371">
        <v>2019</v>
      </c>
      <c r="D41" s="373">
        <v>0</v>
      </c>
      <c r="E41" s="373">
        <v>111924.3</v>
      </c>
      <c r="F41" s="385">
        <f>163331531.42+464831.88135</f>
        <v>163796363.30135</v>
      </c>
      <c r="G41" s="385">
        <f>21042056.66+238526.030866624</f>
        <v>21280582.690866623</v>
      </c>
      <c r="H41" s="385">
        <f>76121218.63+33631.6156495245</f>
        <v>76154850.245649517</v>
      </c>
      <c r="I41" s="384"/>
      <c r="J41" s="374"/>
      <c r="K41" s="374"/>
    </row>
    <row r="42" spans="1:11" ht="13" x14ac:dyDescent="0.3">
      <c r="A42" s="321">
        <f t="shared" si="3"/>
        <v>24</v>
      </c>
      <c r="B42" s="104" t="s">
        <v>41</v>
      </c>
      <c r="C42" s="371">
        <v>2019</v>
      </c>
      <c r="D42" s="373">
        <v>0</v>
      </c>
      <c r="E42" s="373">
        <v>122336.3</v>
      </c>
      <c r="F42" s="385">
        <f>172963345.62+464831.88135</f>
        <v>173428177.50135002</v>
      </c>
      <c r="G42" s="385">
        <f>21184791.1+238526.030866624</f>
        <v>21423317.130866624</v>
      </c>
      <c r="H42" s="385">
        <f>84007919.22+33631.6156495245</f>
        <v>84041550.83564952</v>
      </c>
      <c r="I42" s="384"/>
      <c r="J42" s="374"/>
      <c r="K42" s="374"/>
    </row>
    <row r="43" spans="1:11" ht="13" x14ac:dyDescent="0.3">
      <c r="A43" s="321">
        <f t="shared" si="3"/>
        <v>25</v>
      </c>
      <c r="B43" s="104" t="s">
        <v>853</v>
      </c>
      <c r="C43" s="371">
        <v>2019</v>
      </c>
      <c r="D43" s="373">
        <v>0</v>
      </c>
      <c r="E43" s="373">
        <v>148302.65</v>
      </c>
      <c r="F43" s="385">
        <f>180404574.19+464831.88135</f>
        <v>180869406.07135001</v>
      </c>
      <c r="G43" s="385">
        <f>21434293.42+238526.030866624</f>
        <v>21672819.450866625</v>
      </c>
      <c r="H43" s="385">
        <f>85024776.75+33631.6156495245</f>
        <v>85058408.365649521</v>
      </c>
      <c r="I43" s="384"/>
      <c r="J43" s="374"/>
      <c r="K43" s="374"/>
    </row>
    <row r="44" spans="1:11" ht="13" x14ac:dyDescent="0.3">
      <c r="A44" s="321">
        <f t="shared" si="3"/>
        <v>26</v>
      </c>
      <c r="B44" s="104" t="s">
        <v>43</v>
      </c>
      <c r="C44" s="371">
        <v>2019</v>
      </c>
      <c r="D44" s="373">
        <v>0</v>
      </c>
      <c r="E44" s="373">
        <v>284388.24</v>
      </c>
      <c r="F44" s="386">
        <f>184436998.32+464831.88135</f>
        <v>184901830.20135</v>
      </c>
      <c r="G44" s="386">
        <f>21570700.27+238526.030866624</f>
        <v>21809226.300866622</v>
      </c>
      <c r="H44" s="387">
        <f>88450776.58+33631.6156495245</f>
        <v>88484408.19564952</v>
      </c>
      <c r="I44" s="384"/>
      <c r="J44" s="374"/>
      <c r="K44" s="374"/>
    </row>
    <row r="45" spans="1:11" ht="13.5" thickBot="1" x14ac:dyDescent="0.35">
      <c r="A45" s="321">
        <f t="shared" si="3"/>
        <v>27</v>
      </c>
      <c r="B45" s="104" t="s">
        <v>27</v>
      </c>
      <c r="C45" s="371">
        <v>2019</v>
      </c>
      <c r="D45" s="376">
        <v>0</v>
      </c>
      <c r="E45" s="376">
        <v>301246.76</v>
      </c>
      <c r="F45" s="388">
        <f>49845413.41+9529.5</f>
        <v>49854942.909999996</v>
      </c>
      <c r="G45" s="388">
        <f>21762814.39+238526.030866624</f>
        <v>22001340.420866624</v>
      </c>
      <c r="H45" s="389">
        <f>101708198.75+33631.6156495245</f>
        <v>101741830.36564952</v>
      </c>
      <c r="I45" s="384"/>
      <c r="J45" s="374"/>
      <c r="K45" s="374"/>
    </row>
    <row r="46" spans="1:11" ht="13" x14ac:dyDescent="0.3">
      <c r="A46" s="321">
        <f t="shared" si="3"/>
        <v>28</v>
      </c>
      <c r="B46" s="104"/>
      <c r="C46" s="377" t="s">
        <v>854</v>
      </c>
      <c r="D46" s="379">
        <f>SUM(D33:D45)/13</f>
        <v>0</v>
      </c>
      <c r="E46" s="379">
        <f>SUM(E33:E45)/13</f>
        <v>88742.059230769228</v>
      </c>
      <c r="F46" s="378">
        <f>SUM(F33:F45)/13</f>
        <v>144167446.39643878</v>
      </c>
      <c r="G46" s="378">
        <f>SUM(G33:G45)/13</f>
        <v>21080305.460128166</v>
      </c>
      <c r="H46" s="378">
        <f>SUM(H33:H45)/13</f>
        <v>75625383.694111049</v>
      </c>
      <c r="I46" s="390" t="s">
        <v>28</v>
      </c>
      <c r="J46" s="374"/>
      <c r="K46" s="374"/>
    </row>
    <row r="48" spans="1:11" ht="13" x14ac:dyDescent="0.3">
      <c r="B48" s="391" t="s">
        <v>864</v>
      </c>
    </row>
    <row r="49" spans="1:13" ht="13" x14ac:dyDescent="0.3">
      <c r="B49" s="391"/>
      <c r="D49" s="326" t="s">
        <v>12</v>
      </c>
      <c r="E49" s="326" t="s">
        <v>343</v>
      </c>
      <c r="F49" s="326" t="s">
        <v>361</v>
      </c>
      <c r="G49" s="326" t="s">
        <v>13</v>
      </c>
      <c r="H49" s="326" t="s">
        <v>362</v>
      </c>
      <c r="I49" s="326" t="s">
        <v>363</v>
      </c>
      <c r="J49" s="326" t="s">
        <v>364</v>
      </c>
      <c r="K49" s="326" t="s">
        <v>451</v>
      </c>
    </row>
    <row r="50" spans="1:13" s="392" customFormat="1" x14ac:dyDescent="0.25">
      <c r="D50" s="361" t="s">
        <v>54</v>
      </c>
      <c r="E50" s="361" t="s">
        <v>54</v>
      </c>
      <c r="F50" s="361" t="s">
        <v>54</v>
      </c>
      <c r="G50" s="361" t="s">
        <v>54</v>
      </c>
      <c r="H50" s="361" t="s">
        <v>54</v>
      </c>
      <c r="I50" s="361" t="s">
        <v>54</v>
      </c>
      <c r="J50" s="361" t="s">
        <v>54</v>
      </c>
      <c r="K50" s="361" t="s">
        <v>54</v>
      </c>
    </row>
    <row r="51" spans="1:13" ht="13" x14ac:dyDescent="0.3">
      <c r="G51" s="321" t="s">
        <v>865</v>
      </c>
      <c r="K51" s="321"/>
    </row>
    <row r="52" spans="1:13" ht="13" x14ac:dyDescent="0.3">
      <c r="A52" s="321"/>
      <c r="B52" s="321"/>
      <c r="C52" s="321"/>
      <c r="D52" s="321" t="s">
        <v>866</v>
      </c>
      <c r="E52" s="321" t="s">
        <v>867</v>
      </c>
      <c r="F52" s="321" t="s">
        <v>868</v>
      </c>
      <c r="G52" s="321" t="s">
        <v>344</v>
      </c>
      <c r="H52" s="321" t="s">
        <v>869</v>
      </c>
      <c r="I52" s="393" t="s">
        <v>870</v>
      </c>
      <c r="J52" s="321" t="s">
        <v>866</v>
      </c>
      <c r="K52" s="321" t="s">
        <v>871</v>
      </c>
    </row>
    <row r="53" spans="1:13" ht="13" x14ac:dyDescent="0.3">
      <c r="A53" s="325" t="s">
        <v>22</v>
      </c>
      <c r="B53" s="94" t="s">
        <v>23</v>
      </c>
      <c r="C53" s="94" t="s">
        <v>24</v>
      </c>
      <c r="D53" s="326" t="s">
        <v>872</v>
      </c>
      <c r="E53" s="326" t="s">
        <v>873</v>
      </c>
      <c r="F53" s="326" t="s">
        <v>874</v>
      </c>
      <c r="G53" s="326" t="s">
        <v>875</v>
      </c>
      <c r="H53" s="326" t="s">
        <v>876</v>
      </c>
      <c r="I53" s="326" t="s">
        <v>877</v>
      </c>
      <c r="J53" s="326" t="s">
        <v>878</v>
      </c>
      <c r="K53" s="326" t="s">
        <v>879</v>
      </c>
    </row>
    <row r="54" spans="1:13" ht="13" x14ac:dyDescent="0.3">
      <c r="A54" s="321">
        <f>A46+1</f>
        <v>29</v>
      </c>
      <c r="B54" s="104" t="s">
        <v>27</v>
      </c>
      <c r="C54" s="371">
        <v>2019</v>
      </c>
      <c r="D54" s="356" t="s">
        <v>28</v>
      </c>
      <c r="E54" s="356" t="s">
        <v>28</v>
      </c>
      <c r="F54" s="356" t="s">
        <v>28</v>
      </c>
      <c r="G54" s="356" t="s">
        <v>28</v>
      </c>
      <c r="H54" s="356" t="s">
        <v>28</v>
      </c>
      <c r="I54" s="356" t="s">
        <v>28</v>
      </c>
      <c r="J54" s="328">
        <f>D25</f>
        <v>647763205.16651607</v>
      </c>
      <c r="K54" s="356" t="s">
        <v>28</v>
      </c>
    </row>
    <row r="55" spans="1:13" ht="13" x14ac:dyDescent="0.3">
      <c r="A55" s="321">
        <f>A54+1</f>
        <v>30</v>
      </c>
      <c r="B55" s="104" t="s">
        <v>30</v>
      </c>
      <c r="C55" s="371">
        <v>2020</v>
      </c>
      <c r="D55" s="328">
        <f t="shared" ref="D55:K70" si="4">D89+D122+D153+D186+D217+D250+D281+D314+D345+D378</f>
        <v>19435447.518800002</v>
      </c>
      <c r="E55" s="328">
        <f t="shared" si="4"/>
        <v>1457658.56391</v>
      </c>
      <c r="F55" s="328">
        <f t="shared" si="4"/>
        <v>20893106.082710002</v>
      </c>
      <c r="G55" s="328">
        <f t="shared" si="4"/>
        <v>1653969.8068000001</v>
      </c>
      <c r="H55" s="328">
        <f t="shared" si="4"/>
        <v>0</v>
      </c>
      <c r="I55" s="328">
        <f t="shared" si="4"/>
        <v>124047.73551000001</v>
      </c>
      <c r="J55" s="328">
        <f>J89+J122+J153+J186+J217+J250+J281+J314+J345+J378</f>
        <v>565136463.34126675</v>
      </c>
      <c r="K55" s="328">
        <f t="shared" si="4"/>
        <v>19115088.540399995</v>
      </c>
      <c r="L55" s="394"/>
      <c r="M55" s="328"/>
    </row>
    <row r="56" spans="1:13" ht="13" x14ac:dyDescent="0.3">
      <c r="A56" s="321">
        <f t="shared" ref="A56:A79" si="5">A55+1</f>
        <v>31</v>
      </c>
      <c r="B56" s="104" t="s">
        <v>32</v>
      </c>
      <c r="C56" s="371">
        <v>2020</v>
      </c>
      <c r="D56" s="328">
        <f t="shared" si="4"/>
        <v>25334195.647</v>
      </c>
      <c r="E56" s="328">
        <f t="shared" si="4"/>
        <v>1900064.673525</v>
      </c>
      <c r="F56" s="328">
        <f t="shared" si="4"/>
        <v>27234260.320525002</v>
      </c>
      <c r="G56" s="328">
        <f t="shared" si="4"/>
        <v>1502677.0510000004</v>
      </c>
      <c r="H56" s="328">
        <f t="shared" si="4"/>
        <v>0</v>
      </c>
      <c r="I56" s="328">
        <f t="shared" si="4"/>
        <v>112700.77882500002</v>
      </c>
      <c r="J56" s="328">
        <f t="shared" si="4"/>
        <v>590755345.83196664</v>
      </c>
      <c r="K56" s="328">
        <f t="shared" si="4"/>
        <v>44733971.031099997</v>
      </c>
      <c r="L56" s="394"/>
      <c r="M56" s="328"/>
    </row>
    <row r="57" spans="1:13" ht="13" x14ac:dyDescent="0.3">
      <c r="A57" s="321">
        <f t="shared" si="5"/>
        <v>32</v>
      </c>
      <c r="B57" s="104" t="s">
        <v>34</v>
      </c>
      <c r="C57" s="371">
        <v>2020</v>
      </c>
      <c r="D57" s="328">
        <f t="shared" si="4"/>
        <v>17847111.862</v>
      </c>
      <c r="E57" s="328">
        <f t="shared" si="4"/>
        <v>1338533.38965</v>
      </c>
      <c r="F57" s="328">
        <f t="shared" si="4"/>
        <v>19185645.251650002</v>
      </c>
      <c r="G57" s="328">
        <f t="shared" si="4"/>
        <v>984871.10199999996</v>
      </c>
      <c r="H57" s="328">
        <f t="shared" si="4"/>
        <v>0</v>
      </c>
      <c r="I57" s="328">
        <f t="shared" si="4"/>
        <v>73865.332649999997</v>
      </c>
      <c r="J57" s="328">
        <f t="shared" si="4"/>
        <v>608882254.64896667</v>
      </c>
      <c r="K57" s="328">
        <f t="shared" si="4"/>
        <v>62860879.848100007</v>
      </c>
      <c r="L57" s="394"/>
      <c r="M57" s="328"/>
    </row>
    <row r="58" spans="1:13" ht="13" x14ac:dyDescent="0.3">
      <c r="A58" s="321">
        <f t="shared" si="5"/>
        <v>33</v>
      </c>
      <c r="B58" s="104" t="s">
        <v>36</v>
      </c>
      <c r="C58" s="371">
        <v>2020</v>
      </c>
      <c r="D58" s="328">
        <f t="shared" si="4"/>
        <v>27053200.310000002</v>
      </c>
      <c r="E58" s="328">
        <f t="shared" si="4"/>
        <v>2028990.0232500001</v>
      </c>
      <c r="F58" s="328">
        <f t="shared" si="4"/>
        <v>29082190.333250001</v>
      </c>
      <c r="G58" s="328">
        <f t="shared" si="4"/>
        <v>217331.31</v>
      </c>
      <c r="H58" s="328">
        <f t="shared" si="4"/>
        <v>0</v>
      </c>
      <c r="I58" s="328">
        <f t="shared" si="4"/>
        <v>16299.848249999999</v>
      </c>
      <c r="J58" s="328">
        <f t="shared" si="4"/>
        <v>637730813.82396662</v>
      </c>
      <c r="K58" s="328">
        <f t="shared" si="4"/>
        <v>91709439.023099974</v>
      </c>
      <c r="L58" s="394"/>
      <c r="M58" s="328"/>
    </row>
    <row r="59" spans="1:13" ht="13" x14ac:dyDescent="0.3">
      <c r="A59" s="321">
        <f t="shared" si="5"/>
        <v>34</v>
      </c>
      <c r="B59" s="104" t="s">
        <v>37</v>
      </c>
      <c r="C59" s="371">
        <v>2020</v>
      </c>
      <c r="D59" s="328">
        <f t="shared" si="4"/>
        <v>31518597.073999997</v>
      </c>
      <c r="E59" s="328">
        <f t="shared" si="4"/>
        <v>2363894.7805499993</v>
      </c>
      <c r="F59" s="328">
        <f t="shared" si="4"/>
        <v>33882491.854549997</v>
      </c>
      <c r="G59" s="328">
        <f t="shared" si="4"/>
        <v>486868.45000000007</v>
      </c>
      <c r="H59" s="328">
        <f t="shared" si="4"/>
        <v>344737.14</v>
      </c>
      <c r="I59" s="328">
        <f t="shared" si="4"/>
        <v>10659.848250000003</v>
      </c>
      <c r="J59" s="328">
        <f t="shared" si="4"/>
        <v>671115777.38026667</v>
      </c>
      <c r="K59" s="328">
        <f t="shared" si="4"/>
        <v>125094402.57939997</v>
      </c>
      <c r="L59" s="394"/>
      <c r="M59" s="328"/>
    </row>
    <row r="60" spans="1:13" ht="13" x14ac:dyDescent="0.3">
      <c r="A60" s="321">
        <f t="shared" si="5"/>
        <v>35</v>
      </c>
      <c r="B60" s="104" t="s">
        <v>471</v>
      </c>
      <c r="C60" s="371">
        <v>2020</v>
      </c>
      <c r="D60" s="328">
        <f t="shared" si="4"/>
        <v>25116078.349799998</v>
      </c>
      <c r="E60" s="328">
        <f t="shared" si="4"/>
        <v>1883705.8762349999</v>
      </c>
      <c r="F60" s="328">
        <f t="shared" si="4"/>
        <v>26999784.226034999</v>
      </c>
      <c r="G60" s="328">
        <f t="shared" si="4"/>
        <v>733106.59579999989</v>
      </c>
      <c r="H60" s="328">
        <f t="shared" si="4"/>
        <v>410800.01</v>
      </c>
      <c r="I60" s="328">
        <f t="shared" si="4"/>
        <v>24172.993934999991</v>
      </c>
      <c r="J60" s="328">
        <f t="shared" si="4"/>
        <v>697358282.01656663</v>
      </c>
      <c r="K60" s="328">
        <f t="shared" si="4"/>
        <v>151336907.21569997</v>
      </c>
      <c r="L60" s="394"/>
      <c r="M60" s="328"/>
    </row>
    <row r="61" spans="1:13" ht="13" x14ac:dyDescent="0.3">
      <c r="A61" s="321">
        <f t="shared" si="5"/>
        <v>36</v>
      </c>
      <c r="B61" s="104" t="s">
        <v>39</v>
      </c>
      <c r="C61" s="371">
        <v>2020</v>
      </c>
      <c r="D61" s="328">
        <f t="shared" si="4"/>
        <v>29486197.903999999</v>
      </c>
      <c r="E61" s="328">
        <f t="shared" si="4"/>
        <v>2211464.8428000002</v>
      </c>
      <c r="F61" s="328">
        <f t="shared" si="4"/>
        <v>31697662.746799998</v>
      </c>
      <c r="G61" s="328">
        <f t="shared" si="4"/>
        <v>21632.14</v>
      </c>
      <c r="H61" s="328">
        <f t="shared" si="4"/>
        <v>0</v>
      </c>
      <c r="I61" s="328">
        <f t="shared" si="4"/>
        <v>1622.4105</v>
      </c>
      <c r="J61" s="328">
        <f t="shared" si="4"/>
        <v>729032690.21286654</v>
      </c>
      <c r="K61" s="328">
        <f t="shared" si="4"/>
        <v>183011315.41199997</v>
      </c>
      <c r="L61" s="394"/>
      <c r="M61" s="328"/>
    </row>
    <row r="62" spans="1:13" ht="13" x14ac:dyDescent="0.3">
      <c r="A62" s="321">
        <f t="shared" si="5"/>
        <v>37</v>
      </c>
      <c r="B62" s="104" t="s">
        <v>40</v>
      </c>
      <c r="C62" s="371">
        <v>2020</v>
      </c>
      <c r="D62" s="328">
        <f t="shared" si="4"/>
        <v>26810024.675999999</v>
      </c>
      <c r="E62" s="328">
        <f t="shared" si="4"/>
        <v>2010751.8507000001</v>
      </c>
      <c r="F62" s="328">
        <f t="shared" si="4"/>
        <v>28820776.526700001</v>
      </c>
      <c r="G62" s="328">
        <f t="shared" si="4"/>
        <v>21632.14</v>
      </c>
      <c r="H62" s="328">
        <f t="shared" si="4"/>
        <v>0</v>
      </c>
      <c r="I62" s="328">
        <f t="shared" si="4"/>
        <v>1622.4105</v>
      </c>
      <c r="J62" s="328">
        <f t="shared" si="4"/>
        <v>757830212.18906665</v>
      </c>
      <c r="K62" s="328">
        <f t="shared" si="4"/>
        <v>211808837.38819999</v>
      </c>
      <c r="L62" s="394"/>
      <c r="M62" s="328"/>
    </row>
    <row r="63" spans="1:13" ht="13" x14ac:dyDescent="0.3">
      <c r="A63" s="321">
        <f t="shared" si="5"/>
        <v>38</v>
      </c>
      <c r="B63" s="104" t="s">
        <v>41</v>
      </c>
      <c r="C63" s="371">
        <v>2020</v>
      </c>
      <c r="D63" s="328">
        <f t="shared" si="4"/>
        <v>24474044.903999999</v>
      </c>
      <c r="E63" s="328">
        <f t="shared" si="4"/>
        <v>1835553.3677999999</v>
      </c>
      <c r="F63" s="328">
        <f t="shared" si="4"/>
        <v>26309598.2718</v>
      </c>
      <c r="G63" s="328">
        <f t="shared" si="4"/>
        <v>21632.14</v>
      </c>
      <c r="H63" s="328">
        <f t="shared" si="4"/>
        <v>0</v>
      </c>
      <c r="I63" s="328">
        <f t="shared" si="4"/>
        <v>1622.4105</v>
      </c>
      <c r="J63" s="328">
        <f t="shared" si="4"/>
        <v>784116555.91036665</v>
      </c>
      <c r="K63" s="328">
        <f t="shared" si="4"/>
        <v>238095181.10949993</v>
      </c>
      <c r="L63" s="394"/>
      <c r="M63" s="328"/>
    </row>
    <row r="64" spans="1:13" ht="13" x14ac:dyDescent="0.3">
      <c r="A64" s="321">
        <f t="shared" si="5"/>
        <v>39</v>
      </c>
      <c r="B64" s="104" t="s">
        <v>42</v>
      </c>
      <c r="C64" s="371">
        <v>2020</v>
      </c>
      <c r="D64" s="328">
        <f t="shared" si="4"/>
        <v>24267434.903999999</v>
      </c>
      <c r="E64" s="328">
        <f t="shared" si="4"/>
        <v>1820057.6177999999</v>
      </c>
      <c r="F64" s="328">
        <f t="shared" si="4"/>
        <v>26087492.5218</v>
      </c>
      <c r="G64" s="328">
        <f t="shared" si="4"/>
        <v>20965331.019999996</v>
      </c>
      <c r="H64" s="328">
        <f t="shared" si="4"/>
        <v>17136385.879999999</v>
      </c>
      <c r="I64" s="328">
        <f t="shared" si="4"/>
        <v>287170.88549999968</v>
      </c>
      <c r="J64" s="328">
        <f t="shared" si="4"/>
        <v>788951546.52666652</v>
      </c>
      <c r="K64" s="328">
        <f t="shared" si="4"/>
        <v>242930171.72579992</v>
      </c>
      <c r="L64" s="394"/>
      <c r="M64" s="328"/>
    </row>
    <row r="65" spans="1:13" ht="13" x14ac:dyDescent="0.3">
      <c r="A65" s="321">
        <f t="shared" si="5"/>
        <v>40</v>
      </c>
      <c r="B65" s="104" t="s">
        <v>43</v>
      </c>
      <c r="C65" s="371">
        <v>2020</v>
      </c>
      <c r="D65" s="328">
        <f t="shared" si="4"/>
        <v>16233495.540000001</v>
      </c>
      <c r="E65" s="328">
        <f t="shared" si="4"/>
        <v>1217512.1654999999</v>
      </c>
      <c r="F65" s="328">
        <f t="shared" si="4"/>
        <v>17451007.705499999</v>
      </c>
      <c r="G65" s="328">
        <f t="shared" si="4"/>
        <v>289632.14</v>
      </c>
      <c r="H65" s="328">
        <f t="shared" si="4"/>
        <v>0</v>
      </c>
      <c r="I65" s="328">
        <f t="shared" si="4"/>
        <v>21722.410499999998</v>
      </c>
      <c r="J65" s="328">
        <f t="shared" si="4"/>
        <v>806091199.68166661</v>
      </c>
      <c r="K65" s="328">
        <f t="shared" si="4"/>
        <v>260069824.88079995</v>
      </c>
      <c r="L65" s="394"/>
      <c r="M65" s="328"/>
    </row>
    <row r="66" spans="1:13" ht="13" x14ac:dyDescent="0.3">
      <c r="A66" s="321">
        <f t="shared" si="5"/>
        <v>41</v>
      </c>
      <c r="B66" s="104" t="s">
        <v>27</v>
      </c>
      <c r="C66" s="371">
        <v>2020</v>
      </c>
      <c r="D66" s="328">
        <f t="shared" si="4"/>
        <v>36474511.871199995</v>
      </c>
      <c r="E66" s="328">
        <f t="shared" si="4"/>
        <v>2735588.3903399995</v>
      </c>
      <c r="F66" s="328">
        <f t="shared" si="4"/>
        <v>39210100.261539996</v>
      </c>
      <c r="G66" s="328">
        <f t="shared" si="4"/>
        <v>554534219.29120004</v>
      </c>
      <c r="H66" s="328">
        <f t="shared" si="4"/>
        <v>394845413.81999999</v>
      </c>
      <c r="I66" s="328">
        <f t="shared" si="4"/>
        <v>11976660.41034</v>
      </c>
      <c r="J66" s="328">
        <f t="shared" si="4"/>
        <v>278790420.24166656</v>
      </c>
      <c r="K66" s="328">
        <f t="shared" si="4"/>
        <v>-267230954.55920011</v>
      </c>
      <c r="L66" s="394"/>
      <c r="M66" s="328"/>
    </row>
    <row r="67" spans="1:13" ht="13" x14ac:dyDescent="0.3">
      <c r="A67" s="321">
        <f t="shared" si="5"/>
        <v>42</v>
      </c>
      <c r="B67" s="104" t="s">
        <v>30</v>
      </c>
      <c r="C67" s="371">
        <v>2021</v>
      </c>
      <c r="D67" s="328">
        <f t="shared" si="4"/>
        <v>16090391.000000002</v>
      </c>
      <c r="E67" s="328">
        <f t="shared" si="4"/>
        <v>1206779.3250000002</v>
      </c>
      <c r="F67" s="328">
        <f t="shared" si="4"/>
        <v>17297170.325000003</v>
      </c>
      <c r="G67" s="328">
        <f t="shared" si="4"/>
        <v>5529600</v>
      </c>
      <c r="H67" s="328">
        <f t="shared" si="4"/>
        <v>0</v>
      </c>
      <c r="I67" s="328">
        <f t="shared" si="4"/>
        <v>414720</v>
      </c>
      <c r="J67" s="328">
        <f t="shared" si="4"/>
        <v>290143270.56666654</v>
      </c>
      <c r="K67" s="328">
        <f t="shared" si="4"/>
        <v>-255878104.23420012</v>
      </c>
      <c r="L67" s="394"/>
      <c r="M67" s="328"/>
    </row>
    <row r="68" spans="1:13" ht="13" x14ac:dyDescent="0.3">
      <c r="A68" s="321">
        <f t="shared" si="5"/>
        <v>43</v>
      </c>
      <c r="B68" s="104" t="s">
        <v>32</v>
      </c>
      <c r="C68" s="371">
        <v>2021</v>
      </c>
      <c r="D68" s="328">
        <f t="shared" si="4"/>
        <v>15640963</v>
      </c>
      <c r="E68" s="328">
        <f t="shared" si="4"/>
        <v>1173072.2250000001</v>
      </c>
      <c r="F68" s="328">
        <f t="shared" si="4"/>
        <v>16814035.225000001</v>
      </c>
      <c r="G68" s="328">
        <f t="shared" si="4"/>
        <v>5747600</v>
      </c>
      <c r="H68" s="328">
        <f t="shared" si="4"/>
        <v>0</v>
      </c>
      <c r="I68" s="328">
        <f t="shared" si="4"/>
        <v>431070</v>
      </c>
      <c r="J68" s="328">
        <f t="shared" si="4"/>
        <v>300778635.79166657</v>
      </c>
      <c r="K68" s="328">
        <f t="shared" si="4"/>
        <v>-245242739.0092001</v>
      </c>
      <c r="L68" s="394"/>
      <c r="M68" s="328"/>
    </row>
    <row r="69" spans="1:13" ht="13" x14ac:dyDescent="0.3">
      <c r="A69" s="321">
        <f t="shared" si="5"/>
        <v>44</v>
      </c>
      <c r="B69" s="104" t="s">
        <v>34</v>
      </c>
      <c r="C69" s="371">
        <v>2021</v>
      </c>
      <c r="D69" s="328">
        <f t="shared" si="4"/>
        <v>20920296</v>
      </c>
      <c r="E69" s="328">
        <f t="shared" si="4"/>
        <v>1569022.2</v>
      </c>
      <c r="F69" s="328">
        <f t="shared" si="4"/>
        <v>22489318.199999999</v>
      </c>
      <c r="G69" s="328">
        <f t="shared" si="4"/>
        <v>7860041</v>
      </c>
      <c r="H69" s="328">
        <f t="shared" si="4"/>
        <v>0</v>
      </c>
      <c r="I69" s="328">
        <f t="shared" si="4"/>
        <v>589503.07499999995</v>
      </c>
      <c r="J69" s="328">
        <f t="shared" si="4"/>
        <v>314818409.91666651</v>
      </c>
      <c r="K69" s="328">
        <f t="shared" si="4"/>
        <v>-231202964.8842001</v>
      </c>
      <c r="L69" s="394"/>
      <c r="M69" s="328"/>
    </row>
    <row r="70" spans="1:13" ht="13" x14ac:dyDescent="0.3">
      <c r="A70" s="321">
        <f t="shared" si="5"/>
        <v>45</v>
      </c>
      <c r="B70" s="104" t="s">
        <v>36</v>
      </c>
      <c r="C70" s="371">
        <v>2021</v>
      </c>
      <c r="D70" s="328">
        <f t="shared" si="4"/>
        <v>16861148</v>
      </c>
      <c r="E70" s="328">
        <f t="shared" si="4"/>
        <v>1264586.1000000001</v>
      </c>
      <c r="F70" s="328">
        <f t="shared" si="4"/>
        <v>18125734.100000001</v>
      </c>
      <c r="G70" s="328">
        <f t="shared" si="4"/>
        <v>33916245.480000004</v>
      </c>
      <c r="H70" s="328">
        <f t="shared" si="4"/>
        <v>13129540.48</v>
      </c>
      <c r="I70" s="328">
        <f t="shared" si="4"/>
        <v>1559002.875</v>
      </c>
      <c r="J70" s="328">
        <f t="shared" si="4"/>
        <v>297468895.66166657</v>
      </c>
      <c r="K70" s="328">
        <f t="shared" si="4"/>
        <v>-248552479.13920009</v>
      </c>
      <c r="L70" s="394"/>
      <c r="M70" s="328"/>
    </row>
    <row r="71" spans="1:13" ht="13" x14ac:dyDescent="0.3">
      <c r="A71" s="321">
        <f t="shared" si="5"/>
        <v>46</v>
      </c>
      <c r="B71" s="104" t="s">
        <v>37</v>
      </c>
      <c r="C71" s="371">
        <v>2021</v>
      </c>
      <c r="D71" s="328">
        <f t="shared" ref="D71:K78" si="6">D105+D138+D169+D202+D233+D266+D297+D330+D361+D394</f>
        <v>18835980</v>
      </c>
      <c r="E71" s="328">
        <f t="shared" si="6"/>
        <v>1412698.5</v>
      </c>
      <c r="F71" s="328">
        <f t="shared" si="6"/>
        <v>20248678.5</v>
      </c>
      <c r="G71" s="328">
        <f t="shared" si="6"/>
        <v>104418012.50999999</v>
      </c>
      <c r="H71" s="328">
        <f t="shared" si="6"/>
        <v>88739103.510000005</v>
      </c>
      <c r="I71" s="328">
        <f t="shared" si="6"/>
        <v>1175918.1749999993</v>
      </c>
      <c r="J71" s="328">
        <f t="shared" si="6"/>
        <v>212123643.47666654</v>
      </c>
      <c r="K71" s="328">
        <f t="shared" si="6"/>
        <v>-333897731.32420009</v>
      </c>
      <c r="L71" s="394"/>
      <c r="M71" s="328"/>
    </row>
    <row r="72" spans="1:13" ht="13" x14ac:dyDescent="0.3">
      <c r="A72" s="321">
        <f t="shared" si="5"/>
        <v>47</v>
      </c>
      <c r="B72" s="104" t="s">
        <v>471</v>
      </c>
      <c r="C72" s="371">
        <v>2021</v>
      </c>
      <c r="D72" s="328">
        <f t="shared" si="6"/>
        <v>16320647</v>
      </c>
      <c r="E72" s="328">
        <f t="shared" si="6"/>
        <v>1224048.5249999999</v>
      </c>
      <c r="F72" s="328">
        <f t="shared" si="6"/>
        <v>17544695.524999999</v>
      </c>
      <c r="G72" s="328">
        <f t="shared" si="6"/>
        <v>8864649</v>
      </c>
      <c r="H72" s="328">
        <f t="shared" si="6"/>
        <v>0</v>
      </c>
      <c r="I72" s="328">
        <f t="shared" si="6"/>
        <v>664848.67500000005</v>
      </c>
      <c r="J72" s="328">
        <f t="shared" si="6"/>
        <v>220138841.32666653</v>
      </c>
      <c r="K72" s="328">
        <f t="shared" si="6"/>
        <v>-325882533.47420013</v>
      </c>
      <c r="L72" s="394"/>
      <c r="M72" s="328"/>
    </row>
    <row r="73" spans="1:13" ht="13" x14ac:dyDescent="0.3">
      <c r="A73" s="321">
        <f t="shared" si="5"/>
        <v>48</v>
      </c>
      <c r="B73" s="104" t="s">
        <v>39</v>
      </c>
      <c r="C73" s="371">
        <v>2021</v>
      </c>
      <c r="D73" s="328">
        <f t="shared" si="6"/>
        <v>13348594</v>
      </c>
      <c r="E73" s="328">
        <f t="shared" si="6"/>
        <v>1001144.5499999998</v>
      </c>
      <c r="F73" s="328">
        <f t="shared" si="6"/>
        <v>14349738.549999997</v>
      </c>
      <c r="G73" s="328">
        <f t="shared" si="6"/>
        <v>5774740</v>
      </c>
      <c r="H73" s="328">
        <f t="shared" si="6"/>
        <v>0</v>
      </c>
      <c r="I73" s="328">
        <f t="shared" si="6"/>
        <v>433105.5</v>
      </c>
      <c r="J73" s="328">
        <f t="shared" si="6"/>
        <v>228280734.37666652</v>
      </c>
      <c r="K73" s="328">
        <f t="shared" si="6"/>
        <v>-317740640.42420018</v>
      </c>
      <c r="L73" s="394"/>
      <c r="M73" s="328"/>
    </row>
    <row r="74" spans="1:13" ht="13" x14ac:dyDescent="0.3">
      <c r="A74" s="321">
        <f t="shared" si="5"/>
        <v>49</v>
      </c>
      <c r="B74" s="104" t="s">
        <v>40</v>
      </c>
      <c r="C74" s="371">
        <v>2021</v>
      </c>
      <c r="D74" s="328">
        <f t="shared" si="6"/>
        <v>13335594</v>
      </c>
      <c r="E74" s="328">
        <f t="shared" si="6"/>
        <v>1000169.5499999998</v>
      </c>
      <c r="F74" s="328">
        <f t="shared" si="6"/>
        <v>14335763.549999997</v>
      </c>
      <c r="G74" s="328">
        <f t="shared" si="6"/>
        <v>185770011.63999996</v>
      </c>
      <c r="H74" s="328">
        <f t="shared" si="6"/>
        <v>35442344.640000001</v>
      </c>
      <c r="I74" s="328">
        <f t="shared" si="6"/>
        <v>11274575.024999997</v>
      </c>
      <c r="J74" s="328">
        <f t="shared" si="6"/>
        <v>45571911.261666536</v>
      </c>
      <c r="K74" s="328">
        <f t="shared" si="6"/>
        <v>-500449463.53920013</v>
      </c>
      <c r="L74" s="394"/>
      <c r="M74" s="328"/>
    </row>
    <row r="75" spans="1:13" ht="13" x14ac:dyDescent="0.3">
      <c r="A75" s="321">
        <f t="shared" si="5"/>
        <v>50</v>
      </c>
      <c r="B75" s="104" t="s">
        <v>41</v>
      </c>
      <c r="C75" s="371">
        <v>2021</v>
      </c>
      <c r="D75" s="328">
        <f t="shared" si="6"/>
        <v>12479048</v>
      </c>
      <c r="E75" s="328">
        <f t="shared" si="6"/>
        <v>935928.59999999986</v>
      </c>
      <c r="F75" s="328">
        <f t="shared" si="6"/>
        <v>13414976.599999998</v>
      </c>
      <c r="G75" s="328">
        <f t="shared" si="6"/>
        <v>19236333.759999998</v>
      </c>
      <c r="H75" s="328">
        <f t="shared" si="6"/>
        <v>301246.76</v>
      </c>
      <c r="I75" s="328">
        <f t="shared" si="6"/>
        <v>1420131.5249999997</v>
      </c>
      <c r="J75" s="328">
        <f t="shared" si="6"/>
        <v>38330422.576666549</v>
      </c>
      <c r="K75" s="340">
        <f t="shared" si="6"/>
        <v>-507690952.22420013</v>
      </c>
      <c r="L75" s="394"/>
      <c r="M75" s="328"/>
    </row>
    <row r="76" spans="1:13" ht="13" x14ac:dyDescent="0.3">
      <c r="A76" s="321">
        <f t="shared" si="5"/>
        <v>51</v>
      </c>
      <c r="B76" s="104" t="s">
        <v>42</v>
      </c>
      <c r="C76" s="371">
        <v>2021</v>
      </c>
      <c r="D76" s="328">
        <f t="shared" si="6"/>
        <v>11692594</v>
      </c>
      <c r="E76" s="328">
        <f t="shared" si="6"/>
        <v>876944.54999999981</v>
      </c>
      <c r="F76" s="328">
        <f t="shared" si="6"/>
        <v>12569538.549999997</v>
      </c>
      <c r="G76" s="328">
        <f t="shared" si="6"/>
        <v>15946471.609999999</v>
      </c>
      <c r="H76" s="328">
        <f t="shared" si="6"/>
        <v>4965082.6100000003</v>
      </c>
      <c r="I76" s="328">
        <f t="shared" si="6"/>
        <v>823604.17499999993</v>
      </c>
      <c r="J76" s="328">
        <f t="shared" si="6"/>
        <v>34129885.341666549</v>
      </c>
      <c r="K76" s="340">
        <f t="shared" si="6"/>
        <v>-511891489.45920014</v>
      </c>
      <c r="L76" s="394"/>
      <c r="M76" s="328"/>
    </row>
    <row r="77" spans="1:13" ht="13" x14ac:dyDescent="0.3">
      <c r="A77" s="321">
        <f t="shared" si="5"/>
        <v>52</v>
      </c>
      <c r="B77" s="104" t="s">
        <v>43</v>
      </c>
      <c r="C77" s="371">
        <v>2021</v>
      </c>
      <c r="D77" s="328">
        <f t="shared" si="6"/>
        <v>11475594</v>
      </c>
      <c r="E77" s="328">
        <f t="shared" si="6"/>
        <v>860669.54999999981</v>
      </c>
      <c r="F77" s="328">
        <f t="shared" si="6"/>
        <v>12336263.549999997</v>
      </c>
      <c r="G77" s="328">
        <f t="shared" si="6"/>
        <v>10090159</v>
      </c>
      <c r="H77" s="328">
        <f t="shared" si="6"/>
        <v>0</v>
      </c>
      <c r="I77" s="328">
        <f t="shared" si="6"/>
        <v>756761.92499999981</v>
      </c>
      <c r="J77" s="328">
        <f t="shared" si="6"/>
        <v>35619227.966666549</v>
      </c>
      <c r="K77" s="340">
        <f t="shared" si="6"/>
        <v>-510402146.83420008</v>
      </c>
      <c r="L77" s="394"/>
      <c r="M77" s="328"/>
    </row>
    <row r="78" spans="1:13" ht="13" x14ac:dyDescent="0.3">
      <c r="A78" s="321">
        <f t="shared" si="5"/>
        <v>53</v>
      </c>
      <c r="B78" s="104" t="s">
        <v>27</v>
      </c>
      <c r="C78" s="371">
        <v>2021</v>
      </c>
      <c r="D78" s="328">
        <f t="shared" si="6"/>
        <v>12468014.999999998</v>
      </c>
      <c r="E78" s="328">
        <f t="shared" si="6"/>
        <v>935101.12499999977</v>
      </c>
      <c r="F78" s="328">
        <f t="shared" si="6"/>
        <v>13403116.124999996</v>
      </c>
      <c r="G78" s="328">
        <f t="shared" si="6"/>
        <v>78796464.099999994</v>
      </c>
      <c r="H78" s="328">
        <f t="shared" si="6"/>
        <v>41240899.099999994</v>
      </c>
      <c r="I78" s="328">
        <f t="shared" si="6"/>
        <v>2816667.375</v>
      </c>
      <c r="J78" s="328">
        <f t="shared" si="6"/>
        <v>-32590787.383333459</v>
      </c>
      <c r="K78" s="335">
        <f>K112+K145+K176+K209+K240+K273+K304+K337+K368+K401</f>
        <v>-578612162.18420017</v>
      </c>
      <c r="L78" s="395"/>
      <c r="M78" s="328"/>
    </row>
    <row r="79" spans="1:13" ht="13" x14ac:dyDescent="0.3">
      <c r="A79" s="321">
        <f t="shared" si="5"/>
        <v>54</v>
      </c>
      <c r="C79" s="396" t="s">
        <v>880</v>
      </c>
      <c r="K79" s="397">
        <f>AVERAGE(K66:K78)</f>
        <v>-371898027.79150784</v>
      </c>
      <c r="L79" s="398"/>
    </row>
    <row r="81" spans="1:11" ht="13" x14ac:dyDescent="0.3">
      <c r="B81" s="391" t="s">
        <v>881</v>
      </c>
    </row>
    <row r="82" spans="1:11" ht="13" x14ac:dyDescent="0.3">
      <c r="B82" s="399" t="s">
        <v>882</v>
      </c>
      <c r="D82" s="429" t="s">
        <v>848</v>
      </c>
      <c r="E82" s="429"/>
    </row>
    <row r="83" spans="1:11" s="326" customFormat="1" ht="13" x14ac:dyDescent="0.3">
      <c r="D83" s="326" t="s">
        <v>12</v>
      </c>
      <c r="E83" s="326" t="s">
        <v>343</v>
      </c>
      <c r="F83" s="326" t="s">
        <v>361</v>
      </c>
      <c r="G83" s="326" t="s">
        <v>13</v>
      </c>
      <c r="H83" s="326" t="s">
        <v>362</v>
      </c>
      <c r="I83" s="326" t="s">
        <v>363</v>
      </c>
      <c r="J83" s="326" t="s">
        <v>364</v>
      </c>
      <c r="K83" s="326" t="s">
        <v>451</v>
      </c>
    </row>
    <row r="84" spans="1:11" ht="26.15" customHeight="1" x14ac:dyDescent="0.3">
      <c r="D84" s="363"/>
      <c r="E84" s="400" t="s">
        <v>883</v>
      </c>
      <c r="F84" s="356" t="s">
        <v>884</v>
      </c>
      <c r="G84" s="356"/>
      <c r="H84" s="363"/>
      <c r="I84" s="400" t="s">
        <v>885</v>
      </c>
      <c r="J84" s="400" t="s">
        <v>886</v>
      </c>
      <c r="K84" s="400" t="s">
        <v>887</v>
      </c>
    </row>
    <row r="85" spans="1:11" ht="13" x14ac:dyDescent="0.3">
      <c r="D85" s="363"/>
      <c r="E85" s="401"/>
      <c r="F85" s="401"/>
      <c r="G85" s="321" t="str">
        <f>G51</f>
        <v>Unloaded</v>
      </c>
      <c r="H85" s="363"/>
      <c r="I85" s="401"/>
      <c r="J85" s="401"/>
      <c r="K85" s="321"/>
    </row>
    <row r="86" spans="1:11" s="321" customFormat="1" ht="13" x14ac:dyDescent="0.3">
      <c r="D86" s="321" t="str">
        <f>D$52</f>
        <v>Forecast</v>
      </c>
      <c r="E86" s="321" t="str">
        <f t="shared" ref="E86:J86" si="7">E$52</f>
        <v>Corporate</v>
      </c>
      <c r="F86" s="321" t="str">
        <f t="shared" si="7"/>
        <v xml:space="preserve">Total </v>
      </c>
      <c r="G86" s="321" t="str">
        <f>G52</f>
        <v>Total</v>
      </c>
      <c r="H86" s="321" t="str">
        <f t="shared" si="7"/>
        <v>Prior Period</v>
      </c>
      <c r="I86" s="321" t="str">
        <f t="shared" si="7"/>
        <v>Over Heads</v>
      </c>
      <c r="J86" s="321" t="str">
        <f t="shared" si="7"/>
        <v>Forecast</v>
      </c>
      <c r="K86" s="321" t="str">
        <f>K$52</f>
        <v>Forecast Period</v>
      </c>
    </row>
    <row r="87" spans="1:11" ht="13" x14ac:dyDescent="0.3">
      <c r="A87" s="325" t="s">
        <v>22</v>
      </c>
      <c r="B87" s="94" t="s">
        <v>23</v>
      </c>
      <c r="C87" s="94" t="s">
        <v>24</v>
      </c>
      <c r="D87" s="326" t="str">
        <f>D$53</f>
        <v>Expenditures</v>
      </c>
      <c r="E87" s="326" t="str">
        <f t="shared" ref="E87:J87" si="8">E$53</f>
        <v>Overheads</v>
      </c>
      <c r="F87" s="326" t="str">
        <f t="shared" si="8"/>
        <v>CWIP Exp</v>
      </c>
      <c r="G87" s="326" t="str">
        <f>G53</f>
        <v>Plant Adds</v>
      </c>
      <c r="H87" s="326" t="str">
        <f t="shared" si="8"/>
        <v>CWIP Closed</v>
      </c>
      <c r="I87" s="326" t="str">
        <f t="shared" si="8"/>
        <v>Closed to PIS</v>
      </c>
      <c r="J87" s="326" t="str">
        <f t="shared" si="8"/>
        <v>Period CWIP</v>
      </c>
      <c r="K87" s="326" t="str">
        <f>K$53</f>
        <v>Incremental CWIP</v>
      </c>
    </row>
    <row r="88" spans="1:11" ht="13" x14ac:dyDescent="0.3">
      <c r="A88" s="321">
        <f>A79+1</f>
        <v>55</v>
      </c>
      <c r="B88" s="104" t="s">
        <v>27</v>
      </c>
      <c r="C88" s="371">
        <v>2019</v>
      </c>
      <c r="D88" s="356" t="s">
        <v>28</v>
      </c>
      <c r="E88" s="356" t="s">
        <v>28</v>
      </c>
      <c r="F88" s="356" t="s">
        <v>28</v>
      </c>
      <c r="G88" s="356" t="s">
        <v>28</v>
      </c>
      <c r="H88" s="356" t="s">
        <v>28</v>
      </c>
      <c r="I88" s="356" t="s">
        <v>28</v>
      </c>
      <c r="J88" s="328">
        <f>E25</f>
        <v>157682.99</v>
      </c>
      <c r="K88" s="356" t="s">
        <v>28</v>
      </c>
    </row>
    <row r="89" spans="1:11" ht="13" x14ac:dyDescent="0.3">
      <c r="A89" s="321">
        <f>A88+1</f>
        <v>56</v>
      </c>
      <c r="B89" s="104" t="s">
        <v>30</v>
      </c>
      <c r="C89" s="371">
        <v>2020</v>
      </c>
      <c r="D89" s="373">
        <v>62105.999999999993</v>
      </c>
      <c r="E89" s="328">
        <v>4657.9499999999989</v>
      </c>
      <c r="F89" s="328">
        <f>E89+D89</f>
        <v>66763.95</v>
      </c>
      <c r="G89" s="373">
        <v>62105.999999999993</v>
      </c>
      <c r="H89" s="373">
        <v>0</v>
      </c>
      <c r="I89" s="328">
        <v>4657.9499999999989</v>
      </c>
      <c r="J89" s="328">
        <f>J88+F89-G89-I89</f>
        <v>157682.99</v>
      </c>
      <c r="K89" s="328">
        <f>J89-$J$88</f>
        <v>0</v>
      </c>
    </row>
    <row r="90" spans="1:11" ht="13" x14ac:dyDescent="0.3">
      <c r="A90" s="321">
        <f t="shared" ref="A90:A108" si="9">A89+1</f>
        <v>57</v>
      </c>
      <c r="B90" s="104" t="s">
        <v>32</v>
      </c>
      <c r="C90" s="371">
        <v>2020</v>
      </c>
      <c r="D90" s="373">
        <v>380880.00000000006</v>
      </c>
      <c r="E90" s="328">
        <v>28566.000000000004</v>
      </c>
      <c r="F90" s="328">
        <f t="shared" ref="F90:F112" si="10">E90+D90</f>
        <v>409446.00000000006</v>
      </c>
      <c r="G90" s="373">
        <v>380880.00000000006</v>
      </c>
      <c r="H90" s="373">
        <v>0</v>
      </c>
      <c r="I90" s="328">
        <v>28566.000000000004</v>
      </c>
      <c r="J90" s="328">
        <f t="shared" ref="J90:J108" si="11">J89+F90-G90-I90</f>
        <v>157682.98999999993</v>
      </c>
      <c r="K90" s="328">
        <f t="shared" ref="K90:K112" si="12">J90-$J$88</f>
        <v>0</v>
      </c>
    </row>
    <row r="91" spans="1:11" ht="13" x14ac:dyDescent="0.3">
      <c r="A91" s="321">
        <f t="shared" si="9"/>
        <v>58</v>
      </c>
      <c r="B91" s="104" t="s">
        <v>34</v>
      </c>
      <c r="C91" s="371">
        <v>2020</v>
      </c>
      <c r="D91" s="373">
        <v>277026</v>
      </c>
      <c r="E91" s="328">
        <v>20776.95</v>
      </c>
      <c r="F91" s="328">
        <f t="shared" si="10"/>
        <v>297802.95</v>
      </c>
      <c r="G91" s="373">
        <v>277026</v>
      </c>
      <c r="H91" s="373">
        <v>0</v>
      </c>
      <c r="I91" s="328">
        <v>20776.95</v>
      </c>
      <c r="J91" s="328">
        <f t="shared" si="11"/>
        <v>157682.98999999993</v>
      </c>
      <c r="K91" s="328">
        <f t="shared" si="12"/>
        <v>0</v>
      </c>
    </row>
    <row r="92" spans="1:11" ht="13" x14ac:dyDescent="0.3">
      <c r="A92" s="321">
        <f t="shared" si="9"/>
        <v>59</v>
      </c>
      <c r="B92" s="104" t="s">
        <v>36</v>
      </c>
      <c r="C92" s="371">
        <v>2020</v>
      </c>
      <c r="D92" s="373">
        <v>47696</v>
      </c>
      <c r="E92" s="328">
        <v>3577.2</v>
      </c>
      <c r="F92" s="328">
        <f t="shared" si="10"/>
        <v>51273.2</v>
      </c>
      <c r="G92" s="373">
        <v>47696</v>
      </c>
      <c r="H92" s="373">
        <v>0</v>
      </c>
      <c r="I92" s="328">
        <v>3577.2</v>
      </c>
      <c r="J92" s="328">
        <f t="shared" si="11"/>
        <v>157682.98999999993</v>
      </c>
      <c r="K92" s="328">
        <f t="shared" si="12"/>
        <v>0</v>
      </c>
    </row>
    <row r="93" spans="1:11" ht="13" x14ac:dyDescent="0.3">
      <c r="A93" s="321">
        <f t="shared" si="9"/>
        <v>60</v>
      </c>
      <c r="B93" s="104" t="s">
        <v>37</v>
      </c>
      <c r="C93" s="371">
        <v>2020</v>
      </c>
      <c r="D93" s="373">
        <v>0</v>
      </c>
      <c r="E93" s="328">
        <v>0</v>
      </c>
      <c r="F93" s="328">
        <f t="shared" si="10"/>
        <v>0</v>
      </c>
      <c r="G93" s="373">
        <v>0</v>
      </c>
      <c r="H93" s="373">
        <v>0</v>
      </c>
      <c r="I93" s="328">
        <v>0</v>
      </c>
      <c r="J93" s="328">
        <f t="shared" si="11"/>
        <v>157682.98999999993</v>
      </c>
      <c r="K93" s="328">
        <f t="shared" si="12"/>
        <v>0</v>
      </c>
    </row>
    <row r="94" spans="1:11" ht="13" x14ac:dyDescent="0.3">
      <c r="A94" s="321">
        <f t="shared" si="9"/>
        <v>61</v>
      </c>
      <c r="B94" s="104" t="s">
        <v>471</v>
      </c>
      <c r="C94" s="371">
        <v>2020</v>
      </c>
      <c r="D94" s="373">
        <v>0</v>
      </c>
      <c r="E94" s="328">
        <v>0</v>
      </c>
      <c r="F94" s="328">
        <f t="shared" si="10"/>
        <v>0</v>
      </c>
      <c r="G94" s="373">
        <v>157682.99</v>
      </c>
      <c r="H94" s="373">
        <v>157682.99</v>
      </c>
      <c r="I94" s="328">
        <v>0</v>
      </c>
      <c r="J94" s="328">
        <f t="shared" si="11"/>
        <v>-5.8207660913467407E-11</v>
      </c>
      <c r="K94" s="328">
        <f t="shared" si="12"/>
        <v>-157682.99000000005</v>
      </c>
    </row>
    <row r="95" spans="1:11" ht="13" x14ac:dyDescent="0.3">
      <c r="A95" s="321">
        <f t="shared" si="9"/>
        <v>62</v>
      </c>
      <c r="B95" s="104" t="s">
        <v>39</v>
      </c>
      <c r="C95" s="371">
        <v>2020</v>
      </c>
      <c r="D95" s="373">
        <v>0</v>
      </c>
      <c r="E95" s="328">
        <v>0</v>
      </c>
      <c r="F95" s="328">
        <f t="shared" si="10"/>
        <v>0</v>
      </c>
      <c r="G95" s="373">
        <v>0</v>
      </c>
      <c r="H95" s="373">
        <v>0</v>
      </c>
      <c r="I95" s="328">
        <v>0</v>
      </c>
      <c r="J95" s="328">
        <f t="shared" si="11"/>
        <v>-5.8207660913467407E-11</v>
      </c>
      <c r="K95" s="328">
        <f t="shared" si="12"/>
        <v>-157682.99000000005</v>
      </c>
    </row>
    <row r="96" spans="1:11" ht="13" x14ac:dyDescent="0.3">
      <c r="A96" s="321">
        <f t="shared" si="9"/>
        <v>63</v>
      </c>
      <c r="B96" s="104" t="s">
        <v>40</v>
      </c>
      <c r="C96" s="371">
        <v>2020</v>
      </c>
      <c r="D96" s="373">
        <v>0</v>
      </c>
      <c r="E96" s="328">
        <v>0</v>
      </c>
      <c r="F96" s="328">
        <f t="shared" si="10"/>
        <v>0</v>
      </c>
      <c r="G96" s="373">
        <v>0</v>
      </c>
      <c r="H96" s="373">
        <v>0</v>
      </c>
      <c r="I96" s="328">
        <v>0</v>
      </c>
      <c r="J96" s="328">
        <f t="shared" si="11"/>
        <v>-5.8207660913467407E-11</v>
      </c>
      <c r="K96" s="328">
        <f t="shared" si="12"/>
        <v>-157682.99000000005</v>
      </c>
    </row>
    <row r="97" spans="1:11" ht="13" x14ac:dyDescent="0.3">
      <c r="A97" s="321">
        <f t="shared" si="9"/>
        <v>64</v>
      </c>
      <c r="B97" s="104" t="s">
        <v>41</v>
      </c>
      <c r="C97" s="371">
        <v>2020</v>
      </c>
      <c r="D97" s="373">
        <v>0</v>
      </c>
      <c r="E97" s="328">
        <v>0</v>
      </c>
      <c r="F97" s="328">
        <f t="shared" si="10"/>
        <v>0</v>
      </c>
      <c r="G97" s="373">
        <v>0</v>
      </c>
      <c r="H97" s="373">
        <v>0</v>
      </c>
      <c r="I97" s="328">
        <v>0</v>
      </c>
      <c r="J97" s="328">
        <f t="shared" si="11"/>
        <v>-5.8207660913467407E-11</v>
      </c>
      <c r="K97" s="328">
        <f t="shared" si="12"/>
        <v>-157682.99000000005</v>
      </c>
    </row>
    <row r="98" spans="1:11" ht="13" x14ac:dyDescent="0.3">
      <c r="A98" s="321">
        <f t="shared" si="9"/>
        <v>65</v>
      </c>
      <c r="B98" s="104" t="s">
        <v>42</v>
      </c>
      <c r="C98" s="371">
        <v>2020</v>
      </c>
      <c r="D98" s="373">
        <v>0</v>
      </c>
      <c r="E98" s="328">
        <v>0</v>
      </c>
      <c r="F98" s="328">
        <f t="shared" si="10"/>
        <v>0</v>
      </c>
      <c r="G98" s="373">
        <v>0</v>
      </c>
      <c r="H98" s="373">
        <v>0</v>
      </c>
      <c r="I98" s="328">
        <v>0</v>
      </c>
      <c r="J98" s="328">
        <f t="shared" si="11"/>
        <v>-5.8207660913467407E-11</v>
      </c>
      <c r="K98" s="328">
        <f t="shared" si="12"/>
        <v>-157682.99000000005</v>
      </c>
    </row>
    <row r="99" spans="1:11" ht="13" x14ac:dyDescent="0.3">
      <c r="A99" s="321">
        <f t="shared" si="9"/>
        <v>66</v>
      </c>
      <c r="B99" s="104" t="s">
        <v>43</v>
      </c>
      <c r="C99" s="371">
        <v>2020</v>
      </c>
      <c r="D99" s="373">
        <v>0</v>
      </c>
      <c r="E99" s="328">
        <v>0</v>
      </c>
      <c r="F99" s="328">
        <f t="shared" si="10"/>
        <v>0</v>
      </c>
      <c r="G99" s="373">
        <v>0</v>
      </c>
      <c r="H99" s="373">
        <v>0</v>
      </c>
      <c r="I99" s="328">
        <v>0</v>
      </c>
      <c r="J99" s="328">
        <f t="shared" si="11"/>
        <v>-5.8207660913467407E-11</v>
      </c>
      <c r="K99" s="328">
        <f t="shared" si="12"/>
        <v>-157682.99000000005</v>
      </c>
    </row>
    <row r="100" spans="1:11" ht="13" x14ac:dyDescent="0.3">
      <c r="A100" s="321">
        <f t="shared" si="9"/>
        <v>67</v>
      </c>
      <c r="B100" s="104" t="s">
        <v>27</v>
      </c>
      <c r="C100" s="371">
        <v>2020</v>
      </c>
      <c r="D100" s="373">
        <v>287364</v>
      </c>
      <c r="E100" s="328">
        <v>21552.3</v>
      </c>
      <c r="F100" s="328">
        <f t="shared" si="10"/>
        <v>308916.3</v>
      </c>
      <c r="G100" s="373">
        <v>287364</v>
      </c>
      <c r="H100" s="373">
        <v>0</v>
      </c>
      <c r="I100" s="328">
        <v>21552.3</v>
      </c>
      <c r="J100" s="328">
        <f t="shared" si="11"/>
        <v>-6.9121597334742546E-11</v>
      </c>
      <c r="K100" s="328">
        <f t="shared" si="12"/>
        <v>-157682.99000000005</v>
      </c>
    </row>
    <row r="101" spans="1:11" ht="13" x14ac:dyDescent="0.3">
      <c r="A101" s="321">
        <f t="shared" si="9"/>
        <v>68</v>
      </c>
      <c r="B101" s="104" t="s">
        <v>30</v>
      </c>
      <c r="C101" s="371">
        <v>2021</v>
      </c>
      <c r="D101" s="373">
        <v>0</v>
      </c>
      <c r="E101" s="328">
        <v>0</v>
      </c>
      <c r="F101" s="328">
        <f t="shared" si="10"/>
        <v>0</v>
      </c>
      <c r="G101" s="373">
        <v>0</v>
      </c>
      <c r="H101" s="373">
        <v>0</v>
      </c>
      <c r="I101" s="328">
        <v>0</v>
      </c>
      <c r="J101" s="328">
        <f t="shared" si="11"/>
        <v>-6.9121597334742546E-11</v>
      </c>
      <c r="K101" s="328">
        <f t="shared" si="12"/>
        <v>-157682.99000000005</v>
      </c>
    </row>
    <row r="102" spans="1:11" ht="13" x14ac:dyDescent="0.3">
      <c r="A102" s="321">
        <f t="shared" si="9"/>
        <v>69</v>
      </c>
      <c r="B102" s="104" t="s">
        <v>32</v>
      </c>
      <c r="C102" s="371">
        <v>2021</v>
      </c>
      <c r="D102" s="373">
        <v>0</v>
      </c>
      <c r="E102" s="328">
        <v>0</v>
      </c>
      <c r="F102" s="328">
        <f t="shared" si="10"/>
        <v>0</v>
      </c>
      <c r="G102" s="373">
        <v>0</v>
      </c>
      <c r="H102" s="373">
        <v>0</v>
      </c>
      <c r="I102" s="328">
        <v>0</v>
      </c>
      <c r="J102" s="328">
        <f t="shared" si="11"/>
        <v>-6.9121597334742546E-11</v>
      </c>
      <c r="K102" s="328">
        <f t="shared" si="12"/>
        <v>-157682.99000000005</v>
      </c>
    </row>
    <row r="103" spans="1:11" ht="13" x14ac:dyDescent="0.3">
      <c r="A103" s="321">
        <f t="shared" si="9"/>
        <v>70</v>
      </c>
      <c r="B103" s="104" t="s">
        <v>34</v>
      </c>
      <c r="C103" s="371">
        <v>2021</v>
      </c>
      <c r="D103" s="373">
        <v>0</v>
      </c>
      <c r="E103" s="328">
        <v>0</v>
      </c>
      <c r="F103" s="328">
        <f t="shared" si="10"/>
        <v>0</v>
      </c>
      <c r="G103" s="373">
        <v>0</v>
      </c>
      <c r="H103" s="373">
        <v>0</v>
      </c>
      <c r="I103" s="328">
        <v>0</v>
      </c>
      <c r="J103" s="328">
        <f t="shared" si="11"/>
        <v>-6.9121597334742546E-11</v>
      </c>
      <c r="K103" s="328">
        <f t="shared" si="12"/>
        <v>-157682.99000000005</v>
      </c>
    </row>
    <row r="104" spans="1:11" ht="13" x14ac:dyDescent="0.3">
      <c r="A104" s="321">
        <f t="shared" si="9"/>
        <v>71</v>
      </c>
      <c r="B104" s="104" t="s">
        <v>36</v>
      </c>
      <c r="C104" s="371">
        <v>2021</v>
      </c>
      <c r="D104" s="373">
        <v>0</v>
      </c>
      <c r="E104" s="328">
        <v>0</v>
      </c>
      <c r="F104" s="328">
        <f t="shared" si="10"/>
        <v>0</v>
      </c>
      <c r="G104" s="373">
        <v>0</v>
      </c>
      <c r="H104" s="373">
        <v>0</v>
      </c>
      <c r="I104" s="328">
        <v>0</v>
      </c>
      <c r="J104" s="328">
        <f t="shared" si="11"/>
        <v>-6.9121597334742546E-11</v>
      </c>
      <c r="K104" s="328">
        <f t="shared" si="12"/>
        <v>-157682.99000000005</v>
      </c>
    </row>
    <row r="105" spans="1:11" ht="13" x14ac:dyDescent="0.3">
      <c r="A105" s="321">
        <f t="shared" si="9"/>
        <v>72</v>
      </c>
      <c r="B105" s="104" t="s">
        <v>37</v>
      </c>
      <c r="C105" s="371">
        <v>2021</v>
      </c>
      <c r="D105" s="373">
        <v>0</v>
      </c>
      <c r="E105" s="328">
        <v>0</v>
      </c>
      <c r="F105" s="328">
        <f t="shared" si="10"/>
        <v>0</v>
      </c>
      <c r="G105" s="373">
        <v>0</v>
      </c>
      <c r="H105" s="373">
        <v>0</v>
      </c>
      <c r="I105" s="328">
        <v>0</v>
      </c>
      <c r="J105" s="328">
        <f t="shared" si="11"/>
        <v>-6.9121597334742546E-11</v>
      </c>
      <c r="K105" s="328">
        <f t="shared" si="12"/>
        <v>-157682.99000000005</v>
      </c>
    </row>
    <row r="106" spans="1:11" ht="13" x14ac:dyDescent="0.3">
      <c r="A106" s="321">
        <f t="shared" si="9"/>
        <v>73</v>
      </c>
      <c r="B106" s="104" t="s">
        <v>471</v>
      </c>
      <c r="C106" s="371">
        <v>2021</v>
      </c>
      <c r="D106" s="373">
        <v>0</v>
      </c>
      <c r="E106" s="328">
        <v>0</v>
      </c>
      <c r="F106" s="328">
        <f t="shared" si="10"/>
        <v>0</v>
      </c>
      <c r="G106" s="373">
        <v>0</v>
      </c>
      <c r="H106" s="373">
        <v>0</v>
      </c>
      <c r="I106" s="328">
        <v>0</v>
      </c>
      <c r="J106" s="328">
        <f t="shared" si="11"/>
        <v>-6.9121597334742546E-11</v>
      </c>
      <c r="K106" s="328">
        <f t="shared" si="12"/>
        <v>-157682.99000000005</v>
      </c>
    </row>
    <row r="107" spans="1:11" ht="13" x14ac:dyDescent="0.3">
      <c r="A107" s="321">
        <f t="shared" si="9"/>
        <v>74</v>
      </c>
      <c r="B107" s="104" t="s">
        <v>39</v>
      </c>
      <c r="C107" s="371">
        <v>2021</v>
      </c>
      <c r="D107" s="373">
        <v>0</v>
      </c>
      <c r="E107" s="328">
        <v>0</v>
      </c>
      <c r="F107" s="328">
        <f t="shared" si="10"/>
        <v>0</v>
      </c>
      <c r="G107" s="373">
        <v>0</v>
      </c>
      <c r="H107" s="373">
        <v>0</v>
      </c>
      <c r="I107" s="328">
        <v>0</v>
      </c>
      <c r="J107" s="328">
        <f t="shared" si="11"/>
        <v>-6.9121597334742546E-11</v>
      </c>
      <c r="K107" s="328">
        <f t="shared" si="12"/>
        <v>-157682.99000000005</v>
      </c>
    </row>
    <row r="108" spans="1:11" ht="13" x14ac:dyDescent="0.3">
      <c r="A108" s="321">
        <f t="shared" si="9"/>
        <v>75</v>
      </c>
      <c r="B108" s="104" t="s">
        <v>40</v>
      </c>
      <c r="C108" s="371">
        <v>2021</v>
      </c>
      <c r="D108" s="373">
        <v>0</v>
      </c>
      <c r="E108" s="328">
        <v>0</v>
      </c>
      <c r="F108" s="328">
        <f t="shared" si="10"/>
        <v>0</v>
      </c>
      <c r="G108" s="373">
        <v>0</v>
      </c>
      <c r="H108" s="373">
        <v>0</v>
      </c>
      <c r="I108" s="328">
        <v>0</v>
      </c>
      <c r="J108" s="328">
        <f t="shared" si="11"/>
        <v>-6.9121597334742546E-11</v>
      </c>
      <c r="K108" s="328">
        <f t="shared" si="12"/>
        <v>-157682.99000000005</v>
      </c>
    </row>
    <row r="109" spans="1:11" ht="13" x14ac:dyDescent="0.3">
      <c r="A109" s="321">
        <f>A108+1</f>
        <v>76</v>
      </c>
      <c r="B109" s="104" t="s">
        <v>41</v>
      </c>
      <c r="C109" s="371">
        <v>2021</v>
      </c>
      <c r="D109" s="373">
        <v>0</v>
      </c>
      <c r="E109" s="328">
        <v>0</v>
      </c>
      <c r="F109" s="328">
        <f t="shared" si="10"/>
        <v>0</v>
      </c>
      <c r="G109" s="373">
        <v>0</v>
      </c>
      <c r="H109" s="373">
        <v>0</v>
      </c>
      <c r="I109" s="328">
        <v>0</v>
      </c>
      <c r="J109" s="328">
        <f>J108+F109-G109-I109</f>
        <v>-6.9121597334742546E-11</v>
      </c>
      <c r="K109" s="328">
        <f t="shared" si="12"/>
        <v>-157682.99000000005</v>
      </c>
    </row>
    <row r="110" spans="1:11" ht="13" x14ac:dyDescent="0.3">
      <c r="A110" s="321">
        <f>A109+1</f>
        <v>77</v>
      </c>
      <c r="B110" s="104" t="s">
        <v>42</v>
      </c>
      <c r="C110" s="371">
        <v>2021</v>
      </c>
      <c r="D110" s="373">
        <v>0</v>
      </c>
      <c r="E110" s="328">
        <v>0</v>
      </c>
      <c r="F110" s="328">
        <f t="shared" si="10"/>
        <v>0</v>
      </c>
      <c r="G110" s="373">
        <v>0</v>
      </c>
      <c r="H110" s="373">
        <v>0</v>
      </c>
      <c r="I110" s="328">
        <v>0</v>
      </c>
      <c r="J110" s="328">
        <f>J109+F110-G110-I110</f>
        <v>-6.9121597334742546E-11</v>
      </c>
      <c r="K110" s="328">
        <f t="shared" si="12"/>
        <v>-157682.99000000005</v>
      </c>
    </row>
    <row r="111" spans="1:11" ht="13" x14ac:dyDescent="0.3">
      <c r="A111" s="321">
        <f>A110+1</f>
        <v>78</v>
      </c>
      <c r="B111" s="104" t="s">
        <v>43</v>
      </c>
      <c r="C111" s="371">
        <v>2021</v>
      </c>
      <c r="D111" s="373">
        <v>0</v>
      </c>
      <c r="E111" s="328">
        <v>0</v>
      </c>
      <c r="F111" s="328">
        <f t="shared" si="10"/>
        <v>0</v>
      </c>
      <c r="G111" s="373">
        <v>0</v>
      </c>
      <c r="H111" s="373">
        <v>0</v>
      </c>
      <c r="I111" s="328">
        <v>0</v>
      </c>
      <c r="J111" s="328">
        <f>J110+F111-G111-I111</f>
        <v>-6.9121597334742546E-11</v>
      </c>
      <c r="K111" s="328">
        <f t="shared" si="12"/>
        <v>-157682.99000000005</v>
      </c>
    </row>
    <row r="112" spans="1:11" ht="13" x14ac:dyDescent="0.3">
      <c r="A112" s="321">
        <f>A111+1</f>
        <v>79</v>
      </c>
      <c r="B112" s="104" t="s">
        <v>27</v>
      </c>
      <c r="C112" s="371">
        <v>2021</v>
      </c>
      <c r="D112" s="373">
        <v>0</v>
      </c>
      <c r="E112" s="328">
        <v>0</v>
      </c>
      <c r="F112" s="328">
        <f t="shared" si="10"/>
        <v>0</v>
      </c>
      <c r="G112" s="373">
        <v>0</v>
      </c>
      <c r="H112" s="373">
        <v>0</v>
      </c>
      <c r="I112" s="328">
        <v>0</v>
      </c>
      <c r="J112" s="328">
        <f>J111+F112-G112-I112</f>
        <v>-6.9121597334742546E-11</v>
      </c>
      <c r="K112" s="335">
        <f t="shared" si="12"/>
        <v>-157682.99000000005</v>
      </c>
    </row>
    <row r="113" spans="1:11" ht="13" x14ac:dyDescent="0.3">
      <c r="A113" s="321">
        <f>A112+1</f>
        <v>80</v>
      </c>
      <c r="C113" s="396" t="s">
        <v>880</v>
      </c>
      <c r="K113" s="397">
        <f>AVERAGE(K100:K112)</f>
        <v>-157682.99000000002</v>
      </c>
    </row>
    <row r="114" spans="1:11" ht="13" x14ac:dyDescent="0.3">
      <c r="A114" s="321"/>
      <c r="C114" s="396"/>
      <c r="K114" s="397"/>
    </row>
    <row r="115" spans="1:11" ht="13" x14ac:dyDescent="0.3">
      <c r="B115" s="399" t="s">
        <v>888</v>
      </c>
      <c r="D115" s="429" t="s">
        <v>889</v>
      </c>
      <c r="E115" s="429"/>
    </row>
    <row r="116" spans="1:11" ht="13" x14ac:dyDescent="0.3">
      <c r="A116" s="326"/>
      <c r="B116" s="326"/>
      <c r="C116" s="326"/>
      <c r="D116" s="326" t="s">
        <v>12</v>
      </c>
      <c r="E116" s="326" t="s">
        <v>343</v>
      </c>
      <c r="F116" s="326" t="s">
        <v>361</v>
      </c>
      <c r="G116" s="326" t="s">
        <v>13</v>
      </c>
      <c r="H116" s="326" t="s">
        <v>362</v>
      </c>
      <c r="I116" s="326" t="s">
        <v>363</v>
      </c>
      <c r="J116" s="326" t="s">
        <v>364</v>
      </c>
      <c r="K116" s="326" t="s">
        <v>451</v>
      </c>
    </row>
    <row r="117" spans="1:11" ht="25.5" x14ac:dyDescent="0.3">
      <c r="D117" s="363"/>
      <c r="E117" s="400" t="s">
        <v>883</v>
      </c>
      <c r="F117" s="356" t="s">
        <v>884</v>
      </c>
      <c r="G117" s="356"/>
      <c r="H117" s="363"/>
      <c r="I117" s="400" t="s">
        <v>885</v>
      </c>
      <c r="J117" s="400" t="s">
        <v>886</v>
      </c>
      <c r="K117" s="400" t="s">
        <v>887</v>
      </c>
    </row>
    <row r="118" spans="1:11" ht="13" x14ac:dyDescent="0.3">
      <c r="D118" s="363"/>
      <c r="E118" s="363"/>
      <c r="F118" s="363"/>
      <c r="G118" s="321" t="str">
        <f>G51</f>
        <v>Unloaded</v>
      </c>
      <c r="H118" s="363"/>
      <c r="I118" s="363"/>
    </row>
    <row r="119" spans="1:11" ht="13" x14ac:dyDescent="0.3">
      <c r="A119" s="321"/>
      <c r="B119" s="321"/>
      <c r="C119" s="321"/>
      <c r="D119" s="321" t="str">
        <f>D$52</f>
        <v>Forecast</v>
      </c>
      <c r="E119" s="321" t="str">
        <f t="shared" ref="E119:J119" si="13">E$52</f>
        <v>Corporate</v>
      </c>
      <c r="F119" s="321" t="str">
        <f t="shared" si="13"/>
        <v xml:space="preserve">Total </v>
      </c>
      <c r="G119" s="321" t="str">
        <f>G52</f>
        <v>Total</v>
      </c>
      <c r="H119" s="321" t="str">
        <f t="shared" si="13"/>
        <v>Prior Period</v>
      </c>
      <c r="I119" s="321" t="str">
        <f t="shared" si="13"/>
        <v>Over Heads</v>
      </c>
      <c r="J119" s="321" t="str">
        <f t="shared" si="13"/>
        <v>Forecast</v>
      </c>
      <c r="K119" s="321" t="str">
        <f>K$52</f>
        <v>Forecast Period</v>
      </c>
    </row>
    <row r="120" spans="1:11" ht="13" x14ac:dyDescent="0.3">
      <c r="A120" s="325" t="s">
        <v>22</v>
      </c>
      <c r="B120" s="94" t="s">
        <v>23</v>
      </c>
      <c r="C120" s="94" t="s">
        <v>24</v>
      </c>
      <c r="D120" s="326" t="str">
        <f>D$53</f>
        <v>Expenditures</v>
      </c>
      <c r="E120" s="326" t="str">
        <f t="shared" ref="E120:J120" si="14">E$53</f>
        <v>Overheads</v>
      </c>
      <c r="F120" s="326" t="str">
        <f t="shared" si="14"/>
        <v>CWIP Exp</v>
      </c>
      <c r="G120" s="326" t="str">
        <f>G53</f>
        <v>Plant Adds</v>
      </c>
      <c r="H120" s="326" t="str">
        <f t="shared" si="14"/>
        <v>CWIP Closed</v>
      </c>
      <c r="I120" s="326" t="str">
        <f t="shared" si="14"/>
        <v>Closed to PIS</v>
      </c>
      <c r="J120" s="326" t="str">
        <f t="shared" si="14"/>
        <v>Period CWIP</v>
      </c>
      <c r="K120" s="326" t="str">
        <f>K$53</f>
        <v>Incremental CWIP</v>
      </c>
    </row>
    <row r="121" spans="1:11" ht="13" x14ac:dyDescent="0.3">
      <c r="A121" s="321">
        <f>A113+1</f>
        <v>81</v>
      </c>
      <c r="B121" s="104" t="s">
        <v>27</v>
      </c>
      <c r="C121" s="371">
        <v>2019</v>
      </c>
      <c r="D121" s="356" t="s">
        <v>28</v>
      </c>
      <c r="E121" s="356" t="s">
        <v>28</v>
      </c>
      <c r="F121" s="356" t="s">
        <v>28</v>
      </c>
      <c r="G121" s="356" t="s">
        <v>28</v>
      </c>
      <c r="H121" s="356" t="s">
        <v>28</v>
      </c>
      <c r="I121" s="356" t="s">
        <v>28</v>
      </c>
      <c r="J121" s="328">
        <f>F25</f>
        <v>0</v>
      </c>
      <c r="K121" s="356" t="s">
        <v>28</v>
      </c>
    </row>
    <row r="122" spans="1:11" ht="13" x14ac:dyDescent="0.3">
      <c r="A122" s="321">
        <f>A121+1</f>
        <v>82</v>
      </c>
      <c r="B122" s="104" t="s">
        <v>30</v>
      </c>
      <c r="C122" s="371">
        <v>2020</v>
      </c>
      <c r="D122" s="373">
        <v>0</v>
      </c>
      <c r="E122" s="328">
        <v>0</v>
      </c>
      <c r="F122" s="328">
        <f>E122+D122</f>
        <v>0</v>
      </c>
      <c r="G122" s="373">
        <v>0</v>
      </c>
      <c r="H122" s="373">
        <v>0</v>
      </c>
      <c r="I122" s="328">
        <v>0</v>
      </c>
      <c r="J122" s="328">
        <f>J121+F122-G122-I122</f>
        <v>0</v>
      </c>
      <c r="K122" s="340">
        <f>J122-$J$121</f>
        <v>0</v>
      </c>
    </row>
    <row r="123" spans="1:11" ht="13" x14ac:dyDescent="0.3">
      <c r="A123" s="321">
        <f t="shared" ref="A123:A146" si="15">A122+1</f>
        <v>83</v>
      </c>
      <c r="B123" s="104" t="s">
        <v>32</v>
      </c>
      <c r="C123" s="371">
        <v>2020</v>
      </c>
      <c r="D123" s="373">
        <v>0</v>
      </c>
      <c r="E123" s="328">
        <v>0</v>
      </c>
      <c r="F123" s="328">
        <f t="shared" ref="F123:F145" si="16">E123+D123</f>
        <v>0</v>
      </c>
      <c r="G123" s="373">
        <v>0</v>
      </c>
      <c r="H123" s="373">
        <v>0</v>
      </c>
      <c r="I123" s="328">
        <v>0</v>
      </c>
      <c r="J123" s="328">
        <f t="shared" ref="J123:J145" si="17">J122+F123-G123-I123</f>
        <v>0</v>
      </c>
      <c r="K123" s="340">
        <f t="shared" ref="K123:K145" si="18">J123-$J$121</f>
        <v>0</v>
      </c>
    </row>
    <row r="124" spans="1:11" ht="13" x14ac:dyDescent="0.3">
      <c r="A124" s="321">
        <f t="shared" si="15"/>
        <v>84</v>
      </c>
      <c r="B124" s="104" t="s">
        <v>34</v>
      </c>
      <c r="C124" s="371">
        <v>2020</v>
      </c>
      <c r="D124" s="373">
        <v>0</v>
      </c>
      <c r="E124" s="328">
        <v>0</v>
      </c>
      <c r="F124" s="328">
        <f t="shared" si="16"/>
        <v>0</v>
      </c>
      <c r="G124" s="373">
        <v>0</v>
      </c>
      <c r="H124" s="373">
        <v>0</v>
      </c>
      <c r="I124" s="328">
        <v>0</v>
      </c>
      <c r="J124" s="328">
        <f t="shared" si="17"/>
        <v>0</v>
      </c>
      <c r="K124" s="340">
        <f t="shared" si="18"/>
        <v>0</v>
      </c>
    </row>
    <row r="125" spans="1:11" ht="13" x14ac:dyDescent="0.3">
      <c r="A125" s="321">
        <f t="shared" si="15"/>
        <v>85</v>
      </c>
      <c r="B125" s="104" t="s">
        <v>36</v>
      </c>
      <c r="C125" s="371">
        <v>2020</v>
      </c>
      <c r="D125" s="373">
        <v>0</v>
      </c>
      <c r="E125" s="328">
        <v>0</v>
      </c>
      <c r="F125" s="328">
        <f t="shared" si="16"/>
        <v>0</v>
      </c>
      <c r="G125" s="373">
        <v>0</v>
      </c>
      <c r="H125" s="373">
        <v>0</v>
      </c>
      <c r="I125" s="328">
        <v>0</v>
      </c>
      <c r="J125" s="328">
        <f t="shared" si="17"/>
        <v>0</v>
      </c>
      <c r="K125" s="340">
        <f t="shared" si="18"/>
        <v>0</v>
      </c>
    </row>
    <row r="126" spans="1:11" ht="13" x14ac:dyDescent="0.3">
      <c r="A126" s="321">
        <f t="shared" si="15"/>
        <v>86</v>
      </c>
      <c r="B126" s="104" t="s">
        <v>37</v>
      </c>
      <c r="C126" s="371">
        <v>2020</v>
      </c>
      <c r="D126" s="373">
        <v>0</v>
      </c>
      <c r="E126" s="328">
        <v>0</v>
      </c>
      <c r="F126" s="328">
        <f t="shared" si="16"/>
        <v>0</v>
      </c>
      <c r="G126" s="373">
        <v>0</v>
      </c>
      <c r="H126" s="373">
        <v>0</v>
      </c>
      <c r="I126" s="328">
        <v>0</v>
      </c>
      <c r="J126" s="328">
        <f t="shared" si="17"/>
        <v>0</v>
      </c>
      <c r="K126" s="340">
        <f t="shared" si="18"/>
        <v>0</v>
      </c>
    </row>
    <row r="127" spans="1:11" ht="13" x14ac:dyDescent="0.3">
      <c r="A127" s="321">
        <f t="shared" si="15"/>
        <v>87</v>
      </c>
      <c r="B127" s="104" t="s">
        <v>471</v>
      </c>
      <c r="C127" s="371">
        <v>2020</v>
      </c>
      <c r="D127" s="373">
        <v>0</v>
      </c>
      <c r="E127" s="328">
        <v>0</v>
      </c>
      <c r="F127" s="328">
        <f t="shared" si="16"/>
        <v>0</v>
      </c>
      <c r="G127" s="373">
        <v>0</v>
      </c>
      <c r="H127" s="373">
        <v>0</v>
      </c>
      <c r="I127" s="328">
        <v>0</v>
      </c>
      <c r="J127" s="328">
        <f t="shared" si="17"/>
        <v>0</v>
      </c>
      <c r="K127" s="340">
        <f t="shared" si="18"/>
        <v>0</v>
      </c>
    </row>
    <row r="128" spans="1:11" ht="13" x14ac:dyDescent="0.3">
      <c r="A128" s="321">
        <f t="shared" si="15"/>
        <v>88</v>
      </c>
      <c r="B128" s="104" t="s">
        <v>39</v>
      </c>
      <c r="C128" s="371">
        <v>2020</v>
      </c>
      <c r="D128" s="373">
        <v>0</v>
      </c>
      <c r="E128" s="328">
        <v>0</v>
      </c>
      <c r="F128" s="328">
        <f t="shared" si="16"/>
        <v>0</v>
      </c>
      <c r="G128" s="373">
        <v>0</v>
      </c>
      <c r="H128" s="373">
        <v>0</v>
      </c>
      <c r="I128" s="328">
        <v>0</v>
      </c>
      <c r="J128" s="328">
        <f t="shared" si="17"/>
        <v>0</v>
      </c>
      <c r="K128" s="340">
        <f t="shared" si="18"/>
        <v>0</v>
      </c>
    </row>
    <row r="129" spans="1:11" ht="13" x14ac:dyDescent="0.3">
      <c r="A129" s="321">
        <f t="shared" si="15"/>
        <v>89</v>
      </c>
      <c r="B129" s="104" t="s">
        <v>40</v>
      </c>
      <c r="C129" s="371">
        <v>2020</v>
      </c>
      <c r="D129" s="373">
        <v>0</v>
      </c>
      <c r="E129" s="328">
        <v>0</v>
      </c>
      <c r="F129" s="328">
        <f t="shared" si="16"/>
        <v>0</v>
      </c>
      <c r="G129" s="373">
        <v>0</v>
      </c>
      <c r="H129" s="373">
        <v>0</v>
      </c>
      <c r="I129" s="328">
        <v>0</v>
      </c>
      <c r="J129" s="328">
        <f t="shared" si="17"/>
        <v>0</v>
      </c>
      <c r="K129" s="340">
        <f t="shared" si="18"/>
        <v>0</v>
      </c>
    </row>
    <row r="130" spans="1:11" ht="13" x14ac:dyDescent="0.3">
      <c r="A130" s="321">
        <f t="shared" si="15"/>
        <v>90</v>
      </c>
      <c r="B130" s="104" t="s">
        <v>41</v>
      </c>
      <c r="C130" s="371">
        <v>2020</v>
      </c>
      <c r="D130" s="373">
        <v>0</v>
      </c>
      <c r="E130" s="328">
        <v>0</v>
      </c>
      <c r="F130" s="328">
        <f t="shared" si="16"/>
        <v>0</v>
      </c>
      <c r="G130" s="373">
        <v>0</v>
      </c>
      <c r="H130" s="373">
        <v>0</v>
      </c>
      <c r="I130" s="328">
        <v>0</v>
      </c>
      <c r="J130" s="328">
        <f t="shared" si="17"/>
        <v>0</v>
      </c>
      <c r="K130" s="340">
        <f t="shared" si="18"/>
        <v>0</v>
      </c>
    </row>
    <row r="131" spans="1:11" ht="13" x14ac:dyDescent="0.3">
      <c r="A131" s="321">
        <f t="shared" si="15"/>
        <v>91</v>
      </c>
      <c r="B131" s="104" t="s">
        <v>42</v>
      </c>
      <c r="C131" s="371">
        <v>2020</v>
      </c>
      <c r="D131" s="373">
        <v>0</v>
      </c>
      <c r="E131" s="328">
        <v>0</v>
      </c>
      <c r="F131" s="328">
        <f t="shared" si="16"/>
        <v>0</v>
      </c>
      <c r="G131" s="373">
        <v>0</v>
      </c>
      <c r="H131" s="373">
        <v>0</v>
      </c>
      <c r="I131" s="328">
        <v>0</v>
      </c>
      <c r="J131" s="328">
        <f t="shared" si="17"/>
        <v>0</v>
      </c>
      <c r="K131" s="340">
        <f t="shared" si="18"/>
        <v>0</v>
      </c>
    </row>
    <row r="132" spans="1:11" ht="13" x14ac:dyDescent="0.3">
      <c r="A132" s="321">
        <f t="shared" si="15"/>
        <v>92</v>
      </c>
      <c r="B132" s="104" t="s">
        <v>43</v>
      </c>
      <c r="C132" s="371">
        <v>2020</v>
      </c>
      <c r="D132" s="373">
        <v>0</v>
      </c>
      <c r="E132" s="328">
        <v>0</v>
      </c>
      <c r="F132" s="328">
        <f t="shared" si="16"/>
        <v>0</v>
      </c>
      <c r="G132" s="373">
        <v>0</v>
      </c>
      <c r="H132" s="373">
        <v>0</v>
      </c>
      <c r="I132" s="328">
        <v>0</v>
      </c>
      <c r="J132" s="328">
        <f t="shared" si="17"/>
        <v>0</v>
      </c>
      <c r="K132" s="340">
        <f t="shared" si="18"/>
        <v>0</v>
      </c>
    </row>
    <row r="133" spans="1:11" ht="13" x14ac:dyDescent="0.3">
      <c r="A133" s="321">
        <f t="shared" si="15"/>
        <v>93</v>
      </c>
      <c r="B133" s="104" t="s">
        <v>27</v>
      </c>
      <c r="C133" s="371">
        <v>2020</v>
      </c>
      <c r="D133" s="373">
        <v>0</v>
      </c>
      <c r="E133" s="328">
        <v>0</v>
      </c>
      <c r="F133" s="328">
        <f t="shared" si="16"/>
        <v>0</v>
      </c>
      <c r="G133" s="373">
        <v>0</v>
      </c>
      <c r="H133" s="373">
        <v>0</v>
      </c>
      <c r="I133" s="328">
        <v>0</v>
      </c>
      <c r="J133" s="328">
        <f t="shared" si="17"/>
        <v>0</v>
      </c>
      <c r="K133" s="340">
        <f t="shared" si="18"/>
        <v>0</v>
      </c>
    </row>
    <row r="134" spans="1:11" ht="13" x14ac:dyDescent="0.3">
      <c r="A134" s="321">
        <f t="shared" si="15"/>
        <v>94</v>
      </c>
      <c r="B134" s="104" t="s">
        <v>30</v>
      </c>
      <c r="C134" s="371">
        <v>2021</v>
      </c>
      <c r="D134" s="373">
        <v>0</v>
      </c>
      <c r="E134" s="328">
        <v>0</v>
      </c>
      <c r="F134" s="328">
        <f t="shared" si="16"/>
        <v>0</v>
      </c>
      <c r="G134" s="373">
        <v>0</v>
      </c>
      <c r="H134" s="373">
        <v>0</v>
      </c>
      <c r="I134" s="328">
        <v>0</v>
      </c>
      <c r="J134" s="328">
        <f t="shared" si="17"/>
        <v>0</v>
      </c>
      <c r="K134" s="340">
        <f t="shared" si="18"/>
        <v>0</v>
      </c>
    </row>
    <row r="135" spans="1:11" ht="13" x14ac:dyDescent="0.3">
      <c r="A135" s="321">
        <f t="shared" si="15"/>
        <v>95</v>
      </c>
      <c r="B135" s="104" t="s">
        <v>32</v>
      </c>
      <c r="C135" s="371">
        <v>2021</v>
      </c>
      <c r="D135" s="373">
        <v>0</v>
      </c>
      <c r="E135" s="328">
        <v>0</v>
      </c>
      <c r="F135" s="328">
        <f t="shared" si="16"/>
        <v>0</v>
      </c>
      <c r="G135" s="373">
        <v>0</v>
      </c>
      <c r="H135" s="373">
        <v>0</v>
      </c>
      <c r="I135" s="328">
        <v>0</v>
      </c>
      <c r="J135" s="328">
        <f t="shared" si="17"/>
        <v>0</v>
      </c>
      <c r="K135" s="340">
        <f t="shared" si="18"/>
        <v>0</v>
      </c>
    </row>
    <row r="136" spans="1:11" ht="13" x14ac:dyDescent="0.3">
      <c r="A136" s="321">
        <f t="shared" si="15"/>
        <v>96</v>
      </c>
      <c r="B136" s="104" t="s">
        <v>34</v>
      </c>
      <c r="C136" s="371">
        <v>2021</v>
      </c>
      <c r="D136" s="373">
        <v>0</v>
      </c>
      <c r="E136" s="328">
        <v>0</v>
      </c>
      <c r="F136" s="328">
        <f t="shared" si="16"/>
        <v>0</v>
      </c>
      <c r="G136" s="373">
        <v>0</v>
      </c>
      <c r="H136" s="373">
        <v>0</v>
      </c>
      <c r="I136" s="328">
        <v>0</v>
      </c>
      <c r="J136" s="328">
        <f t="shared" si="17"/>
        <v>0</v>
      </c>
      <c r="K136" s="340">
        <f t="shared" si="18"/>
        <v>0</v>
      </c>
    </row>
    <row r="137" spans="1:11" ht="13" x14ac:dyDescent="0.3">
      <c r="A137" s="321">
        <f t="shared" si="15"/>
        <v>97</v>
      </c>
      <c r="B137" s="104" t="s">
        <v>36</v>
      </c>
      <c r="C137" s="371">
        <v>2021</v>
      </c>
      <c r="D137" s="373">
        <v>0</v>
      </c>
      <c r="E137" s="328">
        <v>0</v>
      </c>
      <c r="F137" s="328">
        <f t="shared" si="16"/>
        <v>0</v>
      </c>
      <c r="G137" s="373">
        <v>0</v>
      </c>
      <c r="H137" s="373">
        <v>0</v>
      </c>
      <c r="I137" s="328">
        <v>0</v>
      </c>
      <c r="J137" s="328">
        <f t="shared" si="17"/>
        <v>0</v>
      </c>
      <c r="K137" s="340">
        <f t="shared" si="18"/>
        <v>0</v>
      </c>
    </row>
    <row r="138" spans="1:11" ht="13" x14ac:dyDescent="0.3">
      <c r="A138" s="321">
        <f t="shared" si="15"/>
        <v>98</v>
      </c>
      <c r="B138" s="104" t="s">
        <v>37</v>
      </c>
      <c r="C138" s="371">
        <v>2021</v>
      </c>
      <c r="D138" s="373">
        <v>0</v>
      </c>
      <c r="E138" s="328">
        <v>0</v>
      </c>
      <c r="F138" s="328">
        <f t="shared" si="16"/>
        <v>0</v>
      </c>
      <c r="G138" s="373">
        <v>0</v>
      </c>
      <c r="H138" s="373">
        <v>0</v>
      </c>
      <c r="I138" s="328">
        <v>0</v>
      </c>
      <c r="J138" s="328">
        <f t="shared" si="17"/>
        <v>0</v>
      </c>
      <c r="K138" s="340">
        <f t="shared" si="18"/>
        <v>0</v>
      </c>
    </row>
    <row r="139" spans="1:11" ht="13" x14ac:dyDescent="0.3">
      <c r="A139" s="321">
        <f t="shared" si="15"/>
        <v>99</v>
      </c>
      <c r="B139" s="104" t="s">
        <v>471</v>
      </c>
      <c r="C139" s="371">
        <v>2021</v>
      </c>
      <c r="D139" s="373">
        <v>0</v>
      </c>
      <c r="E139" s="328">
        <v>0</v>
      </c>
      <c r="F139" s="328">
        <f t="shared" si="16"/>
        <v>0</v>
      </c>
      <c r="G139" s="373">
        <v>0</v>
      </c>
      <c r="H139" s="373">
        <v>0</v>
      </c>
      <c r="I139" s="328">
        <v>0</v>
      </c>
      <c r="J139" s="328">
        <f t="shared" si="17"/>
        <v>0</v>
      </c>
      <c r="K139" s="340">
        <f t="shared" si="18"/>
        <v>0</v>
      </c>
    </row>
    <row r="140" spans="1:11" ht="13" x14ac:dyDescent="0.3">
      <c r="A140" s="321">
        <f t="shared" si="15"/>
        <v>100</v>
      </c>
      <c r="B140" s="104" t="s">
        <v>39</v>
      </c>
      <c r="C140" s="371">
        <v>2021</v>
      </c>
      <c r="D140" s="373">
        <v>0</v>
      </c>
      <c r="E140" s="328">
        <v>0</v>
      </c>
      <c r="F140" s="328">
        <f t="shared" si="16"/>
        <v>0</v>
      </c>
      <c r="G140" s="373">
        <v>0</v>
      </c>
      <c r="H140" s="373">
        <v>0</v>
      </c>
      <c r="I140" s="328">
        <v>0</v>
      </c>
      <c r="J140" s="328">
        <f t="shared" si="17"/>
        <v>0</v>
      </c>
      <c r="K140" s="340">
        <f t="shared" si="18"/>
        <v>0</v>
      </c>
    </row>
    <row r="141" spans="1:11" ht="13" x14ac:dyDescent="0.3">
      <c r="A141" s="321">
        <f t="shared" si="15"/>
        <v>101</v>
      </c>
      <c r="B141" s="104" t="s">
        <v>40</v>
      </c>
      <c r="C141" s="371">
        <v>2021</v>
      </c>
      <c r="D141" s="373">
        <v>0</v>
      </c>
      <c r="E141" s="328">
        <v>0</v>
      </c>
      <c r="F141" s="328">
        <f t="shared" si="16"/>
        <v>0</v>
      </c>
      <c r="G141" s="373">
        <v>0</v>
      </c>
      <c r="H141" s="373">
        <v>0</v>
      </c>
      <c r="I141" s="328">
        <v>0</v>
      </c>
      <c r="J141" s="328">
        <f t="shared" si="17"/>
        <v>0</v>
      </c>
      <c r="K141" s="340">
        <f t="shared" si="18"/>
        <v>0</v>
      </c>
    </row>
    <row r="142" spans="1:11" ht="13" x14ac:dyDescent="0.3">
      <c r="A142" s="321">
        <f t="shared" si="15"/>
        <v>102</v>
      </c>
      <c r="B142" s="104" t="s">
        <v>41</v>
      </c>
      <c r="C142" s="371">
        <v>2021</v>
      </c>
      <c r="D142" s="373">
        <v>0</v>
      </c>
      <c r="E142" s="328">
        <v>0</v>
      </c>
      <c r="F142" s="328">
        <f t="shared" si="16"/>
        <v>0</v>
      </c>
      <c r="G142" s="373">
        <v>0</v>
      </c>
      <c r="H142" s="373">
        <v>0</v>
      </c>
      <c r="I142" s="328">
        <v>0</v>
      </c>
      <c r="J142" s="328">
        <f t="shared" si="17"/>
        <v>0</v>
      </c>
      <c r="K142" s="340">
        <f t="shared" si="18"/>
        <v>0</v>
      </c>
    </row>
    <row r="143" spans="1:11" ht="13" x14ac:dyDescent="0.3">
      <c r="A143" s="321">
        <f t="shared" si="15"/>
        <v>103</v>
      </c>
      <c r="B143" s="104" t="s">
        <v>42</v>
      </c>
      <c r="C143" s="371">
        <v>2021</v>
      </c>
      <c r="D143" s="373">
        <v>0</v>
      </c>
      <c r="E143" s="328">
        <v>0</v>
      </c>
      <c r="F143" s="328">
        <f t="shared" si="16"/>
        <v>0</v>
      </c>
      <c r="G143" s="373">
        <v>0</v>
      </c>
      <c r="H143" s="373">
        <v>0</v>
      </c>
      <c r="I143" s="328">
        <v>0</v>
      </c>
      <c r="J143" s="328">
        <f t="shared" si="17"/>
        <v>0</v>
      </c>
      <c r="K143" s="340">
        <f t="shared" si="18"/>
        <v>0</v>
      </c>
    </row>
    <row r="144" spans="1:11" ht="13" x14ac:dyDescent="0.3">
      <c r="A144" s="321">
        <f t="shared" si="15"/>
        <v>104</v>
      </c>
      <c r="B144" s="104" t="s">
        <v>43</v>
      </c>
      <c r="C144" s="371">
        <v>2021</v>
      </c>
      <c r="D144" s="373">
        <v>0</v>
      </c>
      <c r="E144" s="328">
        <v>0</v>
      </c>
      <c r="F144" s="328">
        <f t="shared" si="16"/>
        <v>0</v>
      </c>
      <c r="G144" s="373">
        <v>0</v>
      </c>
      <c r="H144" s="373">
        <v>0</v>
      </c>
      <c r="I144" s="328">
        <v>0</v>
      </c>
      <c r="J144" s="328">
        <f t="shared" si="17"/>
        <v>0</v>
      </c>
      <c r="K144" s="340">
        <f t="shared" si="18"/>
        <v>0</v>
      </c>
    </row>
    <row r="145" spans="1:11" ht="13" x14ac:dyDescent="0.3">
      <c r="A145" s="321">
        <f t="shared" si="15"/>
        <v>105</v>
      </c>
      <c r="B145" s="104" t="s">
        <v>27</v>
      </c>
      <c r="C145" s="371">
        <v>2021</v>
      </c>
      <c r="D145" s="373">
        <v>0</v>
      </c>
      <c r="E145" s="328">
        <v>0</v>
      </c>
      <c r="F145" s="328">
        <f t="shared" si="16"/>
        <v>0</v>
      </c>
      <c r="G145" s="373">
        <v>0</v>
      </c>
      <c r="H145" s="373">
        <v>0</v>
      </c>
      <c r="I145" s="328">
        <v>0</v>
      </c>
      <c r="J145" s="328">
        <f t="shared" si="17"/>
        <v>0</v>
      </c>
      <c r="K145" s="335">
        <f t="shared" si="18"/>
        <v>0</v>
      </c>
    </row>
    <row r="146" spans="1:11" ht="13" x14ac:dyDescent="0.3">
      <c r="A146" s="321">
        <f t="shared" si="15"/>
        <v>106</v>
      </c>
      <c r="C146" s="396" t="s">
        <v>880</v>
      </c>
      <c r="K146" s="397">
        <f>AVERAGE(K133:K145)</f>
        <v>0</v>
      </c>
    </row>
    <row r="147" spans="1:11" ht="13" x14ac:dyDescent="0.3">
      <c r="A147" s="321"/>
      <c r="C147" s="396"/>
      <c r="K147" s="397"/>
    </row>
    <row r="148" spans="1:11" ht="13" x14ac:dyDescent="0.3">
      <c r="B148" s="399" t="s">
        <v>890</v>
      </c>
      <c r="D148" s="429" t="s">
        <v>891</v>
      </c>
      <c r="E148" s="429"/>
    </row>
    <row r="149" spans="1:11" ht="13" x14ac:dyDescent="0.3">
      <c r="D149" s="363"/>
      <c r="E149" s="363"/>
      <c r="F149" s="363"/>
      <c r="G149" s="321" t="str">
        <f>G51</f>
        <v>Unloaded</v>
      </c>
      <c r="H149" s="363"/>
      <c r="I149" s="363"/>
    </row>
    <row r="150" spans="1:11" ht="13" x14ac:dyDescent="0.3">
      <c r="A150" s="321"/>
      <c r="B150" s="321"/>
      <c r="C150" s="321"/>
      <c r="D150" s="321" t="str">
        <f>D$52</f>
        <v>Forecast</v>
      </c>
      <c r="E150" s="321" t="str">
        <f t="shared" ref="E150:J150" si="19">E$52</f>
        <v>Corporate</v>
      </c>
      <c r="F150" s="321" t="str">
        <f t="shared" si="19"/>
        <v xml:space="preserve">Total </v>
      </c>
      <c r="G150" s="321" t="str">
        <f>G52</f>
        <v>Total</v>
      </c>
      <c r="H150" s="321" t="str">
        <f t="shared" si="19"/>
        <v>Prior Period</v>
      </c>
      <c r="I150" s="321" t="str">
        <f t="shared" si="19"/>
        <v>Over Heads</v>
      </c>
      <c r="J150" s="321" t="str">
        <f t="shared" si="19"/>
        <v>Forecast</v>
      </c>
      <c r="K150" s="321" t="str">
        <f>K$52</f>
        <v>Forecast Period</v>
      </c>
    </row>
    <row r="151" spans="1:11" ht="13" x14ac:dyDescent="0.3">
      <c r="A151" s="325" t="s">
        <v>22</v>
      </c>
      <c r="B151" s="94" t="s">
        <v>23</v>
      </c>
      <c r="C151" s="94" t="s">
        <v>24</v>
      </c>
      <c r="D151" s="326" t="str">
        <f>D$53</f>
        <v>Expenditures</v>
      </c>
      <c r="E151" s="326" t="str">
        <f t="shared" ref="E151:J151" si="20">E$53</f>
        <v>Overheads</v>
      </c>
      <c r="F151" s="326" t="str">
        <f t="shared" si="20"/>
        <v>CWIP Exp</v>
      </c>
      <c r="G151" s="326" t="str">
        <f>G53</f>
        <v>Plant Adds</v>
      </c>
      <c r="H151" s="326" t="str">
        <f t="shared" si="20"/>
        <v>CWIP Closed</v>
      </c>
      <c r="I151" s="326" t="str">
        <f t="shared" si="20"/>
        <v>Closed to PIS</v>
      </c>
      <c r="J151" s="326" t="str">
        <f t="shared" si="20"/>
        <v>Period CWIP</v>
      </c>
      <c r="K151" s="326" t="str">
        <f>K$53</f>
        <v>Incremental CWIP</v>
      </c>
    </row>
    <row r="152" spans="1:11" ht="13" x14ac:dyDescent="0.3">
      <c r="A152" s="321">
        <f>A146+1</f>
        <v>107</v>
      </c>
      <c r="B152" s="104" t="s">
        <v>27</v>
      </c>
      <c r="C152" s="371">
        <v>2019</v>
      </c>
      <c r="D152" s="356" t="s">
        <v>28</v>
      </c>
      <c r="E152" s="356" t="s">
        <v>28</v>
      </c>
      <c r="F152" s="356" t="s">
        <v>28</v>
      </c>
      <c r="G152" s="356" t="s">
        <v>28</v>
      </c>
      <c r="H152" s="356" t="s">
        <v>28</v>
      </c>
      <c r="I152" s="356" t="s">
        <v>28</v>
      </c>
      <c r="J152" s="328">
        <f>G25</f>
        <v>5584199.04</v>
      </c>
      <c r="K152" s="356" t="s">
        <v>28</v>
      </c>
    </row>
    <row r="153" spans="1:11" ht="13" x14ac:dyDescent="0.3">
      <c r="A153" s="321">
        <f>A152+1</f>
        <v>108</v>
      </c>
      <c r="B153" s="104" t="s">
        <v>30</v>
      </c>
      <c r="C153" s="371">
        <v>2020</v>
      </c>
      <c r="D153" s="373">
        <v>1551</v>
      </c>
      <c r="E153" s="328">
        <v>116.32499999999999</v>
      </c>
      <c r="F153" s="328">
        <f>E153+D153</f>
        <v>1667.325</v>
      </c>
      <c r="G153" s="373">
        <v>0</v>
      </c>
      <c r="H153" s="373">
        <v>0</v>
      </c>
      <c r="I153" s="328">
        <v>0</v>
      </c>
      <c r="J153" s="328">
        <f>J152+F153-G153-I153</f>
        <v>5585866.3650000002</v>
      </c>
      <c r="K153" s="328">
        <f>J153-$J$152</f>
        <v>1667.3250000001863</v>
      </c>
    </row>
    <row r="154" spans="1:11" ht="13" x14ac:dyDescent="0.3">
      <c r="A154" s="321">
        <f t="shared" ref="A154:A177" si="21">A153+1</f>
        <v>109</v>
      </c>
      <c r="B154" s="104" t="s">
        <v>32</v>
      </c>
      <c r="C154" s="371">
        <v>2020</v>
      </c>
      <c r="D154" s="373">
        <v>1453</v>
      </c>
      <c r="E154" s="328">
        <v>108.97499999999999</v>
      </c>
      <c r="F154" s="328">
        <f t="shared" ref="F154:F176" si="22">E154+D154</f>
        <v>1561.9749999999999</v>
      </c>
      <c r="G154" s="373">
        <v>0</v>
      </c>
      <c r="H154" s="373">
        <v>0</v>
      </c>
      <c r="I154" s="328">
        <v>0</v>
      </c>
      <c r="J154" s="328">
        <f t="shared" ref="J154:J173" si="23">J153+F154-G154-I154</f>
        <v>5587428.3399999999</v>
      </c>
      <c r="K154" s="328">
        <f t="shared" ref="K154:K176" si="24">J154-$J$152</f>
        <v>3229.2999999998137</v>
      </c>
    </row>
    <row r="155" spans="1:11" ht="13" x14ac:dyDescent="0.3">
      <c r="A155" s="321">
        <f t="shared" si="21"/>
        <v>110</v>
      </c>
      <c r="B155" s="104" t="s">
        <v>34</v>
      </c>
      <c r="C155" s="371">
        <v>2020</v>
      </c>
      <c r="D155" s="373">
        <v>2114</v>
      </c>
      <c r="E155" s="328">
        <v>158.54999999999998</v>
      </c>
      <c r="F155" s="328">
        <f t="shared" si="22"/>
        <v>2272.5500000000002</v>
      </c>
      <c r="G155" s="373">
        <v>0</v>
      </c>
      <c r="H155" s="373">
        <v>0</v>
      </c>
      <c r="I155" s="328">
        <v>0</v>
      </c>
      <c r="J155" s="328">
        <f t="shared" si="23"/>
        <v>5589700.8899999997</v>
      </c>
      <c r="K155" s="328">
        <f t="shared" si="24"/>
        <v>5501.8499999996275</v>
      </c>
    </row>
    <row r="156" spans="1:11" ht="13" x14ac:dyDescent="0.3">
      <c r="A156" s="321">
        <f t="shared" si="21"/>
        <v>111</v>
      </c>
      <c r="B156" s="104" t="s">
        <v>36</v>
      </c>
      <c r="C156" s="371">
        <v>2020</v>
      </c>
      <c r="D156" s="373">
        <v>1500</v>
      </c>
      <c r="E156" s="328">
        <v>112.5</v>
      </c>
      <c r="F156" s="328">
        <f t="shared" si="22"/>
        <v>1612.5</v>
      </c>
      <c r="G156" s="373">
        <v>0</v>
      </c>
      <c r="H156" s="373">
        <v>0</v>
      </c>
      <c r="I156" s="328">
        <v>0</v>
      </c>
      <c r="J156" s="328">
        <f t="shared" si="23"/>
        <v>5591313.3899999997</v>
      </c>
      <c r="K156" s="328">
        <f t="shared" si="24"/>
        <v>7114.3499999996275</v>
      </c>
    </row>
    <row r="157" spans="1:11" ht="13" x14ac:dyDescent="0.3">
      <c r="A157" s="321">
        <f t="shared" si="21"/>
        <v>112</v>
      </c>
      <c r="B157" s="104" t="s">
        <v>37</v>
      </c>
      <c r="C157" s="371">
        <v>2020</v>
      </c>
      <c r="D157" s="373">
        <v>1500</v>
      </c>
      <c r="E157" s="328">
        <v>112.5</v>
      </c>
      <c r="F157" s="328">
        <f t="shared" si="22"/>
        <v>1612.5</v>
      </c>
      <c r="G157" s="373">
        <v>0</v>
      </c>
      <c r="H157" s="373">
        <v>0</v>
      </c>
      <c r="I157" s="328">
        <v>0</v>
      </c>
      <c r="J157" s="328">
        <f t="shared" si="23"/>
        <v>5592925.8899999997</v>
      </c>
      <c r="K157" s="328">
        <f t="shared" si="24"/>
        <v>8726.8499999996275</v>
      </c>
    </row>
    <row r="158" spans="1:11" ht="13" x14ac:dyDescent="0.3">
      <c r="A158" s="321">
        <f t="shared" si="21"/>
        <v>113</v>
      </c>
      <c r="B158" s="104" t="s">
        <v>471</v>
      </c>
      <c r="C158" s="371">
        <v>2020</v>
      </c>
      <c r="D158" s="373">
        <v>1500</v>
      </c>
      <c r="E158" s="328">
        <v>112.5</v>
      </c>
      <c r="F158" s="328">
        <f t="shared" si="22"/>
        <v>1612.5</v>
      </c>
      <c r="G158" s="373">
        <v>0</v>
      </c>
      <c r="H158" s="373">
        <v>0</v>
      </c>
      <c r="I158" s="328">
        <v>0</v>
      </c>
      <c r="J158" s="328">
        <f t="shared" si="23"/>
        <v>5594538.3899999997</v>
      </c>
      <c r="K158" s="328">
        <f t="shared" si="24"/>
        <v>10339.349999999627</v>
      </c>
    </row>
    <row r="159" spans="1:11" ht="13" x14ac:dyDescent="0.3">
      <c r="A159" s="321">
        <f t="shared" si="21"/>
        <v>114</v>
      </c>
      <c r="B159" s="104" t="s">
        <v>39</v>
      </c>
      <c r="C159" s="371">
        <v>2020</v>
      </c>
      <c r="D159" s="373">
        <v>1500</v>
      </c>
      <c r="E159" s="328">
        <v>112.5</v>
      </c>
      <c r="F159" s="328">
        <f t="shared" si="22"/>
        <v>1612.5</v>
      </c>
      <c r="G159" s="373">
        <v>0</v>
      </c>
      <c r="H159" s="373">
        <v>0</v>
      </c>
      <c r="I159" s="328">
        <v>0</v>
      </c>
      <c r="J159" s="328">
        <f t="shared" si="23"/>
        <v>5596150.8899999997</v>
      </c>
      <c r="K159" s="328">
        <f t="shared" si="24"/>
        <v>11951.849999999627</v>
      </c>
    </row>
    <row r="160" spans="1:11" ht="13" x14ac:dyDescent="0.3">
      <c r="A160" s="321">
        <f t="shared" si="21"/>
        <v>115</v>
      </c>
      <c r="B160" s="104" t="s">
        <v>40</v>
      </c>
      <c r="C160" s="371">
        <v>2020</v>
      </c>
      <c r="D160" s="373">
        <v>1500</v>
      </c>
      <c r="E160" s="328">
        <v>112.5</v>
      </c>
      <c r="F160" s="328">
        <f t="shared" si="22"/>
        <v>1612.5</v>
      </c>
      <c r="G160" s="373">
        <v>0</v>
      </c>
      <c r="H160" s="373">
        <v>0</v>
      </c>
      <c r="I160" s="328">
        <v>0</v>
      </c>
      <c r="J160" s="328">
        <f t="shared" si="23"/>
        <v>5597763.3899999997</v>
      </c>
      <c r="K160" s="328">
        <f t="shared" si="24"/>
        <v>13564.349999999627</v>
      </c>
    </row>
    <row r="161" spans="1:11" ht="13" x14ac:dyDescent="0.3">
      <c r="A161" s="321">
        <f t="shared" si="21"/>
        <v>116</v>
      </c>
      <c r="B161" s="104" t="s">
        <v>41</v>
      </c>
      <c r="C161" s="371">
        <v>2020</v>
      </c>
      <c r="D161" s="373">
        <v>1500</v>
      </c>
      <c r="E161" s="328">
        <v>112.5</v>
      </c>
      <c r="F161" s="328">
        <f t="shared" si="22"/>
        <v>1612.5</v>
      </c>
      <c r="G161" s="373">
        <v>0</v>
      </c>
      <c r="H161" s="373">
        <v>0</v>
      </c>
      <c r="I161" s="328">
        <v>0</v>
      </c>
      <c r="J161" s="328">
        <f t="shared" si="23"/>
        <v>5599375.8899999997</v>
      </c>
      <c r="K161" s="328">
        <f t="shared" si="24"/>
        <v>15176.849999999627</v>
      </c>
    </row>
    <row r="162" spans="1:11" ht="13" x14ac:dyDescent="0.3">
      <c r="A162" s="321">
        <f t="shared" si="21"/>
        <v>117</v>
      </c>
      <c r="B162" s="104" t="s">
        <v>42</v>
      </c>
      <c r="C162" s="371">
        <v>2020</v>
      </c>
      <c r="D162" s="373">
        <v>1500</v>
      </c>
      <c r="E162" s="328">
        <v>112.5</v>
      </c>
      <c r="F162" s="328">
        <f t="shared" si="22"/>
        <v>1612.5</v>
      </c>
      <c r="G162" s="373">
        <v>0</v>
      </c>
      <c r="H162" s="373">
        <v>0</v>
      </c>
      <c r="I162" s="328">
        <v>0</v>
      </c>
      <c r="J162" s="328">
        <f t="shared" si="23"/>
        <v>5600988.3899999997</v>
      </c>
      <c r="K162" s="328">
        <f t="shared" si="24"/>
        <v>16789.349999999627</v>
      </c>
    </row>
    <row r="163" spans="1:11" ht="13" x14ac:dyDescent="0.3">
      <c r="A163" s="321">
        <f t="shared" si="21"/>
        <v>118</v>
      </c>
      <c r="B163" s="104" t="s">
        <v>43</v>
      </c>
      <c r="C163" s="371">
        <v>2020</v>
      </c>
      <c r="D163" s="373">
        <v>1500</v>
      </c>
      <c r="E163" s="328">
        <v>112.5</v>
      </c>
      <c r="F163" s="328">
        <f t="shared" si="22"/>
        <v>1612.5</v>
      </c>
      <c r="G163" s="373">
        <v>0</v>
      </c>
      <c r="H163" s="373">
        <v>0</v>
      </c>
      <c r="I163" s="328">
        <v>0</v>
      </c>
      <c r="J163" s="328">
        <f t="shared" si="23"/>
        <v>5602600.8899999997</v>
      </c>
      <c r="K163" s="328">
        <f t="shared" si="24"/>
        <v>18401.849999999627</v>
      </c>
    </row>
    <row r="164" spans="1:11" ht="13" x14ac:dyDescent="0.3">
      <c r="A164" s="321">
        <f t="shared" si="21"/>
        <v>119</v>
      </c>
      <c r="B164" s="104" t="s">
        <v>27</v>
      </c>
      <c r="C164" s="371">
        <v>2020</v>
      </c>
      <c r="D164" s="373">
        <v>2882</v>
      </c>
      <c r="E164" s="328">
        <v>216.15</v>
      </c>
      <c r="F164" s="328">
        <f t="shared" si="22"/>
        <v>3098.15</v>
      </c>
      <c r="G164" s="373">
        <v>0</v>
      </c>
      <c r="H164" s="373">
        <v>0</v>
      </c>
      <c r="I164" s="328">
        <v>0</v>
      </c>
      <c r="J164" s="328">
        <f t="shared" si="23"/>
        <v>5605699.04</v>
      </c>
      <c r="K164" s="328">
        <f t="shared" si="24"/>
        <v>21500</v>
      </c>
    </row>
    <row r="165" spans="1:11" ht="13" x14ac:dyDescent="0.3">
      <c r="A165" s="321">
        <f t="shared" si="21"/>
        <v>120</v>
      </c>
      <c r="B165" s="104" t="s">
        <v>30</v>
      </c>
      <c r="C165" s="371">
        <v>2021</v>
      </c>
      <c r="D165" s="373">
        <v>0</v>
      </c>
      <c r="E165" s="328">
        <v>0</v>
      </c>
      <c r="F165" s="328">
        <f t="shared" si="22"/>
        <v>0</v>
      </c>
      <c r="G165" s="373">
        <v>0</v>
      </c>
      <c r="H165" s="373">
        <v>0</v>
      </c>
      <c r="I165" s="328">
        <v>0</v>
      </c>
      <c r="J165" s="328">
        <f t="shared" si="23"/>
        <v>5605699.04</v>
      </c>
      <c r="K165" s="328">
        <f t="shared" si="24"/>
        <v>21500</v>
      </c>
    </row>
    <row r="166" spans="1:11" ht="13" x14ac:dyDescent="0.3">
      <c r="A166" s="321">
        <f t="shared" si="21"/>
        <v>121</v>
      </c>
      <c r="B166" s="104" t="s">
        <v>32</v>
      </c>
      <c r="C166" s="371">
        <v>2021</v>
      </c>
      <c r="D166" s="373">
        <v>0</v>
      </c>
      <c r="E166" s="328">
        <v>0</v>
      </c>
      <c r="F166" s="328">
        <f t="shared" si="22"/>
        <v>0</v>
      </c>
      <c r="G166" s="373">
        <v>0</v>
      </c>
      <c r="H166" s="373">
        <v>0</v>
      </c>
      <c r="I166" s="328">
        <v>0</v>
      </c>
      <c r="J166" s="328">
        <f t="shared" si="23"/>
        <v>5605699.04</v>
      </c>
      <c r="K166" s="328">
        <f t="shared" si="24"/>
        <v>21500</v>
      </c>
    </row>
    <row r="167" spans="1:11" ht="13" x14ac:dyDescent="0.3">
      <c r="A167" s="321">
        <f t="shared" si="21"/>
        <v>122</v>
      </c>
      <c r="B167" s="104" t="s">
        <v>34</v>
      </c>
      <c r="C167" s="371">
        <v>2021</v>
      </c>
      <c r="D167" s="373">
        <v>0</v>
      </c>
      <c r="E167" s="328">
        <v>0</v>
      </c>
      <c r="F167" s="328">
        <f t="shared" si="22"/>
        <v>0</v>
      </c>
      <c r="G167" s="373">
        <v>0</v>
      </c>
      <c r="H167" s="373">
        <v>0</v>
      </c>
      <c r="I167" s="328">
        <v>0</v>
      </c>
      <c r="J167" s="328">
        <f t="shared" si="23"/>
        <v>5605699.04</v>
      </c>
      <c r="K167" s="328">
        <f t="shared" si="24"/>
        <v>21500</v>
      </c>
    </row>
    <row r="168" spans="1:11" ht="13" x14ac:dyDescent="0.3">
      <c r="A168" s="321">
        <f t="shared" si="21"/>
        <v>123</v>
      </c>
      <c r="B168" s="104" t="s">
        <v>36</v>
      </c>
      <c r="C168" s="371">
        <v>2021</v>
      </c>
      <c r="D168" s="373">
        <v>0</v>
      </c>
      <c r="E168" s="328">
        <v>0</v>
      </c>
      <c r="F168" s="328">
        <f t="shared" si="22"/>
        <v>0</v>
      </c>
      <c r="G168" s="373">
        <v>0</v>
      </c>
      <c r="H168" s="373">
        <v>0</v>
      </c>
      <c r="I168" s="328">
        <v>0</v>
      </c>
      <c r="J168" s="328">
        <f t="shared" si="23"/>
        <v>5605699.04</v>
      </c>
      <c r="K168" s="328">
        <f t="shared" si="24"/>
        <v>21500</v>
      </c>
    </row>
    <row r="169" spans="1:11" ht="13" x14ac:dyDescent="0.3">
      <c r="A169" s="321">
        <f t="shared" si="21"/>
        <v>124</v>
      </c>
      <c r="B169" s="104" t="s">
        <v>37</v>
      </c>
      <c r="C169" s="371">
        <v>2021</v>
      </c>
      <c r="D169" s="373">
        <v>0</v>
      </c>
      <c r="E169" s="328">
        <v>0</v>
      </c>
      <c r="F169" s="328">
        <f t="shared" si="22"/>
        <v>0</v>
      </c>
      <c r="G169" s="373">
        <v>0</v>
      </c>
      <c r="H169" s="373">
        <v>0</v>
      </c>
      <c r="I169" s="328">
        <v>0</v>
      </c>
      <c r="J169" s="328">
        <f t="shared" si="23"/>
        <v>5605699.04</v>
      </c>
      <c r="K169" s="328">
        <f t="shared" si="24"/>
        <v>21500</v>
      </c>
    </row>
    <row r="170" spans="1:11" ht="13" x14ac:dyDescent="0.3">
      <c r="A170" s="321">
        <f t="shared" si="21"/>
        <v>125</v>
      </c>
      <c r="B170" s="104" t="s">
        <v>471</v>
      </c>
      <c r="C170" s="371">
        <v>2021</v>
      </c>
      <c r="D170" s="373">
        <v>0</v>
      </c>
      <c r="E170" s="328">
        <v>0</v>
      </c>
      <c r="F170" s="328">
        <f t="shared" si="22"/>
        <v>0</v>
      </c>
      <c r="G170" s="373">
        <v>0</v>
      </c>
      <c r="H170" s="373">
        <v>0</v>
      </c>
      <c r="I170" s="328">
        <v>0</v>
      </c>
      <c r="J170" s="328">
        <f t="shared" si="23"/>
        <v>5605699.04</v>
      </c>
      <c r="K170" s="328">
        <f t="shared" si="24"/>
        <v>21500</v>
      </c>
    </row>
    <row r="171" spans="1:11" ht="13" x14ac:dyDescent="0.3">
      <c r="A171" s="321">
        <f t="shared" si="21"/>
        <v>126</v>
      </c>
      <c r="B171" s="104" t="s">
        <v>39</v>
      </c>
      <c r="C171" s="371">
        <v>2021</v>
      </c>
      <c r="D171" s="373">
        <v>0</v>
      </c>
      <c r="E171" s="328">
        <v>0</v>
      </c>
      <c r="F171" s="328">
        <f t="shared" si="22"/>
        <v>0</v>
      </c>
      <c r="G171" s="373">
        <v>0</v>
      </c>
      <c r="H171" s="373">
        <v>0</v>
      </c>
      <c r="I171" s="328">
        <v>0</v>
      </c>
      <c r="J171" s="328">
        <f t="shared" si="23"/>
        <v>5605699.04</v>
      </c>
      <c r="K171" s="328">
        <f t="shared" si="24"/>
        <v>21500</v>
      </c>
    </row>
    <row r="172" spans="1:11" ht="13" x14ac:dyDescent="0.3">
      <c r="A172" s="321">
        <f t="shared" si="21"/>
        <v>127</v>
      </c>
      <c r="B172" s="104" t="s">
        <v>40</v>
      </c>
      <c r="C172" s="371">
        <v>2021</v>
      </c>
      <c r="D172" s="373">
        <v>0</v>
      </c>
      <c r="E172" s="328">
        <v>0</v>
      </c>
      <c r="F172" s="328">
        <f t="shared" si="22"/>
        <v>0</v>
      </c>
      <c r="G172" s="373">
        <v>0</v>
      </c>
      <c r="H172" s="373">
        <v>0</v>
      </c>
      <c r="I172" s="328">
        <v>0</v>
      </c>
      <c r="J172" s="328">
        <f t="shared" si="23"/>
        <v>5605699.04</v>
      </c>
      <c r="K172" s="328">
        <f t="shared" si="24"/>
        <v>21500</v>
      </c>
    </row>
    <row r="173" spans="1:11" ht="13" x14ac:dyDescent="0.3">
      <c r="A173" s="321">
        <f t="shared" si="21"/>
        <v>128</v>
      </c>
      <c r="B173" s="104" t="s">
        <v>41</v>
      </c>
      <c r="C173" s="371">
        <v>2021</v>
      </c>
      <c r="D173" s="373">
        <v>0</v>
      </c>
      <c r="E173" s="328">
        <v>0</v>
      </c>
      <c r="F173" s="328">
        <f t="shared" si="22"/>
        <v>0</v>
      </c>
      <c r="G173" s="373">
        <v>0</v>
      </c>
      <c r="H173" s="373">
        <v>0</v>
      </c>
      <c r="I173" s="328">
        <v>0</v>
      </c>
      <c r="J173" s="328">
        <f t="shared" si="23"/>
        <v>5605699.04</v>
      </c>
      <c r="K173" s="328">
        <f t="shared" si="24"/>
        <v>21500</v>
      </c>
    </row>
    <row r="174" spans="1:11" ht="13" x14ac:dyDescent="0.3">
      <c r="A174" s="321">
        <f t="shared" si="21"/>
        <v>129</v>
      </c>
      <c r="B174" s="104" t="s">
        <v>42</v>
      </c>
      <c r="C174" s="371">
        <v>2021</v>
      </c>
      <c r="D174" s="373">
        <v>0</v>
      </c>
      <c r="E174" s="328">
        <v>0</v>
      </c>
      <c r="F174" s="328">
        <f t="shared" si="22"/>
        <v>0</v>
      </c>
      <c r="G174" s="373">
        <v>0</v>
      </c>
      <c r="H174" s="373">
        <v>0</v>
      </c>
      <c r="I174" s="328">
        <v>0</v>
      </c>
      <c r="J174" s="328">
        <f>J173+F174-G174-I174</f>
        <v>5605699.04</v>
      </c>
      <c r="K174" s="328">
        <f t="shared" si="24"/>
        <v>21500</v>
      </c>
    </row>
    <row r="175" spans="1:11" ht="13" x14ac:dyDescent="0.3">
      <c r="A175" s="321">
        <f t="shared" si="21"/>
        <v>130</v>
      </c>
      <c r="B175" s="104" t="s">
        <v>43</v>
      </c>
      <c r="C175" s="371">
        <v>2021</v>
      </c>
      <c r="D175" s="373">
        <v>0</v>
      </c>
      <c r="E175" s="328">
        <v>0</v>
      </c>
      <c r="F175" s="328">
        <f t="shared" si="22"/>
        <v>0</v>
      </c>
      <c r="G175" s="373">
        <v>0</v>
      </c>
      <c r="H175" s="373">
        <v>0</v>
      </c>
      <c r="I175" s="328">
        <v>0</v>
      </c>
      <c r="J175" s="328">
        <f>J174+F175-G175-I175</f>
        <v>5605699.04</v>
      </c>
      <c r="K175" s="328">
        <f t="shared" si="24"/>
        <v>21500</v>
      </c>
    </row>
    <row r="176" spans="1:11" ht="13" x14ac:dyDescent="0.3">
      <c r="A176" s="321">
        <f t="shared" si="21"/>
        <v>131</v>
      </c>
      <c r="B176" s="104" t="s">
        <v>27</v>
      </c>
      <c r="C176" s="371">
        <v>2021</v>
      </c>
      <c r="D176" s="373">
        <v>0</v>
      </c>
      <c r="E176" s="328">
        <v>0</v>
      </c>
      <c r="F176" s="328">
        <f t="shared" si="22"/>
        <v>0</v>
      </c>
      <c r="G176" s="373">
        <v>0</v>
      </c>
      <c r="H176" s="373">
        <v>0</v>
      </c>
      <c r="I176" s="328">
        <v>0</v>
      </c>
      <c r="J176" s="328">
        <f>J175+F176-G176-I176</f>
        <v>5605699.04</v>
      </c>
      <c r="K176" s="335">
        <f t="shared" si="24"/>
        <v>21500</v>
      </c>
    </row>
    <row r="177" spans="1:11" ht="13" x14ac:dyDescent="0.3">
      <c r="A177" s="321">
        <f t="shared" si="21"/>
        <v>132</v>
      </c>
      <c r="C177" s="396" t="s">
        <v>880</v>
      </c>
      <c r="K177" s="397">
        <f>AVERAGE(K164:K176)</f>
        <v>21500</v>
      </c>
    </row>
    <row r="178" spans="1:11" ht="13" x14ac:dyDescent="0.3">
      <c r="A178" s="321"/>
      <c r="C178" s="396"/>
      <c r="K178" s="397"/>
    </row>
    <row r="179" spans="1:11" ht="13" x14ac:dyDescent="0.3">
      <c r="B179" s="399" t="s">
        <v>892</v>
      </c>
      <c r="D179" s="429" t="s">
        <v>893</v>
      </c>
      <c r="E179" s="429"/>
    </row>
    <row r="180" spans="1:11" ht="13" x14ac:dyDescent="0.3">
      <c r="A180" s="326"/>
      <c r="B180" s="326"/>
      <c r="C180" s="326"/>
      <c r="D180" s="326" t="s">
        <v>12</v>
      </c>
      <c r="E180" s="326" t="s">
        <v>343</v>
      </c>
      <c r="F180" s="326" t="s">
        <v>361</v>
      </c>
      <c r="G180" s="326" t="s">
        <v>13</v>
      </c>
      <c r="H180" s="326" t="s">
        <v>362</v>
      </c>
      <c r="I180" s="326" t="s">
        <v>363</v>
      </c>
      <c r="J180" s="326" t="s">
        <v>364</v>
      </c>
      <c r="K180" s="326" t="s">
        <v>451</v>
      </c>
    </row>
    <row r="181" spans="1:11" ht="25.5" x14ac:dyDescent="0.3">
      <c r="D181" s="363"/>
      <c r="E181" s="400" t="s">
        <v>883</v>
      </c>
      <c r="F181" s="356" t="s">
        <v>884</v>
      </c>
      <c r="G181" s="356"/>
      <c r="H181" s="363"/>
      <c r="I181" s="400" t="s">
        <v>885</v>
      </c>
      <c r="J181" s="400" t="s">
        <v>886</v>
      </c>
      <c r="K181" s="400" t="s">
        <v>887</v>
      </c>
    </row>
    <row r="182" spans="1:11" ht="13" x14ac:dyDescent="0.3">
      <c r="D182" s="363"/>
      <c r="E182" s="400"/>
      <c r="F182" s="356"/>
      <c r="G182" s="351" t="str">
        <f>G51</f>
        <v>Unloaded</v>
      </c>
      <c r="H182" s="363"/>
      <c r="I182" s="400"/>
      <c r="J182" s="400"/>
      <c r="K182" s="400"/>
    </row>
    <row r="183" spans="1:11" ht="13" x14ac:dyDescent="0.3">
      <c r="A183" s="321"/>
      <c r="B183" s="321"/>
      <c r="C183" s="321"/>
      <c r="D183" s="321" t="str">
        <f>D$52</f>
        <v>Forecast</v>
      </c>
      <c r="E183" s="321" t="str">
        <f t="shared" ref="E183:J183" si="25">E$52</f>
        <v>Corporate</v>
      </c>
      <c r="F183" s="321" t="str">
        <f t="shared" si="25"/>
        <v xml:space="preserve">Total </v>
      </c>
      <c r="G183" s="351" t="str">
        <f>G52</f>
        <v>Total</v>
      </c>
      <c r="H183" s="321" t="str">
        <f t="shared" si="25"/>
        <v>Prior Period</v>
      </c>
      <c r="I183" s="321" t="str">
        <f t="shared" si="25"/>
        <v>Over Heads</v>
      </c>
      <c r="J183" s="321" t="str">
        <f t="shared" si="25"/>
        <v>Forecast</v>
      </c>
      <c r="K183" s="321" t="str">
        <f>K$52</f>
        <v>Forecast Period</v>
      </c>
    </row>
    <row r="184" spans="1:11" ht="13" x14ac:dyDescent="0.3">
      <c r="A184" s="325" t="s">
        <v>22</v>
      </c>
      <c r="B184" s="94" t="s">
        <v>23</v>
      </c>
      <c r="C184" s="94" t="s">
        <v>24</v>
      </c>
      <c r="D184" s="326" t="str">
        <f>D$53</f>
        <v>Expenditures</v>
      </c>
      <c r="E184" s="326" t="str">
        <f t="shared" ref="E184:J184" si="26">E$53</f>
        <v>Overheads</v>
      </c>
      <c r="F184" s="326" t="str">
        <f t="shared" si="26"/>
        <v>CWIP Exp</v>
      </c>
      <c r="G184" s="363" t="str">
        <f>G53</f>
        <v>Plant Adds</v>
      </c>
      <c r="H184" s="326" t="str">
        <f t="shared" si="26"/>
        <v>CWIP Closed</v>
      </c>
      <c r="I184" s="326" t="str">
        <f t="shared" si="26"/>
        <v>Closed to PIS</v>
      </c>
      <c r="J184" s="326" t="str">
        <f t="shared" si="26"/>
        <v>Period CWIP</v>
      </c>
      <c r="K184" s="326" t="str">
        <f>K$53</f>
        <v>Incremental CWIP</v>
      </c>
    </row>
    <row r="185" spans="1:11" ht="13" x14ac:dyDescent="0.3">
      <c r="A185" s="321">
        <f>A177+1</f>
        <v>133</v>
      </c>
      <c r="B185" s="104" t="s">
        <v>27</v>
      </c>
      <c r="C185" s="371">
        <v>2019</v>
      </c>
      <c r="D185" s="356" t="s">
        <v>28</v>
      </c>
      <c r="E185" s="356" t="s">
        <v>28</v>
      </c>
      <c r="F185" s="356" t="s">
        <v>28</v>
      </c>
      <c r="G185" s="356" t="s">
        <v>28</v>
      </c>
      <c r="H185" s="356" t="s">
        <v>28</v>
      </c>
      <c r="I185" s="356" t="s">
        <v>28</v>
      </c>
      <c r="J185" s="328">
        <f>H25</f>
        <v>468121962.68000001</v>
      </c>
      <c r="K185" s="356" t="s">
        <v>28</v>
      </c>
    </row>
    <row r="186" spans="1:11" ht="13" x14ac:dyDescent="0.3">
      <c r="A186" s="321">
        <f>A185+1</f>
        <v>134</v>
      </c>
      <c r="B186" s="104" t="s">
        <v>30</v>
      </c>
      <c r="C186" s="371">
        <v>2020</v>
      </c>
      <c r="D186" s="373">
        <v>13509524.999999998</v>
      </c>
      <c r="E186" s="328">
        <v>1013214.3749999998</v>
      </c>
      <c r="F186" s="328">
        <f>E186+D186</f>
        <v>14522739.374999998</v>
      </c>
      <c r="G186" s="373">
        <v>95089</v>
      </c>
      <c r="H186" s="373">
        <v>0</v>
      </c>
      <c r="I186" s="328">
        <v>7131.6750000000002</v>
      </c>
      <c r="J186" s="328">
        <f>J185+F186-G186-I186</f>
        <v>482542481.38</v>
      </c>
      <c r="K186" s="328">
        <f>J186-$J$185</f>
        <v>14420518.699999988</v>
      </c>
    </row>
    <row r="187" spans="1:11" ht="13" x14ac:dyDescent="0.3">
      <c r="A187" s="321">
        <f t="shared" ref="A187:A210" si="27">A186+1</f>
        <v>135</v>
      </c>
      <c r="B187" s="104" t="s">
        <v>32</v>
      </c>
      <c r="C187" s="371">
        <v>2020</v>
      </c>
      <c r="D187" s="373">
        <v>17958037</v>
      </c>
      <c r="E187" s="328">
        <v>1346852.7749999999</v>
      </c>
      <c r="F187" s="328">
        <f t="shared" ref="F187:F206" si="28">E187+D187</f>
        <v>19304889.774999999</v>
      </c>
      <c r="G187" s="373">
        <v>299847.00000000006</v>
      </c>
      <c r="H187" s="373">
        <v>0</v>
      </c>
      <c r="I187" s="328">
        <v>22488.525000000005</v>
      </c>
      <c r="J187" s="328">
        <f t="shared" ref="J187:J206" si="29">J186+F187-G187-I187</f>
        <v>501525035.63</v>
      </c>
      <c r="K187" s="328">
        <f t="shared" ref="K187:K209" si="30">J187-$J$185</f>
        <v>33403072.949999988</v>
      </c>
    </row>
    <row r="188" spans="1:11" ht="13" x14ac:dyDescent="0.3">
      <c r="A188" s="321">
        <f t="shared" si="27"/>
        <v>136</v>
      </c>
      <c r="B188" s="104" t="s">
        <v>34</v>
      </c>
      <c r="C188" s="371">
        <v>2020</v>
      </c>
      <c r="D188" s="373">
        <v>11893100.999999998</v>
      </c>
      <c r="E188" s="328">
        <v>891982.57499999984</v>
      </c>
      <c r="F188" s="328">
        <f t="shared" si="28"/>
        <v>12785083.574999997</v>
      </c>
      <c r="G188" s="373">
        <v>45416.000000000007</v>
      </c>
      <c r="H188" s="373">
        <v>0</v>
      </c>
      <c r="I188" s="328">
        <v>3406.2000000000003</v>
      </c>
      <c r="J188" s="328">
        <f t="shared" si="29"/>
        <v>514261297.005</v>
      </c>
      <c r="K188" s="328">
        <f t="shared" si="30"/>
        <v>46139334.324999988</v>
      </c>
    </row>
    <row r="189" spans="1:11" ht="13" x14ac:dyDescent="0.3">
      <c r="A189" s="321">
        <f t="shared" si="27"/>
        <v>137</v>
      </c>
      <c r="B189" s="104" t="s">
        <v>36</v>
      </c>
      <c r="C189" s="371">
        <v>2020</v>
      </c>
      <c r="D189" s="373">
        <v>14402052</v>
      </c>
      <c r="E189" s="328">
        <v>1080153.8999999999</v>
      </c>
      <c r="F189" s="328">
        <f t="shared" si="28"/>
        <v>15482205.9</v>
      </c>
      <c r="G189" s="373">
        <v>46000</v>
      </c>
      <c r="H189" s="373">
        <v>0</v>
      </c>
      <c r="I189" s="328">
        <v>3450</v>
      </c>
      <c r="J189" s="328">
        <f t="shared" si="29"/>
        <v>529694052.90499997</v>
      </c>
      <c r="K189" s="328">
        <f t="shared" si="30"/>
        <v>61572090.224999964</v>
      </c>
    </row>
    <row r="190" spans="1:11" ht="13" x14ac:dyDescent="0.3">
      <c r="A190" s="321">
        <f t="shared" si="27"/>
        <v>138</v>
      </c>
      <c r="B190" s="104" t="s">
        <v>37</v>
      </c>
      <c r="C190" s="371">
        <v>2020</v>
      </c>
      <c r="D190" s="373">
        <v>13406000</v>
      </c>
      <c r="E190" s="328">
        <v>1005450</v>
      </c>
      <c r="F190" s="328">
        <f t="shared" si="28"/>
        <v>14411450</v>
      </c>
      <c r="G190" s="373">
        <v>46000</v>
      </c>
      <c r="H190" s="373">
        <v>0</v>
      </c>
      <c r="I190" s="328">
        <v>3450</v>
      </c>
      <c r="J190" s="328">
        <f t="shared" si="29"/>
        <v>544056052.90499997</v>
      </c>
      <c r="K190" s="328">
        <f t="shared" si="30"/>
        <v>75934090.224999964</v>
      </c>
    </row>
    <row r="191" spans="1:11" ht="13" x14ac:dyDescent="0.3">
      <c r="A191" s="321">
        <f t="shared" si="27"/>
        <v>139</v>
      </c>
      <c r="B191" s="104" t="s">
        <v>471</v>
      </c>
      <c r="C191" s="371">
        <v>2020</v>
      </c>
      <c r="D191" s="373">
        <v>12894044</v>
      </c>
      <c r="E191" s="328">
        <v>967053.29999999993</v>
      </c>
      <c r="F191" s="328">
        <f t="shared" si="28"/>
        <v>13861097.300000001</v>
      </c>
      <c r="G191" s="373">
        <v>34044</v>
      </c>
      <c r="H191" s="373">
        <v>0</v>
      </c>
      <c r="I191" s="328">
        <v>2553.2999999999997</v>
      </c>
      <c r="J191" s="328">
        <f t="shared" si="29"/>
        <v>557880552.90499997</v>
      </c>
      <c r="K191" s="328">
        <f t="shared" si="30"/>
        <v>89758590.224999964</v>
      </c>
    </row>
    <row r="192" spans="1:11" ht="13" x14ac:dyDescent="0.3">
      <c r="A192" s="321">
        <f t="shared" si="27"/>
        <v>140</v>
      </c>
      <c r="B192" s="104" t="s">
        <v>39</v>
      </c>
      <c r="C192" s="371">
        <v>2020</v>
      </c>
      <c r="D192" s="373">
        <v>13176000</v>
      </c>
      <c r="E192" s="328">
        <v>988200</v>
      </c>
      <c r="F192" s="328">
        <f t="shared" si="28"/>
        <v>14164200</v>
      </c>
      <c r="G192" s="373">
        <v>16000</v>
      </c>
      <c r="H192" s="373">
        <v>0</v>
      </c>
      <c r="I192" s="328">
        <v>1200</v>
      </c>
      <c r="J192" s="328">
        <f t="shared" si="29"/>
        <v>572027552.90499997</v>
      </c>
      <c r="K192" s="328">
        <f t="shared" si="30"/>
        <v>103905590.22499996</v>
      </c>
    </row>
    <row r="193" spans="1:11" ht="13" x14ac:dyDescent="0.3">
      <c r="A193" s="321">
        <f t="shared" si="27"/>
        <v>141</v>
      </c>
      <c r="B193" s="104" t="s">
        <v>40</v>
      </c>
      <c r="C193" s="371">
        <v>2020</v>
      </c>
      <c r="D193" s="373">
        <v>13176000</v>
      </c>
      <c r="E193" s="328">
        <v>988200</v>
      </c>
      <c r="F193" s="328">
        <f t="shared" si="28"/>
        <v>14164200</v>
      </c>
      <c r="G193" s="373">
        <v>16000</v>
      </c>
      <c r="H193" s="373">
        <v>0</v>
      </c>
      <c r="I193" s="328">
        <v>1200</v>
      </c>
      <c r="J193" s="328">
        <f t="shared" si="29"/>
        <v>586174552.90499997</v>
      </c>
      <c r="K193" s="328">
        <f t="shared" si="30"/>
        <v>118052590.22499996</v>
      </c>
    </row>
    <row r="194" spans="1:11" ht="13" x14ac:dyDescent="0.3">
      <c r="A194" s="321">
        <f t="shared" si="27"/>
        <v>142</v>
      </c>
      <c r="B194" s="104" t="s">
        <v>41</v>
      </c>
      <c r="C194" s="371">
        <v>2020</v>
      </c>
      <c r="D194" s="373">
        <v>12666000</v>
      </c>
      <c r="E194" s="328">
        <v>949950</v>
      </c>
      <c r="F194" s="328">
        <f t="shared" si="28"/>
        <v>13615950</v>
      </c>
      <c r="G194" s="373">
        <v>16000</v>
      </c>
      <c r="H194" s="373">
        <v>0</v>
      </c>
      <c r="I194" s="328">
        <v>1200</v>
      </c>
      <c r="J194" s="328">
        <f t="shared" si="29"/>
        <v>599773302.90499997</v>
      </c>
      <c r="K194" s="328">
        <f t="shared" si="30"/>
        <v>131651340.22499996</v>
      </c>
    </row>
    <row r="195" spans="1:11" ht="13" x14ac:dyDescent="0.3">
      <c r="A195" s="321">
        <f t="shared" si="27"/>
        <v>143</v>
      </c>
      <c r="B195" s="104" t="s">
        <v>42</v>
      </c>
      <c r="C195" s="371">
        <v>2020</v>
      </c>
      <c r="D195" s="373">
        <v>12746769</v>
      </c>
      <c r="E195" s="328">
        <v>956007.67499999993</v>
      </c>
      <c r="F195" s="328">
        <f t="shared" si="28"/>
        <v>13702776.675000001</v>
      </c>
      <c r="G195" s="373">
        <v>16000</v>
      </c>
      <c r="H195" s="373">
        <v>0</v>
      </c>
      <c r="I195" s="328">
        <v>1200</v>
      </c>
      <c r="J195" s="328">
        <f t="shared" si="29"/>
        <v>613458879.57999992</v>
      </c>
      <c r="K195" s="328">
        <f t="shared" si="30"/>
        <v>145336916.89999992</v>
      </c>
    </row>
    <row r="196" spans="1:11" ht="13" x14ac:dyDescent="0.3">
      <c r="A196" s="321">
        <f t="shared" si="27"/>
        <v>144</v>
      </c>
      <c r="B196" s="104" t="s">
        <v>43</v>
      </c>
      <c r="C196" s="371">
        <v>2020</v>
      </c>
      <c r="D196" s="373">
        <v>9112310</v>
      </c>
      <c r="E196" s="328">
        <v>683423.25</v>
      </c>
      <c r="F196" s="328">
        <f t="shared" si="28"/>
        <v>9795733.25</v>
      </c>
      <c r="G196" s="373">
        <v>16000</v>
      </c>
      <c r="H196" s="373">
        <v>0</v>
      </c>
      <c r="I196" s="328">
        <v>1200</v>
      </c>
      <c r="J196" s="328">
        <f t="shared" si="29"/>
        <v>623237412.82999992</v>
      </c>
      <c r="K196" s="328">
        <f t="shared" si="30"/>
        <v>155115450.14999992</v>
      </c>
    </row>
    <row r="197" spans="1:11" ht="13" x14ac:dyDescent="0.3">
      <c r="A197" s="321">
        <f t="shared" si="27"/>
        <v>145</v>
      </c>
      <c r="B197" s="104" t="s">
        <v>27</v>
      </c>
      <c r="C197" s="371">
        <v>2020</v>
      </c>
      <c r="D197" s="373">
        <v>9083762</v>
      </c>
      <c r="E197" s="328">
        <v>681282.15</v>
      </c>
      <c r="F197" s="328">
        <f t="shared" si="28"/>
        <v>9765044.1500000004</v>
      </c>
      <c r="G197" s="373">
        <v>528372696.69999999</v>
      </c>
      <c r="H197" s="373">
        <v>378879722.69999999</v>
      </c>
      <c r="I197" s="328">
        <v>11211973.049999999</v>
      </c>
      <c r="J197" s="328">
        <f t="shared" si="29"/>
        <v>93417787.229999915</v>
      </c>
      <c r="K197" s="328">
        <f t="shared" si="30"/>
        <v>-374704175.45000011</v>
      </c>
    </row>
    <row r="198" spans="1:11" ht="13" x14ac:dyDescent="0.3">
      <c r="A198" s="321">
        <f t="shared" si="27"/>
        <v>146</v>
      </c>
      <c r="B198" s="104" t="s">
        <v>30</v>
      </c>
      <c r="C198" s="371">
        <v>2021</v>
      </c>
      <c r="D198" s="373">
        <v>4708000</v>
      </c>
      <c r="E198" s="328">
        <v>353100</v>
      </c>
      <c r="F198" s="328">
        <f t="shared" si="28"/>
        <v>5061100</v>
      </c>
      <c r="G198" s="373">
        <v>4508000</v>
      </c>
      <c r="H198" s="373">
        <v>0</v>
      </c>
      <c r="I198" s="328">
        <v>338100</v>
      </c>
      <c r="J198" s="328">
        <f t="shared" si="29"/>
        <v>93632787.229999915</v>
      </c>
      <c r="K198" s="328">
        <f t="shared" si="30"/>
        <v>-374489175.45000011</v>
      </c>
    </row>
    <row r="199" spans="1:11" ht="13" x14ac:dyDescent="0.3">
      <c r="A199" s="321">
        <f t="shared" si="27"/>
        <v>147</v>
      </c>
      <c r="B199" s="104" t="s">
        <v>32</v>
      </c>
      <c r="C199" s="371">
        <v>2021</v>
      </c>
      <c r="D199" s="373">
        <v>5510000</v>
      </c>
      <c r="E199" s="328">
        <v>413250</v>
      </c>
      <c r="F199" s="328">
        <f t="shared" si="28"/>
        <v>5923250</v>
      </c>
      <c r="G199" s="373">
        <v>5210000</v>
      </c>
      <c r="H199" s="373">
        <v>0</v>
      </c>
      <c r="I199" s="328">
        <v>390750</v>
      </c>
      <c r="J199" s="328">
        <f t="shared" si="29"/>
        <v>93955287.229999915</v>
      </c>
      <c r="K199" s="328">
        <f t="shared" si="30"/>
        <v>-374166675.45000011</v>
      </c>
    </row>
    <row r="200" spans="1:11" ht="13" x14ac:dyDescent="0.3">
      <c r="A200" s="321">
        <f t="shared" si="27"/>
        <v>148</v>
      </c>
      <c r="B200" s="104" t="s">
        <v>34</v>
      </c>
      <c r="C200" s="371">
        <v>2021</v>
      </c>
      <c r="D200" s="373">
        <v>6510000</v>
      </c>
      <c r="E200" s="328">
        <v>488250</v>
      </c>
      <c r="F200" s="328">
        <f t="shared" si="28"/>
        <v>6998250</v>
      </c>
      <c r="G200" s="373">
        <v>6210000</v>
      </c>
      <c r="H200" s="373">
        <v>0</v>
      </c>
      <c r="I200" s="328">
        <v>465750</v>
      </c>
      <c r="J200" s="328">
        <f t="shared" si="29"/>
        <v>94277787.229999915</v>
      </c>
      <c r="K200" s="328">
        <f t="shared" si="30"/>
        <v>-373844175.45000011</v>
      </c>
    </row>
    <row r="201" spans="1:11" ht="13" x14ac:dyDescent="0.3">
      <c r="A201" s="321">
        <f t="shared" si="27"/>
        <v>149</v>
      </c>
      <c r="B201" s="104" t="s">
        <v>36</v>
      </c>
      <c r="C201" s="371">
        <v>2021</v>
      </c>
      <c r="D201" s="373">
        <v>6510000</v>
      </c>
      <c r="E201" s="328">
        <v>488250</v>
      </c>
      <c r="F201" s="328">
        <f t="shared" si="28"/>
        <v>6998250</v>
      </c>
      <c r="G201" s="373">
        <v>6210000</v>
      </c>
      <c r="H201" s="373">
        <v>0</v>
      </c>
      <c r="I201" s="328">
        <v>465750</v>
      </c>
      <c r="J201" s="328">
        <f t="shared" si="29"/>
        <v>94600287.229999915</v>
      </c>
      <c r="K201" s="328">
        <f t="shared" si="30"/>
        <v>-373521675.45000011</v>
      </c>
    </row>
    <row r="202" spans="1:11" ht="13" x14ac:dyDescent="0.3">
      <c r="A202" s="321">
        <f t="shared" si="27"/>
        <v>150</v>
      </c>
      <c r="B202" s="104" t="s">
        <v>37</v>
      </c>
      <c r="C202" s="371">
        <v>2021</v>
      </c>
      <c r="D202" s="373">
        <v>6510000</v>
      </c>
      <c r="E202" s="328">
        <v>488250</v>
      </c>
      <c r="F202" s="328">
        <f t="shared" si="28"/>
        <v>6998250</v>
      </c>
      <c r="G202" s="373">
        <v>72332577</v>
      </c>
      <c r="H202" s="373">
        <v>66122577.000000007</v>
      </c>
      <c r="I202" s="328">
        <v>465749.99999999942</v>
      </c>
      <c r="J202" s="328">
        <f t="shared" si="29"/>
        <v>28800210.229999915</v>
      </c>
      <c r="K202" s="328">
        <f t="shared" si="30"/>
        <v>-439321752.45000011</v>
      </c>
    </row>
    <row r="203" spans="1:11" ht="13" x14ac:dyDescent="0.3">
      <c r="A203" s="321">
        <f t="shared" si="27"/>
        <v>151</v>
      </c>
      <c r="B203" s="104" t="s">
        <v>471</v>
      </c>
      <c r="C203" s="371">
        <v>2021</v>
      </c>
      <c r="D203" s="373">
        <v>6400000</v>
      </c>
      <c r="E203" s="328">
        <v>480000</v>
      </c>
      <c r="F203" s="328">
        <f t="shared" si="28"/>
        <v>6880000</v>
      </c>
      <c r="G203" s="373">
        <v>6200000</v>
      </c>
      <c r="H203" s="373">
        <v>0</v>
      </c>
      <c r="I203" s="328">
        <v>465000</v>
      </c>
      <c r="J203" s="328">
        <f t="shared" si="29"/>
        <v>29015210.229999915</v>
      </c>
      <c r="K203" s="328">
        <f t="shared" si="30"/>
        <v>-439106752.45000011</v>
      </c>
    </row>
    <row r="204" spans="1:11" ht="13" x14ac:dyDescent="0.3">
      <c r="A204" s="321">
        <f t="shared" si="27"/>
        <v>152</v>
      </c>
      <c r="B204" s="104" t="s">
        <v>39</v>
      </c>
      <c r="C204" s="371">
        <v>2021</v>
      </c>
      <c r="D204" s="373">
        <v>4100000</v>
      </c>
      <c r="E204" s="328">
        <v>307500</v>
      </c>
      <c r="F204" s="328">
        <f t="shared" si="28"/>
        <v>4407500</v>
      </c>
      <c r="G204" s="373">
        <v>4000000</v>
      </c>
      <c r="H204" s="373">
        <v>0</v>
      </c>
      <c r="I204" s="328">
        <v>300000</v>
      </c>
      <c r="J204" s="328">
        <f t="shared" si="29"/>
        <v>29122710.229999915</v>
      </c>
      <c r="K204" s="328">
        <f t="shared" si="30"/>
        <v>-438999252.45000011</v>
      </c>
    </row>
    <row r="205" spans="1:11" ht="13" x14ac:dyDescent="0.3">
      <c r="A205" s="321">
        <f t="shared" si="27"/>
        <v>153</v>
      </c>
      <c r="B205" s="104" t="s">
        <v>40</v>
      </c>
      <c r="C205" s="371">
        <v>2021</v>
      </c>
      <c r="D205" s="373">
        <v>4100000</v>
      </c>
      <c r="E205" s="328">
        <v>307500</v>
      </c>
      <c r="F205" s="328">
        <f t="shared" si="28"/>
        <v>4407500</v>
      </c>
      <c r="G205" s="373">
        <v>11727887.75</v>
      </c>
      <c r="H205" s="373">
        <v>6252887.75</v>
      </c>
      <c r="I205" s="328">
        <v>410625</v>
      </c>
      <c r="J205" s="328">
        <f t="shared" si="29"/>
        <v>21391697.479999915</v>
      </c>
      <c r="K205" s="328">
        <f t="shared" si="30"/>
        <v>-446730265.20000011</v>
      </c>
    </row>
    <row r="206" spans="1:11" ht="13" x14ac:dyDescent="0.3">
      <c r="A206" s="321">
        <f t="shared" si="27"/>
        <v>154</v>
      </c>
      <c r="B206" s="104" t="s">
        <v>41</v>
      </c>
      <c r="C206" s="371">
        <v>2021</v>
      </c>
      <c r="D206" s="373">
        <v>3000000</v>
      </c>
      <c r="E206" s="328">
        <v>225000</v>
      </c>
      <c r="F206" s="328">
        <f t="shared" si="28"/>
        <v>3225000</v>
      </c>
      <c r="G206" s="373">
        <v>3000000</v>
      </c>
      <c r="H206" s="373">
        <v>0</v>
      </c>
      <c r="I206" s="328">
        <v>225000</v>
      </c>
      <c r="J206" s="328">
        <f t="shared" si="29"/>
        <v>21391697.479999915</v>
      </c>
      <c r="K206" s="328">
        <f t="shared" si="30"/>
        <v>-446730265.20000011</v>
      </c>
    </row>
    <row r="207" spans="1:11" ht="13" x14ac:dyDescent="0.3">
      <c r="A207" s="321">
        <f t="shared" si="27"/>
        <v>155</v>
      </c>
      <c r="B207" s="104" t="s">
        <v>42</v>
      </c>
      <c r="C207" s="371">
        <v>2021</v>
      </c>
      <c r="D207" s="373">
        <v>3000000</v>
      </c>
      <c r="E207" s="328">
        <v>225000</v>
      </c>
      <c r="F207" s="328">
        <f>E207+D207</f>
        <v>3225000</v>
      </c>
      <c r="G207" s="373">
        <v>8674312.6100000013</v>
      </c>
      <c r="H207" s="373">
        <v>4965082.6100000003</v>
      </c>
      <c r="I207" s="328">
        <v>278192.25000000006</v>
      </c>
      <c r="J207" s="328">
        <f>J206+F207-G207-I207</f>
        <v>15664192.619999913</v>
      </c>
      <c r="K207" s="328">
        <f t="shared" si="30"/>
        <v>-452457770.06000012</v>
      </c>
    </row>
    <row r="208" spans="1:11" ht="13" x14ac:dyDescent="0.3">
      <c r="A208" s="321">
        <f t="shared" si="27"/>
        <v>156</v>
      </c>
      <c r="B208" s="104" t="s">
        <v>43</v>
      </c>
      <c r="C208" s="371">
        <v>2021</v>
      </c>
      <c r="D208" s="373">
        <v>3000000</v>
      </c>
      <c r="E208" s="328">
        <v>225000</v>
      </c>
      <c r="F208" s="328">
        <f>E208+D208</f>
        <v>3225000</v>
      </c>
      <c r="G208" s="373">
        <v>3000000</v>
      </c>
      <c r="H208" s="373">
        <v>0</v>
      </c>
      <c r="I208" s="328">
        <v>225000</v>
      </c>
      <c r="J208" s="328">
        <f>J207+F208-G208-I208</f>
        <v>15664192.619999915</v>
      </c>
      <c r="K208" s="328">
        <f t="shared" si="30"/>
        <v>-452457770.06000006</v>
      </c>
    </row>
    <row r="209" spans="1:11" ht="13" x14ac:dyDescent="0.3">
      <c r="A209" s="321">
        <f t="shared" si="27"/>
        <v>157</v>
      </c>
      <c r="B209" s="104" t="s">
        <v>27</v>
      </c>
      <c r="C209" s="371">
        <v>2021</v>
      </c>
      <c r="D209" s="373">
        <v>2316078.9999999995</v>
      </c>
      <c r="E209" s="328">
        <v>173705.92499999996</v>
      </c>
      <c r="F209" s="328">
        <f>E209+D209</f>
        <v>2489784.9249999993</v>
      </c>
      <c r="G209" s="373">
        <v>12447277.51</v>
      </c>
      <c r="H209" s="373">
        <v>6631198.5099999998</v>
      </c>
      <c r="I209" s="328">
        <v>436205.92499999999</v>
      </c>
      <c r="J209" s="328">
        <f>J208+F209-G209-I209</f>
        <v>5270494.1099999165</v>
      </c>
      <c r="K209" s="335">
        <f t="shared" si="30"/>
        <v>-462851468.57000011</v>
      </c>
    </row>
    <row r="210" spans="1:11" ht="13" x14ac:dyDescent="0.3">
      <c r="A210" s="321">
        <f t="shared" si="27"/>
        <v>158</v>
      </c>
      <c r="C210" s="396" t="s">
        <v>880</v>
      </c>
      <c r="K210" s="397">
        <f>AVERAGE(K197:K209)</f>
        <v>-419183167.20692325</v>
      </c>
    </row>
    <row r="211" spans="1:11" ht="13" x14ac:dyDescent="0.3">
      <c r="A211" s="321"/>
      <c r="C211" s="396"/>
      <c r="K211" s="397"/>
    </row>
    <row r="212" spans="1:11" ht="13" x14ac:dyDescent="0.3">
      <c r="B212" s="399" t="s">
        <v>894</v>
      </c>
      <c r="D212" s="429" t="s">
        <v>852</v>
      </c>
      <c r="E212" s="429"/>
    </row>
    <row r="213" spans="1:11" ht="13" x14ac:dyDescent="0.3">
      <c r="D213" s="363"/>
      <c r="E213" s="363"/>
      <c r="F213" s="363"/>
      <c r="G213" s="321" t="str">
        <f>G51</f>
        <v>Unloaded</v>
      </c>
      <c r="H213" s="363"/>
      <c r="I213" s="363"/>
    </row>
    <row r="214" spans="1:11" ht="13" x14ac:dyDescent="0.3">
      <c r="A214" s="321"/>
      <c r="B214" s="321"/>
      <c r="C214" s="321"/>
      <c r="D214" s="321" t="str">
        <f>D$52</f>
        <v>Forecast</v>
      </c>
      <c r="E214" s="321" t="str">
        <f t="shared" ref="E214:J214" si="31">E$52</f>
        <v>Corporate</v>
      </c>
      <c r="F214" s="321" t="str">
        <f t="shared" si="31"/>
        <v xml:space="preserve">Total </v>
      </c>
      <c r="G214" s="321" t="str">
        <f>G52</f>
        <v>Total</v>
      </c>
      <c r="H214" s="321" t="str">
        <f t="shared" si="31"/>
        <v>Prior Period</v>
      </c>
      <c r="I214" s="321" t="str">
        <f t="shared" si="31"/>
        <v>Over Heads</v>
      </c>
      <c r="J214" s="321" t="str">
        <f t="shared" si="31"/>
        <v>Forecast</v>
      </c>
      <c r="K214" s="321" t="str">
        <f>K$52</f>
        <v>Forecast Period</v>
      </c>
    </row>
    <row r="215" spans="1:11" ht="13" x14ac:dyDescent="0.3">
      <c r="A215" s="325" t="s">
        <v>22</v>
      </c>
      <c r="B215" s="94" t="s">
        <v>23</v>
      </c>
      <c r="C215" s="94" t="s">
        <v>24</v>
      </c>
      <c r="D215" s="326" t="str">
        <f>D$53</f>
        <v>Expenditures</v>
      </c>
      <c r="E215" s="326" t="str">
        <f t="shared" ref="E215:J215" si="32">E$53</f>
        <v>Overheads</v>
      </c>
      <c r="F215" s="326" t="str">
        <f t="shared" si="32"/>
        <v>CWIP Exp</v>
      </c>
      <c r="G215" s="326" t="str">
        <f>G53</f>
        <v>Plant Adds</v>
      </c>
      <c r="H215" s="326" t="str">
        <f t="shared" si="32"/>
        <v>CWIP Closed</v>
      </c>
      <c r="I215" s="326" t="str">
        <f t="shared" si="32"/>
        <v>Closed to PIS</v>
      </c>
      <c r="J215" s="326" t="str">
        <f t="shared" si="32"/>
        <v>Period CWIP</v>
      </c>
      <c r="K215" s="326" t="str">
        <f>K$53</f>
        <v>Incremental CWIP</v>
      </c>
    </row>
    <row r="216" spans="1:11" ht="13" x14ac:dyDescent="0.3">
      <c r="A216" s="321">
        <f>A210+1</f>
        <v>159</v>
      </c>
      <c r="B216" s="104" t="s">
        <v>27</v>
      </c>
      <c r="C216" s="371">
        <v>2019</v>
      </c>
      <c r="D216" s="356" t="s">
        <v>28</v>
      </c>
      <c r="E216" s="356" t="s">
        <v>28</v>
      </c>
      <c r="F216" s="356" t="s">
        <v>28</v>
      </c>
      <c r="G216" s="356" t="s">
        <v>28</v>
      </c>
      <c r="H216" s="356" t="s">
        <v>28</v>
      </c>
      <c r="I216" s="356" t="s">
        <v>28</v>
      </c>
      <c r="J216" s="328">
        <f>I25</f>
        <v>0</v>
      </c>
      <c r="K216" s="356" t="s">
        <v>28</v>
      </c>
    </row>
    <row r="217" spans="1:11" ht="13" x14ac:dyDescent="0.3">
      <c r="A217" s="321">
        <f>A216+1</f>
        <v>160</v>
      </c>
      <c r="B217" s="104" t="s">
        <v>30</v>
      </c>
      <c r="C217" s="371">
        <v>2020</v>
      </c>
      <c r="D217" s="373">
        <v>0</v>
      </c>
      <c r="E217" s="328">
        <v>0</v>
      </c>
      <c r="F217" s="328">
        <f>E217+D217</f>
        <v>0</v>
      </c>
      <c r="G217" s="373">
        <v>0</v>
      </c>
      <c r="H217" s="373">
        <v>0</v>
      </c>
      <c r="I217" s="328">
        <v>0</v>
      </c>
      <c r="J217" s="328">
        <f>J216+F217-G217-I217</f>
        <v>0</v>
      </c>
      <c r="K217" s="328">
        <f>J217-$J$216</f>
        <v>0</v>
      </c>
    </row>
    <row r="218" spans="1:11" ht="13" x14ac:dyDescent="0.3">
      <c r="A218" s="321">
        <f t="shared" ref="A218:A241" si="33">A217+1</f>
        <v>161</v>
      </c>
      <c r="B218" s="104" t="s">
        <v>32</v>
      </c>
      <c r="C218" s="371">
        <v>2020</v>
      </c>
      <c r="D218" s="373">
        <v>0</v>
      </c>
      <c r="E218" s="328">
        <v>0</v>
      </c>
      <c r="F218" s="328">
        <f t="shared" ref="F218:F237" si="34">E218+D218</f>
        <v>0</v>
      </c>
      <c r="G218" s="373">
        <v>0</v>
      </c>
      <c r="H218" s="373">
        <v>0</v>
      </c>
      <c r="I218" s="328">
        <v>0</v>
      </c>
      <c r="J218" s="328">
        <f t="shared" ref="J218:J237" si="35">J217+F218-G218-I218</f>
        <v>0</v>
      </c>
      <c r="K218" s="328">
        <f t="shared" ref="K218:K240" si="36">J218-$J$216</f>
        <v>0</v>
      </c>
    </row>
    <row r="219" spans="1:11" ht="13" x14ac:dyDescent="0.3">
      <c r="A219" s="321">
        <f t="shared" si="33"/>
        <v>162</v>
      </c>
      <c r="B219" s="104" t="s">
        <v>34</v>
      </c>
      <c r="C219" s="371">
        <v>2020</v>
      </c>
      <c r="D219" s="373">
        <v>0</v>
      </c>
      <c r="E219" s="328">
        <v>0</v>
      </c>
      <c r="F219" s="328">
        <f t="shared" si="34"/>
        <v>0</v>
      </c>
      <c r="G219" s="373">
        <v>0</v>
      </c>
      <c r="H219" s="373">
        <v>0</v>
      </c>
      <c r="I219" s="328">
        <v>0</v>
      </c>
      <c r="J219" s="328">
        <f t="shared" si="35"/>
        <v>0</v>
      </c>
      <c r="K219" s="328">
        <f t="shared" si="36"/>
        <v>0</v>
      </c>
    </row>
    <row r="220" spans="1:11" ht="13" x14ac:dyDescent="0.3">
      <c r="A220" s="321">
        <f t="shared" si="33"/>
        <v>163</v>
      </c>
      <c r="B220" s="104" t="s">
        <v>36</v>
      </c>
      <c r="C220" s="371">
        <v>2020</v>
      </c>
      <c r="D220" s="373">
        <v>0</v>
      </c>
      <c r="E220" s="328">
        <v>0</v>
      </c>
      <c r="F220" s="328">
        <f t="shared" si="34"/>
        <v>0</v>
      </c>
      <c r="G220" s="373">
        <v>0</v>
      </c>
      <c r="H220" s="373">
        <v>0</v>
      </c>
      <c r="I220" s="328">
        <v>0</v>
      </c>
      <c r="J220" s="328">
        <f t="shared" si="35"/>
        <v>0</v>
      </c>
      <c r="K220" s="328">
        <f t="shared" si="36"/>
        <v>0</v>
      </c>
    </row>
    <row r="221" spans="1:11" ht="13" x14ac:dyDescent="0.3">
      <c r="A221" s="321">
        <f t="shared" si="33"/>
        <v>164</v>
      </c>
      <c r="B221" s="104" t="s">
        <v>37</v>
      </c>
      <c r="C221" s="371">
        <v>2020</v>
      </c>
      <c r="D221" s="373">
        <v>0</v>
      </c>
      <c r="E221" s="328">
        <v>0</v>
      </c>
      <c r="F221" s="328">
        <f t="shared" si="34"/>
        <v>0</v>
      </c>
      <c r="G221" s="373">
        <v>0</v>
      </c>
      <c r="H221" s="373">
        <v>0</v>
      </c>
      <c r="I221" s="328">
        <v>0</v>
      </c>
      <c r="J221" s="328">
        <f t="shared" si="35"/>
        <v>0</v>
      </c>
      <c r="K221" s="328">
        <f t="shared" si="36"/>
        <v>0</v>
      </c>
    </row>
    <row r="222" spans="1:11" ht="13" x14ac:dyDescent="0.3">
      <c r="A222" s="321">
        <f t="shared" si="33"/>
        <v>165</v>
      </c>
      <c r="B222" s="104" t="s">
        <v>471</v>
      </c>
      <c r="C222" s="371">
        <v>2020</v>
      </c>
      <c r="D222" s="373">
        <v>0</v>
      </c>
      <c r="E222" s="328">
        <v>0</v>
      </c>
      <c r="F222" s="328">
        <f t="shared" si="34"/>
        <v>0</v>
      </c>
      <c r="G222" s="373">
        <v>0</v>
      </c>
      <c r="H222" s="373">
        <v>0</v>
      </c>
      <c r="I222" s="328">
        <v>0</v>
      </c>
      <c r="J222" s="328">
        <f t="shared" si="35"/>
        <v>0</v>
      </c>
      <c r="K222" s="328">
        <f t="shared" si="36"/>
        <v>0</v>
      </c>
    </row>
    <row r="223" spans="1:11" ht="13" x14ac:dyDescent="0.3">
      <c r="A223" s="321">
        <f t="shared" si="33"/>
        <v>166</v>
      </c>
      <c r="B223" s="104" t="s">
        <v>39</v>
      </c>
      <c r="C223" s="371">
        <v>2020</v>
      </c>
      <c r="D223" s="373">
        <v>0</v>
      </c>
      <c r="E223" s="328">
        <v>0</v>
      </c>
      <c r="F223" s="328">
        <f t="shared" si="34"/>
        <v>0</v>
      </c>
      <c r="G223" s="373">
        <v>0</v>
      </c>
      <c r="H223" s="373">
        <v>0</v>
      </c>
      <c r="I223" s="328">
        <v>0</v>
      </c>
      <c r="J223" s="328">
        <f t="shared" si="35"/>
        <v>0</v>
      </c>
      <c r="K223" s="328">
        <f t="shared" si="36"/>
        <v>0</v>
      </c>
    </row>
    <row r="224" spans="1:11" ht="13" x14ac:dyDescent="0.3">
      <c r="A224" s="321">
        <f t="shared" si="33"/>
        <v>167</v>
      </c>
      <c r="B224" s="104" t="s">
        <v>40</v>
      </c>
      <c r="C224" s="371">
        <v>2020</v>
      </c>
      <c r="D224" s="373">
        <v>0</v>
      </c>
      <c r="E224" s="328">
        <v>0</v>
      </c>
      <c r="F224" s="328">
        <f t="shared" si="34"/>
        <v>0</v>
      </c>
      <c r="G224" s="373">
        <v>0</v>
      </c>
      <c r="H224" s="373">
        <v>0</v>
      </c>
      <c r="I224" s="328">
        <v>0</v>
      </c>
      <c r="J224" s="328">
        <f t="shared" si="35"/>
        <v>0</v>
      </c>
      <c r="K224" s="328">
        <f t="shared" si="36"/>
        <v>0</v>
      </c>
    </row>
    <row r="225" spans="1:11" ht="13" x14ac:dyDescent="0.3">
      <c r="A225" s="321">
        <f t="shared" si="33"/>
        <v>168</v>
      </c>
      <c r="B225" s="104" t="s">
        <v>41</v>
      </c>
      <c r="C225" s="371">
        <v>2020</v>
      </c>
      <c r="D225" s="373">
        <v>0</v>
      </c>
      <c r="E225" s="328">
        <v>0</v>
      </c>
      <c r="F225" s="328">
        <f t="shared" si="34"/>
        <v>0</v>
      </c>
      <c r="G225" s="373">
        <v>0</v>
      </c>
      <c r="H225" s="373">
        <v>0</v>
      </c>
      <c r="I225" s="328">
        <v>0</v>
      </c>
      <c r="J225" s="328">
        <f t="shared" si="35"/>
        <v>0</v>
      </c>
      <c r="K225" s="328">
        <f t="shared" si="36"/>
        <v>0</v>
      </c>
    </row>
    <row r="226" spans="1:11" ht="13" x14ac:dyDescent="0.3">
      <c r="A226" s="321">
        <f t="shared" si="33"/>
        <v>169</v>
      </c>
      <c r="B226" s="104" t="s">
        <v>42</v>
      </c>
      <c r="C226" s="371">
        <v>2020</v>
      </c>
      <c r="D226" s="373">
        <v>0</v>
      </c>
      <c r="E226" s="328">
        <v>0</v>
      </c>
      <c r="F226" s="328">
        <f t="shared" si="34"/>
        <v>0</v>
      </c>
      <c r="G226" s="373">
        <v>0</v>
      </c>
      <c r="H226" s="373">
        <v>0</v>
      </c>
      <c r="I226" s="328">
        <v>0</v>
      </c>
      <c r="J226" s="328">
        <f t="shared" si="35"/>
        <v>0</v>
      </c>
      <c r="K226" s="328">
        <f t="shared" si="36"/>
        <v>0</v>
      </c>
    </row>
    <row r="227" spans="1:11" ht="13" x14ac:dyDescent="0.3">
      <c r="A227" s="321">
        <f t="shared" si="33"/>
        <v>170</v>
      </c>
      <c r="B227" s="104" t="s">
        <v>43</v>
      </c>
      <c r="C227" s="371">
        <v>2020</v>
      </c>
      <c r="D227" s="373">
        <v>0</v>
      </c>
      <c r="E227" s="328">
        <v>0</v>
      </c>
      <c r="F227" s="328">
        <f t="shared" si="34"/>
        <v>0</v>
      </c>
      <c r="G227" s="373">
        <v>0</v>
      </c>
      <c r="H227" s="373">
        <v>0</v>
      </c>
      <c r="I227" s="328">
        <v>0</v>
      </c>
      <c r="J227" s="328">
        <f t="shared" si="35"/>
        <v>0</v>
      </c>
      <c r="K227" s="328">
        <f t="shared" si="36"/>
        <v>0</v>
      </c>
    </row>
    <row r="228" spans="1:11" ht="13" x14ac:dyDescent="0.3">
      <c r="A228" s="321">
        <f t="shared" si="33"/>
        <v>171</v>
      </c>
      <c r="B228" s="104" t="s">
        <v>27</v>
      </c>
      <c r="C228" s="371">
        <v>2020</v>
      </c>
      <c r="D228" s="373">
        <v>0</v>
      </c>
      <c r="E228" s="328">
        <v>0</v>
      </c>
      <c r="F228" s="328">
        <f t="shared" si="34"/>
        <v>0</v>
      </c>
      <c r="G228" s="373">
        <v>0</v>
      </c>
      <c r="H228" s="373">
        <v>0</v>
      </c>
      <c r="I228" s="328">
        <v>0</v>
      </c>
      <c r="J228" s="328">
        <f t="shared" si="35"/>
        <v>0</v>
      </c>
      <c r="K228" s="328">
        <f t="shared" si="36"/>
        <v>0</v>
      </c>
    </row>
    <row r="229" spans="1:11" ht="13" x14ac:dyDescent="0.3">
      <c r="A229" s="321">
        <f t="shared" si="33"/>
        <v>172</v>
      </c>
      <c r="B229" s="104" t="s">
        <v>30</v>
      </c>
      <c r="C229" s="371">
        <v>2021</v>
      </c>
      <c r="D229" s="373">
        <v>0</v>
      </c>
      <c r="E229" s="328">
        <v>0</v>
      </c>
      <c r="F229" s="328">
        <f t="shared" si="34"/>
        <v>0</v>
      </c>
      <c r="G229" s="373">
        <v>0</v>
      </c>
      <c r="H229" s="373">
        <v>0</v>
      </c>
      <c r="I229" s="328">
        <v>0</v>
      </c>
      <c r="J229" s="328">
        <f t="shared" si="35"/>
        <v>0</v>
      </c>
      <c r="K229" s="328">
        <f t="shared" si="36"/>
        <v>0</v>
      </c>
    </row>
    <row r="230" spans="1:11" ht="13" x14ac:dyDescent="0.3">
      <c r="A230" s="321">
        <f t="shared" si="33"/>
        <v>173</v>
      </c>
      <c r="B230" s="104" t="s">
        <v>32</v>
      </c>
      <c r="C230" s="371">
        <v>2021</v>
      </c>
      <c r="D230" s="373">
        <v>0</v>
      </c>
      <c r="E230" s="328">
        <v>0</v>
      </c>
      <c r="F230" s="328">
        <f t="shared" si="34"/>
        <v>0</v>
      </c>
      <c r="G230" s="373">
        <v>0</v>
      </c>
      <c r="H230" s="373">
        <v>0</v>
      </c>
      <c r="I230" s="328">
        <v>0</v>
      </c>
      <c r="J230" s="328">
        <f t="shared" si="35"/>
        <v>0</v>
      </c>
      <c r="K230" s="328">
        <f t="shared" si="36"/>
        <v>0</v>
      </c>
    </row>
    <row r="231" spans="1:11" ht="13" x14ac:dyDescent="0.3">
      <c r="A231" s="321">
        <f t="shared" si="33"/>
        <v>174</v>
      </c>
      <c r="B231" s="104" t="s">
        <v>34</v>
      </c>
      <c r="C231" s="371">
        <v>2021</v>
      </c>
      <c r="D231" s="373">
        <v>0</v>
      </c>
      <c r="E231" s="328">
        <v>0</v>
      </c>
      <c r="F231" s="328">
        <f t="shared" si="34"/>
        <v>0</v>
      </c>
      <c r="G231" s="373">
        <v>0</v>
      </c>
      <c r="H231" s="373">
        <v>0</v>
      </c>
      <c r="I231" s="328">
        <v>0</v>
      </c>
      <c r="J231" s="328">
        <f t="shared" si="35"/>
        <v>0</v>
      </c>
      <c r="K231" s="328">
        <f t="shared" si="36"/>
        <v>0</v>
      </c>
    </row>
    <row r="232" spans="1:11" ht="13" x14ac:dyDescent="0.3">
      <c r="A232" s="321">
        <f t="shared" si="33"/>
        <v>175</v>
      </c>
      <c r="B232" s="104" t="s">
        <v>36</v>
      </c>
      <c r="C232" s="371">
        <v>2021</v>
      </c>
      <c r="D232" s="373">
        <v>0</v>
      </c>
      <c r="E232" s="328">
        <v>0</v>
      </c>
      <c r="F232" s="328">
        <f t="shared" si="34"/>
        <v>0</v>
      </c>
      <c r="G232" s="373">
        <v>0</v>
      </c>
      <c r="H232" s="373">
        <v>0</v>
      </c>
      <c r="I232" s="328">
        <v>0</v>
      </c>
      <c r="J232" s="328">
        <f t="shared" si="35"/>
        <v>0</v>
      </c>
      <c r="K232" s="328">
        <f t="shared" si="36"/>
        <v>0</v>
      </c>
    </row>
    <row r="233" spans="1:11" ht="13" x14ac:dyDescent="0.3">
      <c r="A233" s="321">
        <f t="shared" si="33"/>
        <v>176</v>
      </c>
      <c r="B233" s="104" t="s">
        <v>37</v>
      </c>
      <c r="C233" s="371">
        <v>2021</v>
      </c>
      <c r="D233" s="373">
        <v>0</v>
      </c>
      <c r="E233" s="328">
        <v>0</v>
      </c>
      <c r="F233" s="328">
        <f t="shared" si="34"/>
        <v>0</v>
      </c>
      <c r="G233" s="373">
        <v>0</v>
      </c>
      <c r="H233" s="373">
        <v>0</v>
      </c>
      <c r="I233" s="328">
        <v>0</v>
      </c>
      <c r="J233" s="328">
        <f t="shared" si="35"/>
        <v>0</v>
      </c>
      <c r="K233" s="328">
        <f t="shared" si="36"/>
        <v>0</v>
      </c>
    </row>
    <row r="234" spans="1:11" ht="13" x14ac:dyDescent="0.3">
      <c r="A234" s="321">
        <f t="shared" si="33"/>
        <v>177</v>
      </c>
      <c r="B234" s="104" t="s">
        <v>471</v>
      </c>
      <c r="C234" s="371">
        <v>2021</v>
      </c>
      <c r="D234" s="373">
        <v>0</v>
      </c>
      <c r="E234" s="328">
        <v>0</v>
      </c>
      <c r="F234" s="328">
        <f t="shared" si="34"/>
        <v>0</v>
      </c>
      <c r="G234" s="373">
        <v>0</v>
      </c>
      <c r="H234" s="373">
        <v>0</v>
      </c>
      <c r="I234" s="328">
        <v>0</v>
      </c>
      <c r="J234" s="328">
        <f t="shared" si="35"/>
        <v>0</v>
      </c>
      <c r="K234" s="328">
        <f t="shared" si="36"/>
        <v>0</v>
      </c>
    </row>
    <row r="235" spans="1:11" ht="13" x14ac:dyDescent="0.3">
      <c r="A235" s="321">
        <f t="shared" si="33"/>
        <v>178</v>
      </c>
      <c r="B235" s="104" t="s">
        <v>39</v>
      </c>
      <c r="C235" s="371">
        <v>2021</v>
      </c>
      <c r="D235" s="373">
        <v>0</v>
      </c>
      <c r="E235" s="328">
        <v>0</v>
      </c>
      <c r="F235" s="328">
        <f t="shared" si="34"/>
        <v>0</v>
      </c>
      <c r="G235" s="373">
        <v>0</v>
      </c>
      <c r="H235" s="373">
        <v>0</v>
      </c>
      <c r="I235" s="328">
        <v>0</v>
      </c>
      <c r="J235" s="328">
        <f t="shared" si="35"/>
        <v>0</v>
      </c>
      <c r="K235" s="328">
        <f t="shared" si="36"/>
        <v>0</v>
      </c>
    </row>
    <row r="236" spans="1:11" ht="13" x14ac:dyDescent="0.3">
      <c r="A236" s="321">
        <f t="shared" si="33"/>
        <v>179</v>
      </c>
      <c r="B236" s="104" t="s">
        <v>40</v>
      </c>
      <c r="C236" s="371">
        <v>2021</v>
      </c>
      <c r="D236" s="373">
        <v>0</v>
      </c>
      <c r="E236" s="328">
        <v>0</v>
      </c>
      <c r="F236" s="328">
        <f t="shared" si="34"/>
        <v>0</v>
      </c>
      <c r="G236" s="373">
        <v>0</v>
      </c>
      <c r="H236" s="373">
        <v>0</v>
      </c>
      <c r="I236" s="328">
        <v>0</v>
      </c>
      <c r="J236" s="328">
        <f t="shared" si="35"/>
        <v>0</v>
      </c>
      <c r="K236" s="328">
        <f t="shared" si="36"/>
        <v>0</v>
      </c>
    </row>
    <row r="237" spans="1:11" ht="13" x14ac:dyDescent="0.3">
      <c r="A237" s="321">
        <f t="shared" si="33"/>
        <v>180</v>
      </c>
      <c r="B237" s="104" t="s">
        <v>41</v>
      </c>
      <c r="C237" s="371">
        <v>2021</v>
      </c>
      <c r="D237" s="373">
        <v>0</v>
      </c>
      <c r="E237" s="328">
        <v>0</v>
      </c>
      <c r="F237" s="328">
        <f t="shared" si="34"/>
        <v>0</v>
      </c>
      <c r="G237" s="373">
        <v>0</v>
      </c>
      <c r="H237" s="373">
        <v>0</v>
      </c>
      <c r="I237" s="328">
        <v>0</v>
      </c>
      <c r="J237" s="328">
        <f t="shared" si="35"/>
        <v>0</v>
      </c>
      <c r="K237" s="328">
        <f t="shared" si="36"/>
        <v>0</v>
      </c>
    </row>
    <row r="238" spans="1:11" ht="13" x14ac:dyDescent="0.3">
      <c r="A238" s="321">
        <f t="shared" si="33"/>
        <v>181</v>
      </c>
      <c r="B238" s="104" t="s">
        <v>42</v>
      </c>
      <c r="C238" s="371">
        <v>2021</v>
      </c>
      <c r="D238" s="373">
        <v>0</v>
      </c>
      <c r="E238" s="328">
        <v>0</v>
      </c>
      <c r="F238" s="328">
        <f>E238+D238</f>
        <v>0</v>
      </c>
      <c r="G238" s="373">
        <v>0</v>
      </c>
      <c r="H238" s="373">
        <v>0</v>
      </c>
      <c r="I238" s="328">
        <v>0</v>
      </c>
      <c r="J238" s="328">
        <f>J237+F238-G238-I238</f>
        <v>0</v>
      </c>
      <c r="K238" s="328">
        <f t="shared" si="36"/>
        <v>0</v>
      </c>
    </row>
    <row r="239" spans="1:11" ht="13" x14ac:dyDescent="0.3">
      <c r="A239" s="321">
        <f t="shared" si="33"/>
        <v>182</v>
      </c>
      <c r="B239" s="104" t="s">
        <v>43</v>
      </c>
      <c r="C239" s="371">
        <v>2021</v>
      </c>
      <c r="D239" s="373">
        <v>0</v>
      </c>
      <c r="E239" s="328">
        <v>0</v>
      </c>
      <c r="F239" s="328">
        <f>E239+D239</f>
        <v>0</v>
      </c>
      <c r="G239" s="373">
        <v>0</v>
      </c>
      <c r="H239" s="373">
        <v>0</v>
      </c>
      <c r="I239" s="328">
        <v>0</v>
      </c>
      <c r="J239" s="328">
        <f>J238+F239-G239-I239</f>
        <v>0</v>
      </c>
      <c r="K239" s="328">
        <f t="shared" si="36"/>
        <v>0</v>
      </c>
    </row>
    <row r="240" spans="1:11" ht="13" x14ac:dyDescent="0.3">
      <c r="A240" s="321">
        <f t="shared" si="33"/>
        <v>183</v>
      </c>
      <c r="B240" s="104" t="s">
        <v>27</v>
      </c>
      <c r="C240" s="371">
        <v>2021</v>
      </c>
      <c r="D240" s="373">
        <v>0</v>
      </c>
      <c r="E240" s="328">
        <v>0</v>
      </c>
      <c r="F240" s="328">
        <f>E240+D240</f>
        <v>0</v>
      </c>
      <c r="G240" s="373">
        <v>0</v>
      </c>
      <c r="H240" s="373">
        <v>0</v>
      </c>
      <c r="I240" s="328">
        <v>0</v>
      </c>
      <c r="J240" s="328">
        <f>J239+F240-G240-I240</f>
        <v>0</v>
      </c>
      <c r="K240" s="335">
        <f t="shared" si="36"/>
        <v>0</v>
      </c>
    </row>
    <row r="241" spans="1:11" ht="13" x14ac:dyDescent="0.3">
      <c r="A241" s="321">
        <f t="shared" si="33"/>
        <v>184</v>
      </c>
      <c r="C241" s="396" t="s">
        <v>880</v>
      </c>
      <c r="K241" s="397">
        <f>AVERAGE(K228:K240)</f>
        <v>0</v>
      </c>
    </row>
    <row r="242" spans="1:11" ht="13" x14ac:dyDescent="0.3">
      <c r="A242" s="321"/>
      <c r="C242" s="396"/>
      <c r="K242" s="397"/>
    </row>
    <row r="243" spans="1:11" ht="13" x14ac:dyDescent="0.3">
      <c r="B243" s="399" t="s">
        <v>895</v>
      </c>
      <c r="D243" s="429" t="s">
        <v>896</v>
      </c>
      <c r="E243" s="429"/>
    </row>
    <row r="244" spans="1:11" ht="13" x14ac:dyDescent="0.3">
      <c r="A244" s="326"/>
      <c r="B244" s="326"/>
      <c r="C244" s="326"/>
      <c r="D244" s="326" t="s">
        <v>12</v>
      </c>
      <c r="E244" s="326" t="s">
        <v>343</v>
      </c>
      <c r="F244" s="326" t="s">
        <v>361</v>
      </c>
      <c r="G244" s="326" t="s">
        <v>13</v>
      </c>
      <c r="H244" s="326" t="s">
        <v>362</v>
      </c>
      <c r="I244" s="326" t="s">
        <v>363</v>
      </c>
      <c r="J244" s="326" t="s">
        <v>364</v>
      </c>
      <c r="K244" s="326" t="s">
        <v>451</v>
      </c>
    </row>
    <row r="245" spans="1:11" ht="25.5" x14ac:dyDescent="0.3">
      <c r="D245" s="363"/>
      <c r="E245" s="400" t="s">
        <v>883</v>
      </c>
      <c r="F245" s="356" t="s">
        <v>884</v>
      </c>
      <c r="G245" s="356"/>
      <c r="H245" s="363"/>
      <c r="I245" s="400" t="s">
        <v>885</v>
      </c>
      <c r="J245" s="400" t="s">
        <v>886</v>
      </c>
      <c r="K245" s="400" t="s">
        <v>887</v>
      </c>
    </row>
    <row r="246" spans="1:11" ht="13" x14ac:dyDescent="0.3">
      <c r="D246" s="363"/>
      <c r="E246" s="363"/>
      <c r="F246" s="363"/>
      <c r="G246" s="321" t="s">
        <v>897</v>
      </c>
      <c r="H246" s="363"/>
      <c r="I246" s="363"/>
    </row>
    <row r="247" spans="1:11" ht="13" x14ac:dyDescent="0.3">
      <c r="A247" s="321"/>
      <c r="B247" s="321"/>
      <c r="C247" s="321"/>
      <c r="D247" s="321" t="str">
        <f>D$52</f>
        <v>Forecast</v>
      </c>
      <c r="E247" s="321" t="str">
        <f t="shared" ref="E247:J247" si="37">E$52</f>
        <v>Corporate</v>
      </c>
      <c r="F247" s="321" t="str">
        <f t="shared" si="37"/>
        <v xml:space="preserve">Total </v>
      </c>
      <c r="G247" s="321" t="s">
        <v>344</v>
      </c>
      <c r="H247" s="321" t="str">
        <f t="shared" si="37"/>
        <v>Prior Period</v>
      </c>
      <c r="I247" s="321" t="str">
        <f t="shared" si="37"/>
        <v>Over Heads</v>
      </c>
      <c r="J247" s="321" t="str">
        <f t="shared" si="37"/>
        <v>Forecast</v>
      </c>
      <c r="K247" s="321" t="str">
        <f>K$52</f>
        <v>Forecast Period</v>
      </c>
    </row>
    <row r="248" spans="1:11" ht="13" x14ac:dyDescent="0.3">
      <c r="A248" s="325" t="s">
        <v>22</v>
      </c>
      <c r="B248" s="94" t="s">
        <v>23</v>
      </c>
      <c r="C248" s="94" t="s">
        <v>24</v>
      </c>
      <c r="D248" s="326" t="str">
        <f>D$53</f>
        <v>Expenditures</v>
      </c>
      <c r="E248" s="326" t="str">
        <f t="shared" ref="E248:J248" si="38">E$53</f>
        <v>Overheads</v>
      </c>
      <c r="F248" s="326" t="str">
        <f t="shared" si="38"/>
        <v>CWIP Exp</v>
      </c>
      <c r="G248" s="326" t="s">
        <v>875</v>
      </c>
      <c r="H248" s="326" t="str">
        <f t="shared" si="38"/>
        <v>CWIP Closed</v>
      </c>
      <c r="I248" s="326" t="str">
        <f t="shared" si="38"/>
        <v>Closed to PIS</v>
      </c>
      <c r="J248" s="326" t="str">
        <f t="shared" si="38"/>
        <v>Period CWIP</v>
      </c>
      <c r="K248" s="326" t="str">
        <f>K$53</f>
        <v>Incremental CWIP</v>
      </c>
    </row>
    <row r="249" spans="1:11" ht="13" x14ac:dyDescent="0.3">
      <c r="A249" s="321">
        <f>A241+1</f>
        <v>185</v>
      </c>
      <c r="B249" s="104" t="s">
        <v>27</v>
      </c>
      <c r="C249" s="371">
        <v>2019</v>
      </c>
      <c r="D249" s="356" t="s">
        <v>28</v>
      </c>
      <c r="E249" s="356" t="s">
        <v>28</v>
      </c>
      <c r="F249" s="356" t="s">
        <v>28</v>
      </c>
      <c r="G249" s="356" t="s">
        <v>28</v>
      </c>
      <c r="H249" s="356" t="s">
        <v>28</v>
      </c>
      <c r="I249" s="356" t="s">
        <v>28</v>
      </c>
      <c r="J249" s="328">
        <f>D45</f>
        <v>0</v>
      </c>
      <c r="K249" s="356" t="s">
        <v>28</v>
      </c>
    </row>
    <row r="250" spans="1:11" ht="13" x14ac:dyDescent="0.3">
      <c r="A250" s="321">
        <f>A249+1</f>
        <v>186</v>
      </c>
      <c r="B250" s="104" t="s">
        <v>30</v>
      </c>
      <c r="C250" s="371">
        <v>2020</v>
      </c>
      <c r="D250" s="373">
        <v>-1942</v>
      </c>
      <c r="E250" s="328">
        <v>-145.65</v>
      </c>
      <c r="F250" s="328">
        <f>E250+D250</f>
        <v>-2087.65</v>
      </c>
      <c r="G250" s="373">
        <v>-1942</v>
      </c>
      <c r="H250" s="373">
        <v>0</v>
      </c>
      <c r="I250" s="328">
        <v>-145.65</v>
      </c>
      <c r="J250" s="328">
        <f>J249+F250-G250-I250</f>
        <v>0</v>
      </c>
      <c r="K250" s="328">
        <f>J250-$J$249</f>
        <v>0</v>
      </c>
    </row>
    <row r="251" spans="1:11" ht="13" x14ac:dyDescent="0.3">
      <c r="A251" s="321">
        <f t="shared" ref="A251:A274" si="39">A250+1</f>
        <v>187</v>
      </c>
      <c r="B251" s="104" t="s">
        <v>32</v>
      </c>
      <c r="C251" s="371">
        <v>2020</v>
      </c>
      <c r="D251" s="373">
        <v>0</v>
      </c>
      <c r="E251" s="328">
        <v>0</v>
      </c>
      <c r="F251" s="328">
        <f t="shared" ref="F251:F270" si="40">E251+D251</f>
        <v>0</v>
      </c>
      <c r="G251" s="373">
        <v>0</v>
      </c>
      <c r="H251" s="373">
        <v>0</v>
      </c>
      <c r="I251" s="328">
        <v>0</v>
      </c>
      <c r="J251" s="328">
        <f t="shared" ref="J251:J270" si="41">J250+F251-G251-I251</f>
        <v>0</v>
      </c>
      <c r="K251" s="328">
        <f t="shared" ref="K251:K273" si="42">J251-$J$249</f>
        <v>0</v>
      </c>
    </row>
    <row r="252" spans="1:11" ht="13" x14ac:dyDescent="0.3">
      <c r="A252" s="321">
        <f t="shared" si="39"/>
        <v>188</v>
      </c>
      <c r="B252" s="104" t="s">
        <v>34</v>
      </c>
      <c r="C252" s="371">
        <v>2020</v>
      </c>
      <c r="D252" s="373">
        <v>0</v>
      </c>
      <c r="E252" s="328">
        <v>0</v>
      </c>
      <c r="F252" s="328">
        <f t="shared" si="40"/>
        <v>0</v>
      </c>
      <c r="G252" s="373">
        <v>0</v>
      </c>
      <c r="H252" s="373">
        <v>0</v>
      </c>
      <c r="I252" s="328">
        <v>0</v>
      </c>
      <c r="J252" s="328">
        <f t="shared" si="41"/>
        <v>0</v>
      </c>
      <c r="K252" s="328">
        <f t="shared" si="42"/>
        <v>0</v>
      </c>
    </row>
    <row r="253" spans="1:11" ht="13" x14ac:dyDescent="0.3">
      <c r="A253" s="321">
        <f t="shared" si="39"/>
        <v>189</v>
      </c>
      <c r="B253" s="104" t="s">
        <v>36</v>
      </c>
      <c r="C253" s="371">
        <v>2020</v>
      </c>
      <c r="D253" s="373">
        <v>0</v>
      </c>
      <c r="E253" s="328">
        <v>0</v>
      </c>
      <c r="F253" s="328">
        <f t="shared" si="40"/>
        <v>0</v>
      </c>
      <c r="G253" s="373">
        <v>0</v>
      </c>
      <c r="H253" s="373">
        <v>0</v>
      </c>
      <c r="I253" s="328">
        <v>0</v>
      </c>
      <c r="J253" s="328">
        <f t="shared" si="41"/>
        <v>0</v>
      </c>
      <c r="K253" s="328">
        <f t="shared" si="42"/>
        <v>0</v>
      </c>
    </row>
    <row r="254" spans="1:11" ht="13" x14ac:dyDescent="0.3">
      <c r="A254" s="321">
        <f t="shared" si="39"/>
        <v>190</v>
      </c>
      <c r="B254" s="104" t="s">
        <v>37</v>
      </c>
      <c r="C254" s="371">
        <v>2020</v>
      </c>
      <c r="D254" s="373">
        <v>0</v>
      </c>
      <c r="E254" s="328">
        <v>0</v>
      </c>
      <c r="F254" s="328">
        <f t="shared" si="40"/>
        <v>0</v>
      </c>
      <c r="G254" s="373">
        <v>0</v>
      </c>
      <c r="H254" s="373">
        <v>0</v>
      </c>
      <c r="I254" s="328">
        <v>0</v>
      </c>
      <c r="J254" s="328">
        <f t="shared" si="41"/>
        <v>0</v>
      </c>
      <c r="K254" s="328">
        <f t="shared" si="42"/>
        <v>0</v>
      </c>
    </row>
    <row r="255" spans="1:11" ht="13" x14ac:dyDescent="0.3">
      <c r="A255" s="321">
        <f t="shared" si="39"/>
        <v>191</v>
      </c>
      <c r="B255" s="104" t="s">
        <v>471</v>
      </c>
      <c r="C255" s="371">
        <v>2020</v>
      </c>
      <c r="D255" s="373">
        <v>0</v>
      </c>
      <c r="E255" s="328">
        <v>0</v>
      </c>
      <c r="F255" s="328">
        <f t="shared" si="40"/>
        <v>0</v>
      </c>
      <c r="G255" s="373">
        <v>0</v>
      </c>
      <c r="H255" s="373">
        <v>0</v>
      </c>
      <c r="I255" s="328">
        <v>0</v>
      </c>
      <c r="J255" s="328">
        <f t="shared" si="41"/>
        <v>0</v>
      </c>
      <c r="K255" s="328">
        <f t="shared" si="42"/>
        <v>0</v>
      </c>
    </row>
    <row r="256" spans="1:11" ht="13" x14ac:dyDescent="0.3">
      <c r="A256" s="321">
        <f t="shared" si="39"/>
        <v>192</v>
      </c>
      <c r="B256" s="104" t="s">
        <v>39</v>
      </c>
      <c r="C256" s="371">
        <v>2020</v>
      </c>
      <c r="D256" s="373">
        <v>0</v>
      </c>
      <c r="E256" s="328">
        <v>0</v>
      </c>
      <c r="F256" s="328">
        <f t="shared" si="40"/>
        <v>0</v>
      </c>
      <c r="G256" s="373">
        <v>0</v>
      </c>
      <c r="H256" s="373">
        <v>0</v>
      </c>
      <c r="I256" s="328">
        <v>0</v>
      </c>
      <c r="J256" s="328">
        <f t="shared" si="41"/>
        <v>0</v>
      </c>
      <c r="K256" s="328">
        <f t="shared" si="42"/>
        <v>0</v>
      </c>
    </row>
    <row r="257" spans="1:11" ht="13" x14ac:dyDescent="0.3">
      <c r="A257" s="321">
        <f t="shared" si="39"/>
        <v>193</v>
      </c>
      <c r="B257" s="104" t="s">
        <v>40</v>
      </c>
      <c r="C257" s="371">
        <v>2020</v>
      </c>
      <c r="D257" s="373">
        <v>0</v>
      </c>
      <c r="E257" s="328">
        <v>0</v>
      </c>
      <c r="F257" s="328">
        <f t="shared" si="40"/>
        <v>0</v>
      </c>
      <c r="G257" s="373">
        <v>0</v>
      </c>
      <c r="H257" s="373">
        <v>0</v>
      </c>
      <c r="I257" s="328">
        <v>0</v>
      </c>
      <c r="J257" s="328">
        <f t="shared" si="41"/>
        <v>0</v>
      </c>
      <c r="K257" s="328">
        <f t="shared" si="42"/>
        <v>0</v>
      </c>
    </row>
    <row r="258" spans="1:11" ht="13" x14ac:dyDescent="0.3">
      <c r="A258" s="321">
        <f t="shared" si="39"/>
        <v>194</v>
      </c>
      <c r="B258" s="104" t="s">
        <v>41</v>
      </c>
      <c r="C258" s="371">
        <v>2020</v>
      </c>
      <c r="D258" s="373">
        <v>0</v>
      </c>
      <c r="E258" s="328">
        <v>0</v>
      </c>
      <c r="F258" s="328">
        <f t="shared" si="40"/>
        <v>0</v>
      </c>
      <c r="G258" s="373">
        <v>0</v>
      </c>
      <c r="H258" s="373">
        <v>0</v>
      </c>
      <c r="I258" s="328">
        <v>0</v>
      </c>
      <c r="J258" s="328">
        <f t="shared" si="41"/>
        <v>0</v>
      </c>
      <c r="K258" s="328">
        <f t="shared" si="42"/>
        <v>0</v>
      </c>
    </row>
    <row r="259" spans="1:11" ht="13" x14ac:dyDescent="0.3">
      <c r="A259" s="321">
        <f t="shared" si="39"/>
        <v>195</v>
      </c>
      <c r="B259" s="104" t="s">
        <v>42</v>
      </c>
      <c r="C259" s="371">
        <v>2020</v>
      </c>
      <c r="D259" s="373">
        <v>0</v>
      </c>
      <c r="E259" s="328">
        <v>0</v>
      </c>
      <c r="F259" s="328">
        <f t="shared" si="40"/>
        <v>0</v>
      </c>
      <c r="G259" s="373">
        <v>0</v>
      </c>
      <c r="H259" s="373">
        <v>0</v>
      </c>
      <c r="I259" s="328">
        <v>0</v>
      </c>
      <c r="J259" s="328">
        <f t="shared" si="41"/>
        <v>0</v>
      </c>
      <c r="K259" s="328">
        <f t="shared" si="42"/>
        <v>0</v>
      </c>
    </row>
    <row r="260" spans="1:11" ht="13" x14ac:dyDescent="0.3">
      <c r="A260" s="321">
        <f t="shared" si="39"/>
        <v>196</v>
      </c>
      <c r="B260" s="104" t="s">
        <v>43</v>
      </c>
      <c r="C260" s="371">
        <v>2020</v>
      </c>
      <c r="D260" s="373">
        <v>0</v>
      </c>
      <c r="E260" s="328">
        <v>0</v>
      </c>
      <c r="F260" s="328">
        <f t="shared" si="40"/>
        <v>0</v>
      </c>
      <c r="G260" s="373">
        <v>0</v>
      </c>
      <c r="H260" s="373">
        <v>0</v>
      </c>
      <c r="I260" s="328">
        <v>0</v>
      </c>
      <c r="J260" s="328">
        <f t="shared" si="41"/>
        <v>0</v>
      </c>
      <c r="K260" s="328">
        <f t="shared" si="42"/>
        <v>0</v>
      </c>
    </row>
    <row r="261" spans="1:11" ht="13" x14ac:dyDescent="0.3">
      <c r="A261" s="321">
        <f t="shared" si="39"/>
        <v>197</v>
      </c>
      <c r="B261" s="104" t="s">
        <v>27</v>
      </c>
      <c r="C261" s="371">
        <v>2020</v>
      </c>
      <c r="D261" s="373">
        <v>0</v>
      </c>
      <c r="E261" s="328">
        <v>0</v>
      </c>
      <c r="F261" s="328">
        <f t="shared" si="40"/>
        <v>0</v>
      </c>
      <c r="G261" s="373">
        <v>0</v>
      </c>
      <c r="H261" s="373">
        <v>0</v>
      </c>
      <c r="I261" s="328">
        <v>0</v>
      </c>
      <c r="J261" s="328">
        <f t="shared" si="41"/>
        <v>0</v>
      </c>
      <c r="K261" s="328">
        <f t="shared" si="42"/>
        <v>0</v>
      </c>
    </row>
    <row r="262" spans="1:11" ht="13" x14ac:dyDescent="0.3">
      <c r="A262" s="321">
        <f t="shared" si="39"/>
        <v>198</v>
      </c>
      <c r="B262" s="104" t="s">
        <v>30</v>
      </c>
      <c r="C262" s="371">
        <v>2021</v>
      </c>
      <c r="D262" s="373">
        <v>0</v>
      </c>
      <c r="E262" s="328">
        <v>0</v>
      </c>
      <c r="F262" s="328">
        <f t="shared" si="40"/>
        <v>0</v>
      </c>
      <c r="G262" s="373">
        <v>0</v>
      </c>
      <c r="H262" s="373">
        <v>0</v>
      </c>
      <c r="I262" s="328">
        <v>0</v>
      </c>
      <c r="J262" s="328">
        <f t="shared" si="41"/>
        <v>0</v>
      </c>
      <c r="K262" s="328">
        <f t="shared" si="42"/>
        <v>0</v>
      </c>
    </row>
    <row r="263" spans="1:11" ht="13" x14ac:dyDescent="0.3">
      <c r="A263" s="321">
        <f t="shared" si="39"/>
        <v>199</v>
      </c>
      <c r="B263" s="104" t="s">
        <v>32</v>
      </c>
      <c r="C263" s="371">
        <v>2021</v>
      </c>
      <c r="D263" s="373">
        <v>0</v>
      </c>
      <c r="E263" s="328">
        <v>0</v>
      </c>
      <c r="F263" s="328">
        <f t="shared" si="40"/>
        <v>0</v>
      </c>
      <c r="G263" s="373">
        <v>0</v>
      </c>
      <c r="H263" s="373">
        <v>0</v>
      </c>
      <c r="I263" s="328">
        <v>0</v>
      </c>
      <c r="J263" s="328">
        <f t="shared" si="41"/>
        <v>0</v>
      </c>
      <c r="K263" s="328">
        <f t="shared" si="42"/>
        <v>0</v>
      </c>
    </row>
    <row r="264" spans="1:11" ht="13" x14ac:dyDescent="0.3">
      <c r="A264" s="321">
        <f t="shared" si="39"/>
        <v>200</v>
      </c>
      <c r="B264" s="104" t="s">
        <v>34</v>
      </c>
      <c r="C264" s="371">
        <v>2021</v>
      </c>
      <c r="D264" s="373">
        <v>0</v>
      </c>
      <c r="E264" s="328">
        <v>0</v>
      </c>
      <c r="F264" s="328">
        <f t="shared" si="40"/>
        <v>0</v>
      </c>
      <c r="G264" s="373">
        <v>0</v>
      </c>
      <c r="H264" s="373">
        <v>0</v>
      </c>
      <c r="I264" s="328">
        <v>0</v>
      </c>
      <c r="J264" s="328">
        <f t="shared" si="41"/>
        <v>0</v>
      </c>
      <c r="K264" s="328">
        <f t="shared" si="42"/>
        <v>0</v>
      </c>
    </row>
    <row r="265" spans="1:11" ht="13" x14ac:dyDescent="0.3">
      <c r="A265" s="321">
        <f t="shared" si="39"/>
        <v>201</v>
      </c>
      <c r="B265" s="104" t="s">
        <v>36</v>
      </c>
      <c r="C265" s="371">
        <v>2021</v>
      </c>
      <c r="D265" s="373">
        <v>0</v>
      </c>
      <c r="E265" s="328">
        <v>0</v>
      </c>
      <c r="F265" s="328">
        <f t="shared" si="40"/>
        <v>0</v>
      </c>
      <c r="G265" s="373">
        <v>0</v>
      </c>
      <c r="H265" s="373">
        <v>0</v>
      </c>
      <c r="I265" s="328">
        <v>0</v>
      </c>
      <c r="J265" s="328">
        <f t="shared" si="41"/>
        <v>0</v>
      </c>
      <c r="K265" s="328">
        <f t="shared" si="42"/>
        <v>0</v>
      </c>
    </row>
    <row r="266" spans="1:11" ht="13" x14ac:dyDescent="0.3">
      <c r="A266" s="321">
        <f t="shared" si="39"/>
        <v>202</v>
      </c>
      <c r="B266" s="104" t="s">
        <v>37</v>
      </c>
      <c r="C266" s="371">
        <v>2021</v>
      </c>
      <c r="D266" s="373">
        <v>0</v>
      </c>
      <c r="E266" s="328">
        <v>0</v>
      </c>
      <c r="F266" s="328">
        <f t="shared" si="40"/>
        <v>0</v>
      </c>
      <c r="G266" s="373">
        <v>0</v>
      </c>
      <c r="H266" s="373">
        <v>0</v>
      </c>
      <c r="I266" s="328">
        <v>0</v>
      </c>
      <c r="J266" s="328">
        <f t="shared" si="41"/>
        <v>0</v>
      </c>
      <c r="K266" s="328">
        <f t="shared" si="42"/>
        <v>0</v>
      </c>
    </row>
    <row r="267" spans="1:11" ht="13" x14ac:dyDescent="0.3">
      <c r="A267" s="321">
        <f t="shared" si="39"/>
        <v>203</v>
      </c>
      <c r="B267" s="104" t="s">
        <v>471</v>
      </c>
      <c r="C267" s="371">
        <v>2021</v>
      </c>
      <c r="D267" s="373">
        <v>0</v>
      </c>
      <c r="E267" s="328">
        <v>0</v>
      </c>
      <c r="F267" s="328">
        <f t="shared" si="40"/>
        <v>0</v>
      </c>
      <c r="G267" s="373">
        <v>0</v>
      </c>
      <c r="H267" s="373">
        <v>0</v>
      </c>
      <c r="I267" s="328">
        <v>0</v>
      </c>
      <c r="J267" s="328">
        <f t="shared" si="41"/>
        <v>0</v>
      </c>
      <c r="K267" s="328">
        <f t="shared" si="42"/>
        <v>0</v>
      </c>
    </row>
    <row r="268" spans="1:11" ht="13" x14ac:dyDescent="0.3">
      <c r="A268" s="321">
        <f t="shared" si="39"/>
        <v>204</v>
      </c>
      <c r="B268" s="104" t="s">
        <v>39</v>
      </c>
      <c r="C268" s="371">
        <v>2021</v>
      </c>
      <c r="D268" s="373">
        <v>0</v>
      </c>
      <c r="E268" s="328">
        <v>0</v>
      </c>
      <c r="F268" s="328">
        <f t="shared" si="40"/>
        <v>0</v>
      </c>
      <c r="G268" s="373">
        <v>0</v>
      </c>
      <c r="H268" s="373">
        <v>0</v>
      </c>
      <c r="I268" s="328">
        <v>0</v>
      </c>
      <c r="J268" s="328">
        <f t="shared" si="41"/>
        <v>0</v>
      </c>
      <c r="K268" s="328">
        <f t="shared" si="42"/>
        <v>0</v>
      </c>
    </row>
    <row r="269" spans="1:11" ht="13" x14ac:dyDescent="0.3">
      <c r="A269" s="321">
        <f t="shared" si="39"/>
        <v>205</v>
      </c>
      <c r="B269" s="104" t="s">
        <v>40</v>
      </c>
      <c r="C269" s="371">
        <v>2021</v>
      </c>
      <c r="D269" s="373">
        <v>0</v>
      </c>
      <c r="E269" s="328">
        <v>0</v>
      </c>
      <c r="F269" s="328">
        <f t="shared" si="40"/>
        <v>0</v>
      </c>
      <c r="G269" s="373">
        <v>0</v>
      </c>
      <c r="H269" s="373">
        <v>0</v>
      </c>
      <c r="I269" s="328">
        <v>0</v>
      </c>
      <c r="J269" s="328">
        <f t="shared" si="41"/>
        <v>0</v>
      </c>
      <c r="K269" s="328">
        <f t="shared" si="42"/>
        <v>0</v>
      </c>
    </row>
    <row r="270" spans="1:11" ht="13" x14ac:dyDescent="0.3">
      <c r="A270" s="321">
        <f t="shared" si="39"/>
        <v>206</v>
      </c>
      <c r="B270" s="104" t="s">
        <v>41</v>
      </c>
      <c r="C270" s="371">
        <v>2021</v>
      </c>
      <c r="D270" s="373">
        <v>0</v>
      </c>
      <c r="E270" s="328">
        <v>0</v>
      </c>
      <c r="F270" s="328">
        <f t="shared" si="40"/>
        <v>0</v>
      </c>
      <c r="G270" s="373">
        <v>0</v>
      </c>
      <c r="H270" s="373">
        <v>0</v>
      </c>
      <c r="I270" s="328">
        <v>0</v>
      </c>
      <c r="J270" s="328">
        <f t="shared" si="41"/>
        <v>0</v>
      </c>
      <c r="K270" s="328">
        <f t="shared" si="42"/>
        <v>0</v>
      </c>
    </row>
    <row r="271" spans="1:11" ht="13" x14ac:dyDescent="0.3">
      <c r="A271" s="321">
        <f t="shared" si="39"/>
        <v>207</v>
      </c>
      <c r="B271" s="104" t="s">
        <v>42</v>
      </c>
      <c r="C271" s="371">
        <v>2021</v>
      </c>
      <c r="D271" s="373">
        <v>0</v>
      </c>
      <c r="E271" s="328">
        <v>0</v>
      </c>
      <c r="F271" s="328">
        <f>E271+D271</f>
        <v>0</v>
      </c>
      <c r="G271" s="373">
        <v>0</v>
      </c>
      <c r="H271" s="373">
        <v>0</v>
      </c>
      <c r="I271" s="328">
        <v>0</v>
      </c>
      <c r="J271" s="328">
        <f>J270+F271-G271-I271</f>
        <v>0</v>
      </c>
      <c r="K271" s="328">
        <f t="shared" si="42"/>
        <v>0</v>
      </c>
    </row>
    <row r="272" spans="1:11" ht="13" x14ac:dyDescent="0.3">
      <c r="A272" s="321">
        <f t="shared" si="39"/>
        <v>208</v>
      </c>
      <c r="B272" s="104" t="s">
        <v>43</v>
      </c>
      <c r="C272" s="371">
        <v>2021</v>
      </c>
      <c r="D272" s="373">
        <v>0</v>
      </c>
      <c r="E272" s="328">
        <v>0</v>
      </c>
      <c r="F272" s="328">
        <f>E272+D272</f>
        <v>0</v>
      </c>
      <c r="G272" s="373">
        <v>0</v>
      </c>
      <c r="H272" s="373">
        <v>0</v>
      </c>
      <c r="I272" s="328">
        <v>0</v>
      </c>
      <c r="J272" s="328">
        <f>J271+F272-G272-I272</f>
        <v>0</v>
      </c>
      <c r="K272" s="328">
        <f t="shared" si="42"/>
        <v>0</v>
      </c>
    </row>
    <row r="273" spans="1:13" ht="13" x14ac:dyDescent="0.3">
      <c r="A273" s="321">
        <f t="shared" si="39"/>
        <v>209</v>
      </c>
      <c r="B273" s="104" t="s">
        <v>27</v>
      </c>
      <c r="C273" s="371">
        <v>2021</v>
      </c>
      <c r="D273" s="373">
        <v>0</v>
      </c>
      <c r="E273" s="328">
        <v>0</v>
      </c>
      <c r="F273" s="328">
        <f>E273+D273</f>
        <v>0</v>
      </c>
      <c r="G273" s="373">
        <v>0</v>
      </c>
      <c r="H273" s="373">
        <v>0</v>
      </c>
      <c r="I273" s="328">
        <v>0</v>
      </c>
      <c r="J273" s="328">
        <f>J272+F273-G273-I273</f>
        <v>0</v>
      </c>
      <c r="K273" s="335">
        <f t="shared" si="42"/>
        <v>0</v>
      </c>
    </row>
    <row r="274" spans="1:13" ht="13" x14ac:dyDescent="0.3">
      <c r="A274" s="321">
        <f t="shared" si="39"/>
        <v>210</v>
      </c>
      <c r="C274" s="396" t="s">
        <v>880</v>
      </c>
      <c r="K274" s="397">
        <f>AVERAGE(K261:K273)</f>
        <v>0</v>
      </c>
    </row>
    <row r="275" spans="1:13" ht="12.75" customHeight="1" x14ac:dyDescent="0.3">
      <c r="A275" s="321"/>
      <c r="C275" s="396"/>
      <c r="K275" s="397"/>
    </row>
    <row r="276" spans="1:13" ht="13" x14ac:dyDescent="0.3">
      <c r="B276" s="399" t="s">
        <v>898</v>
      </c>
      <c r="D276" s="429" t="s">
        <v>899</v>
      </c>
      <c r="E276" s="429"/>
    </row>
    <row r="277" spans="1:13" ht="13" x14ac:dyDescent="0.3">
      <c r="D277" s="363"/>
      <c r="E277" s="400"/>
      <c r="F277" s="356"/>
      <c r="G277" s="321" t="str">
        <f>G51</f>
        <v>Unloaded</v>
      </c>
      <c r="H277" s="363"/>
      <c r="I277" s="400"/>
      <c r="J277" s="400"/>
      <c r="K277" s="400"/>
    </row>
    <row r="278" spans="1:13" ht="13" x14ac:dyDescent="0.3">
      <c r="A278" s="321"/>
      <c r="B278" s="321"/>
      <c r="C278" s="321"/>
      <c r="D278" s="321" t="str">
        <f>D$52</f>
        <v>Forecast</v>
      </c>
      <c r="E278" s="321" t="str">
        <f t="shared" ref="E278:J278" si="43">E$52</f>
        <v>Corporate</v>
      </c>
      <c r="F278" s="321" t="str">
        <f t="shared" si="43"/>
        <v xml:space="preserve">Total </v>
      </c>
      <c r="G278" s="321" t="str">
        <f>G52</f>
        <v>Total</v>
      </c>
      <c r="H278" s="321" t="str">
        <f t="shared" si="43"/>
        <v>Prior Period</v>
      </c>
      <c r="I278" s="321" t="str">
        <f t="shared" si="43"/>
        <v>Over Heads</v>
      </c>
      <c r="J278" s="321" t="str">
        <f t="shared" si="43"/>
        <v>Forecast</v>
      </c>
      <c r="K278" s="321" t="str">
        <f>K$52</f>
        <v>Forecast Period</v>
      </c>
    </row>
    <row r="279" spans="1:13" ht="13" x14ac:dyDescent="0.3">
      <c r="A279" s="325" t="s">
        <v>22</v>
      </c>
      <c r="B279" s="94" t="s">
        <v>23</v>
      </c>
      <c r="C279" s="94" t="s">
        <v>24</v>
      </c>
      <c r="D279" s="326" t="str">
        <f>D$53</f>
        <v>Expenditures</v>
      </c>
      <c r="E279" s="326" t="str">
        <f t="shared" ref="E279:J279" si="44">E$53</f>
        <v>Overheads</v>
      </c>
      <c r="F279" s="326" t="str">
        <f t="shared" si="44"/>
        <v>CWIP Exp</v>
      </c>
      <c r="G279" s="326" t="str">
        <f>G53</f>
        <v>Plant Adds</v>
      </c>
      <c r="H279" s="326" t="str">
        <f t="shared" si="44"/>
        <v>CWIP Closed</v>
      </c>
      <c r="I279" s="326" t="str">
        <f t="shared" si="44"/>
        <v>Closed to PIS</v>
      </c>
      <c r="J279" s="326" t="str">
        <f t="shared" si="44"/>
        <v>Period CWIP</v>
      </c>
      <c r="K279" s="326" t="str">
        <f>K$53</f>
        <v>Incremental CWIP</v>
      </c>
    </row>
    <row r="280" spans="1:13" ht="13" x14ac:dyDescent="0.3">
      <c r="A280" s="321">
        <f>A274+1</f>
        <v>211</v>
      </c>
      <c r="B280" s="104" t="s">
        <v>27</v>
      </c>
      <c r="C280" s="371">
        <v>2019</v>
      </c>
      <c r="D280" s="356" t="s">
        <v>28</v>
      </c>
      <c r="E280" s="356" t="s">
        <v>28</v>
      </c>
      <c r="F280" s="356" t="s">
        <v>28</v>
      </c>
      <c r="G280" s="356" t="s">
        <v>28</v>
      </c>
      <c r="H280" s="356" t="s">
        <v>28</v>
      </c>
      <c r="I280" s="356" t="s">
        <v>28</v>
      </c>
      <c r="J280" s="328">
        <f>E45</f>
        <v>301246.76</v>
      </c>
      <c r="K280" s="356" t="s">
        <v>28</v>
      </c>
    </row>
    <row r="281" spans="1:13" ht="13" x14ac:dyDescent="0.3">
      <c r="A281" s="321">
        <f>A280+1</f>
        <v>212</v>
      </c>
      <c r="B281" s="104" t="s">
        <v>30</v>
      </c>
      <c r="C281" s="371">
        <v>2020</v>
      </c>
      <c r="D281" s="373">
        <v>11020</v>
      </c>
      <c r="E281" s="328">
        <v>826.5</v>
      </c>
      <c r="F281" s="328">
        <f>E281+D281</f>
        <v>11846.5</v>
      </c>
      <c r="G281" s="373">
        <v>0</v>
      </c>
      <c r="H281" s="373">
        <v>0</v>
      </c>
      <c r="I281" s="328">
        <v>0</v>
      </c>
      <c r="J281" s="328">
        <f>J280+F281-G281-I281</f>
        <v>313093.26</v>
      </c>
      <c r="K281" s="328">
        <f>J281-$J$280</f>
        <v>11846.5</v>
      </c>
    </row>
    <row r="282" spans="1:13" ht="13" x14ac:dyDescent="0.3">
      <c r="A282" s="321">
        <f t="shared" ref="A282:A305" si="45">A281+1</f>
        <v>213</v>
      </c>
      <c r="B282" s="104" t="s">
        <v>32</v>
      </c>
      <c r="C282" s="371">
        <v>2020</v>
      </c>
      <c r="D282" s="373">
        <v>8146.0000000000009</v>
      </c>
      <c r="E282" s="328">
        <v>610.95000000000005</v>
      </c>
      <c r="F282" s="328">
        <f t="shared" ref="F282:F301" si="46">E282+D282</f>
        <v>8756.9500000000007</v>
      </c>
      <c r="G282" s="373">
        <v>0</v>
      </c>
      <c r="H282" s="373">
        <v>0</v>
      </c>
      <c r="I282" s="328">
        <v>0</v>
      </c>
      <c r="J282" s="328">
        <f t="shared" ref="J282:J301" si="47">J281+F282-G282-I282</f>
        <v>321850.21000000002</v>
      </c>
      <c r="K282" s="328">
        <f t="shared" ref="K282:K304" si="48">J282-$J$280</f>
        <v>20603.450000000012</v>
      </c>
    </row>
    <row r="283" spans="1:13" ht="13" x14ac:dyDescent="0.3">
      <c r="A283" s="321">
        <f t="shared" si="45"/>
        <v>214</v>
      </c>
      <c r="B283" s="104" t="s">
        <v>34</v>
      </c>
      <c r="C283" s="371">
        <v>2020</v>
      </c>
      <c r="D283" s="373">
        <v>18479</v>
      </c>
      <c r="E283" s="328">
        <v>1385.925</v>
      </c>
      <c r="F283" s="328">
        <f t="shared" si="46"/>
        <v>19864.924999999999</v>
      </c>
      <c r="G283" s="373">
        <v>0</v>
      </c>
      <c r="H283" s="373">
        <v>0</v>
      </c>
      <c r="I283" s="328">
        <v>0</v>
      </c>
      <c r="J283" s="328">
        <f t="shared" si="47"/>
        <v>341715.13500000001</v>
      </c>
      <c r="K283" s="328">
        <f t="shared" si="48"/>
        <v>40468.375</v>
      </c>
    </row>
    <row r="284" spans="1:13" ht="13" x14ac:dyDescent="0.3">
      <c r="A284" s="321">
        <f t="shared" si="45"/>
        <v>215</v>
      </c>
      <c r="B284" s="104" t="s">
        <v>36</v>
      </c>
      <c r="C284" s="371">
        <v>2020</v>
      </c>
      <c r="D284" s="373">
        <v>40000</v>
      </c>
      <c r="E284" s="328">
        <v>3000</v>
      </c>
      <c r="F284" s="328">
        <f t="shared" si="46"/>
        <v>43000</v>
      </c>
      <c r="G284" s="373">
        <v>0</v>
      </c>
      <c r="H284" s="373">
        <v>0</v>
      </c>
      <c r="I284" s="328">
        <v>0</v>
      </c>
      <c r="J284" s="328">
        <f t="shared" si="47"/>
        <v>384715.13500000001</v>
      </c>
      <c r="K284" s="328">
        <f t="shared" si="48"/>
        <v>83468.375</v>
      </c>
    </row>
    <row r="285" spans="1:13" ht="13" x14ac:dyDescent="0.3">
      <c r="A285" s="321">
        <f t="shared" si="45"/>
        <v>216</v>
      </c>
      <c r="B285" s="104" t="s">
        <v>37</v>
      </c>
      <c r="C285" s="371">
        <v>2020</v>
      </c>
      <c r="D285" s="373">
        <v>326231</v>
      </c>
      <c r="E285" s="328">
        <v>24467.325000000001</v>
      </c>
      <c r="F285" s="328">
        <f t="shared" si="46"/>
        <v>350698.32500000001</v>
      </c>
      <c r="G285" s="373">
        <v>0</v>
      </c>
      <c r="H285" s="373">
        <v>0</v>
      </c>
      <c r="I285" s="328">
        <v>0</v>
      </c>
      <c r="J285" s="328">
        <f t="shared" si="47"/>
        <v>735413.46</v>
      </c>
      <c r="K285" s="328">
        <f t="shared" si="48"/>
        <v>434166.69999999995</v>
      </c>
      <c r="L285" s="321"/>
      <c r="M285" s="321"/>
    </row>
    <row r="286" spans="1:13" ht="13" x14ac:dyDescent="0.3">
      <c r="A286" s="321">
        <f t="shared" si="45"/>
        <v>217</v>
      </c>
      <c r="B286" s="104" t="s">
        <v>471</v>
      </c>
      <c r="C286" s="371">
        <v>2020</v>
      </c>
      <c r="D286" s="373">
        <v>350000</v>
      </c>
      <c r="E286" s="328">
        <v>26250</v>
      </c>
      <c r="F286" s="328">
        <f t="shared" si="46"/>
        <v>376250</v>
      </c>
      <c r="G286" s="373">
        <v>0</v>
      </c>
      <c r="H286" s="373">
        <v>0</v>
      </c>
      <c r="I286" s="328">
        <v>0</v>
      </c>
      <c r="J286" s="328">
        <f t="shared" si="47"/>
        <v>1111663.46</v>
      </c>
      <c r="K286" s="328">
        <f t="shared" si="48"/>
        <v>810416.7</v>
      </c>
      <c r="L286" s="326"/>
      <c r="M286" s="326"/>
    </row>
    <row r="287" spans="1:13" ht="13" x14ac:dyDescent="0.3">
      <c r="A287" s="321">
        <f t="shared" si="45"/>
        <v>218</v>
      </c>
      <c r="B287" s="104" t="s">
        <v>39</v>
      </c>
      <c r="C287" s="371">
        <v>2020</v>
      </c>
      <c r="D287" s="373">
        <v>336231</v>
      </c>
      <c r="E287" s="328">
        <v>25217.325000000001</v>
      </c>
      <c r="F287" s="328">
        <f t="shared" si="46"/>
        <v>361448.32500000001</v>
      </c>
      <c r="G287" s="373">
        <v>0</v>
      </c>
      <c r="H287" s="373">
        <v>0</v>
      </c>
      <c r="I287" s="328">
        <v>0</v>
      </c>
      <c r="J287" s="328">
        <f t="shared" si="47"/>
        <v>1473111.7849999999</v>
      </c>
      <c r="K287" s="328">
        <f t="shared" si="48"/>
        <v>1171865.0249999999</v>
      </c>
    </row>
    <row r="288" spans="1:13" ht="13" x14ac:dyDescent="0.3">
      <c r="A288" s="321">
        <f t="shared" si="45"/>
        <v>219</v>
      </c>
      <c r="B288" s="104" t="s">
        <v>40</v>
      </c>
      <c r="C288" s="371">
        <v>2020</v>
      </c>
      <c r="D288" s="373">
        <v>435864</v>
      </c>
      <c r="E288" s="328">
        <v>32689.8</v>
      </c>
      <c r="F288" s="328">
        <f t="shared" si="46"/>
        <v>468553.8</v>
      </c>
      <c r="G288" s="373">
        <v>0</v>
      </c>
      <c r="H288" s="373">
        <v>0</v>
      </c>
      <c r="I288" s="328">
        <v>0</v>
      </c>
      <c r="J288" s="328">
        <f t="shared" si="47"/>
        <v>1941665.585</v>
      </c>
      <c r="K288" s="328">
        <f t="shared" si="48"/>
        <v>1640418.825</v>
      </c>
    </row>
    <row r="289" spans="1:11" ht="13" x14ac:dyDescent="0.3">
      <c r="A289" s="321">
        <f t="shared" si="45"/>
        <v>220</v>
      </c>
      <c r="B289" s="104" t="s">
        <v>41</v>
      </c>
      <c r="C289" s="371">
        <v>2020</v>
      </c>
      <c r="D289" s="373">
        <v>455000</v>
      </c>
      <c r="E289" s="328">
        <v>34125</v>
      </c>
      <c r="F289" s="328">
        <f t="shared" si="46"/>
        <v>489125</v>
      </c>
      <c r="G289" s="373">
        <v>0</v>
      </c>
      <c r="H289" s="373">
        <v>0</v>
      </c>
      <c r="I289" s="328">
        <v>0</v>
      </c>
      <c r="J289" s="328">
        <f t="shared" si="47"/>
        <v>2430790.585</v>
      </c>
      <c r="K289" s="328">
        <f t="shared" si="48"/>
        <v>2129543.8250000002</v>
      </c>
    </row>
    <row r="290" spans="1:11" ht="13" x14ac:dyDescent="0.3">
      <c r="A290" s="321">
        <f t="shared" si="45"/>
        <v>221</v>
      </c>
      <c r="B290" s="104" t="s">
        <v>42</v>
      </c>
      <c r="C290" s="371">
        <v>2020</v>
      </c>
      <c r="D290" s="373">
        <v>1123537</v>
      </c>
      <c r="E290" s="328">
        <v>84265.274999999994</v>
      </c>
      <c r="F290" s="328">
        <f t="shared" si="46"/>
        <v>1207802.2749999999</v>
      </c>
      <c r="G290" s="373">
        <v>0</v>
      </c>
      <c r="H290" s="373">
        <v>0</v>
      </c>
      <c r="I290" s="328">
        <v>0</v>
      </c>
      <c r="J290" s="328">
        <f t="shared" si="47"/>
        <v>3638592.86</v>
      </c>
      <c r="K290" s="328">
        <f t="shared" si="48"/>
        <v>3337346.0999999996</v>
      </c>
    </row>
    <row r="291" spans="1:11" ht="13" x14ac:dyDescent="0.3">
      <c r="A291" s="321">
        <f t="shared" si="45"/>
        <v>222</v>
      </c>
      <c r="B291" s="104" t="s">
        <v>43</v>
      </c>
      <c r="C291" s="371">
        <v>2020</v>
      </c>
      <c r="D291" s="373">
        <v>1266818</v>
      </c>
      <c r="E291" s="328">
        <v>95011.349999999991</v>
      </c>
      <c r="F291" s="328">
        <f t="shared" si="46"/>
        <v>1361829.35</v>
      </c>
      <c r="G291" s="373">
        <v>0</v>
      </c>
      <c r="H291" s="373">
        <v>0</v>
      </c>
      <c r="I291" s="328">
        <v>0</v>
      </c>
      <c r="J291" s="328">
        <f t="shared" si="47"/>
        <v>5000422.21</v>
      </c>
      <c r="K291" s="328">
        <f t="shared" si="48"/>
        <v>4699175.45</v>
      </c>
    </row>
    <row r="292" spans="1:11" ht="13" x14ac:dyDescent="0.3">
      <c r="A292" s="321">
        <f t="shared" si="45"/>
        <v>223</v>
      </c>
      <c r="B292" s="104" t="s">
        <v>27</v>
      </c>
      <c r="C292" s="371">
        <v>2020</v>
      </c>
      <c r="D292" s="373">
        <v>669293</v>
      </c>
      <c r="E292" s="328">
        <v>50196.974999999999</v>
      </c>
      <c r="F292" s="328">
        <f t="shared" si="46"/>
        <v>719489.97499999998</v>
      </c>
      <c r="G292" s="373">
        <v>0</v>
      </c>
      <c r="H292" s="373">
        <v>0</v>
      </c>
      <c r="I292" s="328">
        <v>0</v>
      </c>
      <c r="J292" s="328">
        <f t="shared" si="47"/>
        <v>5719912.1849999996</v>
      </c>
      <c r="K292" s="328">
        <f t="shared" si="48"/>
        <v>5418665.4249999998</v>
      </c>
    </row>
    <row r="293" spans="1:11" ht="13" x14ac:dyDescent="0.3">
      <c r="A293" s="321">
        <f t="shared" si="45"/>
        <v>224</v>
      </c>
      <c r="B293" s="104" t="s">
        <v>30</v>
      </c>
      <c r="C293" s="371">
        <v>2021</v>
      </c>
      <c r="D293" s="373">
        <v>370000</v>
      </c>
      <c r="E293" s="328">
        <v>27750</v>
      </c>
      <c r="F293" s="328">
        <f t="shared" si="46"/>
        <v>397750</v>
      </c>
      <c r="G293" s="373">
        <v>0</v>
      </c>
      <c r="H293" s="373">
        <v>0</v>
      </c>
      <c r="I293" s="328">
        <v>0</v>
      </c>
      <c r="J293" s="328">
        <f t="shared" si="47"/>
        <v>6117662.1849999996</v>
      </c>
      <c r="K293" s="328">
        <f t="shared" si="48"/>
        <v>5816415.4249999998</v>
      </c>
    </row>
    <row r="294" spans="1:11" ht="13" x14ac:dyDescent="0.3">
      <c r="A294" s="321">
        <f t="shared" si="45"/>
        <v>225</v>
      </c>
      <c r="B294" s="104" t="s">
        <v>32</v>
      </c>
      <c r="C294" s="371">
        <v>2021</v>
      </c>
      <c r="D294" s="373">
        <v>370000</v>
      </c>
      <c r="E294" s="328">
        <v>27750</v>
      </c>
      <c r="F294" s="328">
        <f t="shared" si="46"/>
        <v>397750</v>
      </c>
      <c r="G294" s="373">
        <v>0</v>
      </c>
      <c r="H294" s="373">
        <v>0</v>
      </c>
      <c r="I294" s="328">
        <v>0</v>
      </c>
      <c r="J294" s="328">
        <f t="shared" si="47"/>
        <v>6515412.1849999996</v>
      </c>
      <c r="K294" s="328">
        <f t="shared" si="48"/>
        <v>6214165.4249999998</v>
      </c>
    </row>
    <row r="295" spans="1:11" ht="13" x14ac:dyDescent="0.3">
      <c r="A295" s="321">
        <f t="shared" si="45"/>
        <v>226</v>
      </c>
      <c r="B295" s="104" t="s">
        <v>34</v>
      </c>
      <c r="C295" s="371">
        <v>2021</v>
      </c>
      <c r="D295" s="373">
        <v>370000</v>
      </c>
      <c r="E295" s="328">
        <v>27750</v>
      </c>
      <c r="F295" s="328">
        <f t="shared" si="46"/>
        <v>397750</v>
      </c>
      <c r="G295" s="373">
        <v>0</v>
      </c>
      <c r="H295" s="373">
        <v>0</v>
      </c>
      <c r="I295" s="328">
        <v>0</v>
      </c>
      <c r="J295" s="328">
        <f t="shared" si="47"/>
        <v>6913162.1849999996</v>
      </c>
      <c r="K295" s="328">
        <f t="shared" si="48"/>
        <v>6611915.4249999998</v>
      </c>
    </row>
    <row r="296" spans="1:11" ht="13" x14ac:dyDescent="0.3">
      <c r="A296" s="321">
        <f t="shared" si="45"/>
        <v>227</v>
      </c>
      <c r="B296" s="104" t="s">
        <v>36</v>
      </c>
      <c r="C296" s="371">
        <v>2021</v>
      </c>
      <c r="D296" s="373">
        <v>370000</v>
      </c>
      <c r="E296" s="328">
        <v>27750</v>
      </c>
      <c r="F296" s="328">
        <f t="shared" si="46"/>
        <v>397750</v>
      </c>
      <c r="G296" s="373">
        <v>0</v>
      </c>
      <c r="H296" s="373">
        <v>0</v>
      </c>
      <c r="I296" s="328">
        <v>0</v>
      </c>
      <c r="J296" s="328">
        <f t="shared" si="47"/>
        <v>7310912.1849999996</v>
      </c>
      <c r="K296" s="328">
        <f t="shared" si="48"/>
        <v>7009665.4249999998</v>
      </c>
    </row>
    <row r="297" spans="1:11" ht="13" x14ac:dyDescent="0.3">
      <c r="A297" s="321">
        <f t="shared" si="45"/>
        <v>228</v>
      </c>
      <c r="B297" s="104" t="s">
        <v>37</v>
      </c>
      <c r="C297" s="371">
        <v>2021</v>
      </c>
      <c r="D297" s="373">
        <v>370000</v>
      </c>
      <c r="E297" s="328">
        <v>27750</v>
      </c>
      <c r="F297" s="328">
        <f t="shared" si="46"/>
        <v>397750</v>
      </c>
      <c r="G297" s="373">
        <v>0</v>
      </c>
      <c r="H297" s="373">
        <v>0</v>
      </c>
      <c r="I297" s="328">
        <v>0</v>
      </c>
      <c r="J297" s="328">
        <f t="shared" si="47"/>
        <v>7708662.1849999996</v>
      </c>
      <c r="K297" s="328">
        <f t="shared" si="48"/>
        <v>7407415.4249999998</v>
      </c>
    </row>
    <row r="298" spans="1:11" ht="13" x14ac:dyDescent="0.3">
      <c r="A298" s="321">
        <f t="shared" si="45"/>
        <v>229</v>
      </c>
      <c r="B298" s="104" t="s">
        <v>471</v>
      </c>
      <c r="C298" s="371">
        <v>2021</v>
      </c>
      <c r="D298" s="373">
        <v>370000</v>
      </c>
      <c r="E298" s="328">
        <v>27750</v>
      </c>
      <c r="F298" s="328">
        <f t="shared" si="46"/>
        <v>397750</v>
      </c>
      <c r="G298" s="373">
        <v>0</v>
      </c>
      <c r="H298" s="373">
        <v>0</v>
      </c>
      <c r="I298" s="328">
        <v>0</v>
      </c>
      <c r="J298" s="328">
        <f t="shared" si="47"/>
        <v>8106412.1849999996</v>
      </c>
      <c r="K298" s="328">
        <f t="shared" si="48"/>
        <v>7805165.4249999998</v>
      </c>
    </row>
    <row r="299" spans="1:11" ht="13" x14ac:dyDescent="0.3">
      <c r="A299" s="321">
        <f t="shared" si="45"/>
        <v>230</v>
      </c>
      <c r="B299" s="104" t="s">
        <v>39</v>
      </c>
      <c r="C299" s="371">
        <v>2021</v>
      </c>
      <c r="D299" s="373">
        <v>370000</v>
      </c>
      <c r="E299" s="328">
        <v>27750</v>
      </c>
      <c r="F299" s="328">
        <f t="shared" si="46"/>
        <v>397750</v>
      </c>
      <c r="G299" s="373">
        <v>0</v>
      </c>
      <c r="H299" s="373">
        <v>0</v>
      </c>
      <c r="I299" s="328">
        <v>0</v>
      </c>
      <c r="J299" s="328">
        <f t="shared" si="47"/>
        <v>8504162.1849999987</v>
      </c>
      <c r="K299" s="328">
        <f t="shared" si="48"/>
        <v>8202915.4249999989</v>
      </c>
    </row>
    <row r="300" spans="1:11" ht="13" x14ac:dyDescent="0.3">
      <c r="A300" s="321">
        <f t="shared" si="45"/>
        <v>231</v>
      </c>
      <c r="B300" s="104" t="s">
        <v>40</v>
      </c>
      <c r="C300" s="371">
        <v>2021</v>
      </c>
      <c r="D300" s="373">
        <v>370000</v>
      </c>
      <c r="E300" s="328">
        <v>27750</v>
      </c>
      <c r="F300" s="328">
        <f t="shared" si="46"/>
        <v>397750</v>
      </c>
      <c r="G300" s="373">
        <v>0</v>
      </c>
      <c r="H300" s="373">
        <v>0</v>
      </c>
      <c r="I300" s="328">
        <v>0</v>
      </c>
      <c r="J300" s="328">
        <f t="shared" si="47"/>
        <v>8901912.1849999987</v>
      </c>
      <c r="K300" s="328">
        <f t="shared" si="48"/>
        <v>8600665.4249999989</v>
      </c>
    </row>
    <row r="301" spans="1:11" ht="13" x14ac:dyDescent="0.3">
      <c r="A301" s="321">
        <f t="shared" si="45"/>
        <v>232</v>
      </c>
      <c r="B301" s="104" t="s">
        <v>41</v>
      </c>
      <c r="C301" s="371">
        <v>2021</v>
      </c>
      <c r="D301" s="373">
        <v>370000</v>
      </c>
      <c r="E301" s="328">
        <v>27750</v>
      </c>
      <c r="F301" s="328">
        <f t="shared" si="46"/>
        <v>397750</v>
      </c>
      <c r="G301" s="373">
        <v>8671865.7599999979</v>
      </c>
      <c r="H301" s="373">
        <v>301246.76</v>
      </c>
      <c r="I301" s="328">
        <v>627796.42499999981</v>
      </c>
      <c r="J301" s="328">
        <f t="shared" si="47"/>
        <v>9.3132257461547852E-10</v>
      </c>
      <c r="K301" s="328">
        <f t="shared" si="48"/>
        <v>-301246.75999999908</v>
      </c>
    </row>
    <row r="302" spans="1:11" ht="13" x14ac:dyDescent="0.3">
      <c r="A302" s="321">
        <f t="shared" si="45"/>
        <v>233</v>
      </c>
      <c r="B302" s="104" t="s">
        <v>42</v>
      </c>
      <c r="C302" s="371">
        <v>2021</v>
      </c>
      <c r="D302" s="373">
        <v>370000</v>
      </c>
      <c r="E302" s="328">
        <v>27750</v>
      </c>
      <c r="F302" s="328">
        <f>E302+D302</f>
        <v>397750</v>
      </c>
      <c r="G302" s="373">
        <v>370000</v>
      </c>
      <c r="H302" s="373">
        <v>0</v>
      </c>
      <c r="I302" s="328">
        <v>27750</v>
      </c>
      <c r="J302" s="328">
        <f>J301+F302-G302-I302</f>
        <v>9.3132257461547852E-10</v>
      </c>
      <c r="K302" s="328">
        <f t="shared" si="48"/>
        <v>-301246.75999999908</v>
      </c>
    </row>
    <row r="303" spans="1:11" ht="13" x14ac:dyDescent="0.3">
      <c r="A303" s="321">
        <f t="shared" si="45"/>
        <v>234</v>
      </c>
      <c r="B303" s="104" t="s">
        <v>43</v>
      </c>
      <c r="C303" s="371">
        <v>2021</v>
      </c>
      <c r="D303" s="373">
        <v>370000</v>
      </c>
      <c r="E303" s="328">
        <v>27750</v>
      </c>
      <c r="F303" s="328">
        <f>E303+D303</f>
        <v>397750</v>
      </c>
      <c r="G303" s="373">
        <v>370000</v>
      </c>
      <c r="H303" s="373">
        <v>0</v>
      </c>
      <c r="I303" s="328">
        <v>27750</v>
      </c>
      <c r="J303" s="328">
        <f>J302+F303-G303-I303</f>
        <v>9.3132257461547852E-10</v>
      </c>
      <c r="K303" s="328">
        <f t="shared" si="48"/>
        <v>-301246.75999999908</v>
      </c>
    </row>
    <row r="304" spans="1:11" ht="13" x14ac:dyDescent="0.3">
      <c r="A304" s="321">
        <f t="shared" si="45"/>
        <v>235</v>
      </c>
      <c r="B304" s="104" t="s">
        <v>27</v>
      </c>
      <c r="C304" s="371">
        <v>2021</v>
      </c>
      <c r="D304" s="373">
        <v>369733</v>
      </c>
      <c r="E304" s="328">
        <v>27729.974999999999</v>
      </c>
      <c r="F304" s="328">
        <f>E304+D304</f>
        <v>397462.97499999998</v>
      </c>
      <c r="G304" s="373">
        <v>369733</v>
      </c>
      <c r="H304" s="373">
        <v>0</v>
      </c>
      <c r="I304" s="328">
        <v>27729.974999999999</v>
      </c>
      <c r="J304" s="328">
        <f>J303+F304-G304-I304</f>
        <v>9.0949470177292824E-10</v>
      </c>
      <c r="K304" s="335">
        <f t="shared" si="48"/>
        <v>-301246.75999999908</v>
      </c>
    </row>
    <row r="305" spans="1:12" ht="13" x14ac:dyDescent="0.3">
      <c r="A305" s="321">
        <f t="shared" si="45"/>
        <v>236</v>
      </c>
      <c r="C305" s="396" t="s">
        <v>880</v>
      </c>
      <c r="K305" s="397">
        <f>AVERAGE(K292:K304)</f>
        <v>4760153.9834615383</v>
      </c>
    </row>
    <row r="306" spans="1:12" ht="13" x14ac:dyDescent="0.3">
      <c r="A306" s="321"/>
      <c r="C306" s="396"/>
      <c r="K306" s="397"/>
    </row>
    <row r="307" spans="1:12" ht="13" x14ac:dyDescent="0.3">
      <c r="B307" s="399" t="s">
        <v>900</v>
      </c>
      <c r="D307" s="429" t="s">
        <v>861</v>
      </c>
      <c r="E307" s="429"/>
    </row>
    <row r="308" spans="1:12" ht="13" x14ac:dyDescent="0.3">
      <c r="A308" s="326"/>
      <c r="B308" s="326"/>
      <c r="C308" s="326"/>
      <c r="D308" s="326" t="s">
        <v>12</v>
      </c>
      <c r="E308" s="326" t="s">
        <v>343</v>
      </c>
      <c r="F308" s="326" t="s">
        <v>361</v>
      </c>
      <c r="G308" s="326" t="s">
        <v>13</v>
      </c>
      <c r="H308" s="326" t="s">
        <v>362</v>
      </c>
      <c r="I308" s="326" t="s">
        <v>363</v>
      </c>
      <c r="J308" s="326" t="s">
        <v>364</v>
      </c>
      <c r="K308" s="326" t="s">
        <v>451</v>
      </c>
    </row>
    <row r="309" spans="1:12" ht="25.5" x14ac:dyDescent="0.3">
      <c r="D309" s="363"/>
      <c r="E309" s="400" t="s">
        <v>883</v>
      </c>
      <c r="F309" s="356" t="s">
        <v>884</v>
      </c>
      <c r="G309" s="356"/>
      <c r="H309" s="363"/>
      <c r="I309" s="400" t="s">
        <v>885</v>
      </c>
      <c r="J309" s="400" t="s">
        <v>886</v>
      </c>
      <c r="K309" s="400" t="s">
        <v>887</v>
      </c>
    </row>
    <row r="310" spans="1:12" ht="13" x14ac:dyDescent="0.3">
      <c r="D310" s="363"/>
      <c r="E310" s="363"/>
      <c r="F310" s="363"/>
      <c r="G310" s="321" t="str">
        <f>G51</f>
        <v>Unloaded</v>
      </c>
      <c r="H310" s="363"/>
      <c r="I310" s="363"/>
    </row>
    <row r="311" spans="1:12" ht="13" x14ac:dyDescent="0.3">
      <c r="A311" s="321"/>
      <c r="B311" s="321"/>
      <c r="C311" s="321"/>
      <c r="D311" s="321" t="str">
        <f>D$52</f>
        <v>Forecast</v>
      </c>
      <c r="E311" s="321" t="str">
        <f t="shared" ref="E311:J311" si="49">E$52</f>
        <v>Corporate</v>
      </c>
      <c r="F311" s="321" t="str">
        <f t="shared" si="49"/>
        <v xml:space="preserve">Total </v>
      </c>
      <c r="G311" s="321" t="str">
        <f>G52</f>
        <v>Total</v>
      </c>
      <c r="H311" s="321" t="str">
        <f t="shared" si="49"/>
        <v>Prior Period</v>
      </c>
      <c r="I311" s="321" t="str">
        <f t="shared" si="49"/>
        <v>Over Heads</v>
      </c>
      <c r="J311" s="321" t="str">
        <f t="shared" si="49"/>
        <v>Forecast</v>
      </c>
      <c r="K311" s="321" t="str">
        <f>K$52</f>
        <v>Forecast Period</v>
      </c>
    </row>
    <row r="312" spans="1:12" ht="13" x14ac:dyDescent="0.3">
      <c r="A312" s="325" t="s">
        <v>22</v>
      </c>
      <c r="B312" s="94" t="s">
        <v>23</v>
      </c>
      <c r="C312" s="94" t="s">
        <v>24</v>
      </c>
      <c r="D312" s="326" t="str">
        <f>D$53</f>
        <v>Expenditures</v>
      </c>
      <c r="E312" s="326" t="str">
        <f t="shared" ref="E312:J312" si="50">E$53</f>
        <v>Overheads</v>
      </c>
      <c r="F312" s="326" t="str">
        <f t="shared" si="50"/>
        <v>CWIP Exp</v>
      </c>
      <c r="G312" s="326" t="str">
        <f>G53</f>
        <v>Plant Adds</v>
      </c>
      <c r="H312" s="326" t="str">
        <f t="shared" si="50"/>
        <v>CWIP Closed</v>
      </c>
      <c r="I312" s="326" t="str">
        <f t="shared" si="50"/>
        <v>Closed to PIS</v>
      </c>
      <c r="J312" s="326" t="str">
        <f t="shared" si="50"/>
        <v>Period CWIP</v>
      </c>
      <c r="K312" s="326" t="str">
        <f>K$53</f>
        <v>Incremental CWIP</v>
      </c>
    </row>
    <row r="313" spans="1:12" ht="13" x14ac:dyDescent="0.3">
      <c r="A313" s="321">
        <f>A305+1</f>
        <v>237</v>
      </c>
      <c r="B313" s="104" t="s">
        <v>27</v>
      </c>
      <c r="C313" s="371">
        <v>2019</v>
      </c>
      <c r="D313" s="356" t="s">
        <v>28</v>
      </c>
      <c r="E313" s="356" t="s">
        <v>28</v>
      </c>
      <c r="F313" s="356" t="s">
        <v>28</v>
      </c>
      <c r="G313" s="356" t="s">
        <v>28</v>
      </c>
      <c r="H313" s="356" t="s">
        <v>28</v>
      </c>
      <c r="I313" s="356" t="s">
        <v>28</v>
      </c>
      <c r="J313" s="328">
        <f>F45</f>
        <v>49854942.909999996</v>
      </c>
      <c r="K313" s="356" t="s">
        <v>28</v>
      </c>
    </row>
    <row r="314" spans="1:12" ht="13" x14ac:dyDescent="0.3">
      <c r="A314" s="321">
        <f>A313+1</f>
        <v>238</v>
      </c>
      <c r="B314" s="104" t="s">
        <v>30</v>
      </c>
      <c r="C314" s="371">
        <v>2020</v>
      </c>
      <c r="D314" s="373">
        <v>4061738.8068000008</v>
      </c>
      <c r="E314" s="328">
        <v>304630.41051000007</v>
      </c>
      <c r="F314" s="328">
        <f>E314+D314</f>
        <v>4366369.2173100011</v>
      </c>
      <c r="G314" s="373">
        <v>1498716.8068000001</v>
      </c>
      <c r="H314" s="373">
        <v>0</v>
      </c>
      <c r="I314" s="328">
        <v>112403.76051000001</v>
      </c>
      <c r="J314" s="328">
        <f>J313+F314-G314-I314</f>
        <v>52610191.560000002</v>
      </c>
      <c r="K314" s="328">
        <f>J314-$J$313</f>
        <v>2755248.650000006</v>
      </c>
      <c r="L314" s="321"/>
    </row>
    <row r="315" spans="1:12" ht="13" x14ac:dyDescent="0.3">
      <c r="A315" s="321">
        <f t="shared" ref="A315:A338" si="51">A314+1</f>
        <v>239</v>
      </c>
      <c r="B315" s="104" t="s">
        <v>32</v>
      </c>
      <c r="C315" s="371">
        <v>2020</v>
      </c>
      <c r="D315" s="373">
        <v>5880074.051</v>
      </c>
      <c r="E315" s="328">
        <v>441005.55382500001</v>
      </c>
      <c r="F315" s="328">
        <f t="shared" ref="F315:F334" si="52">E315+D315</f>
        <v>6321079.6048250003</v>
      </c>
      <c r="G315" s="373">
        <v>821950.05100000021</v>
      </c>
      <c r="H315" s="373">
        <v>0</v>
      </c>
      <c r="I315" s="328">
        <v>61646.253825000014</v>
      </c>
      <c r="J315" s="328">
        <f t="shared" ref="J315:J334" si="53">J314+F315-G315-I315</f>
        <v>58047674.859999999</v>
      </c>
      <c r="K315" s="328">
        <f t="shared" ref="K315:K337" si="54">J315-$J$313</f>
        <v>8192731.950000003</v>
      </c>
      <c r="L315" s="321"/>
    </row>
    <row r="316" spans="1:12" ht="13" x14ac:dyDescent="0.3">
      <c r="A316" s="321">
        <f t="shared" si="51"/>
        <v>240</v>
      </c>
      <c r="B316" s="104" t="s">
        <v>34</v>
      </c>
      <c r="C316" s="371">
        <v>2020</v>
      </c>
      <c r="D316" s="373">
        <v>4900388.102</v>
      </c>
      <c r="E316" s="328">
        <v>367529.10764999996</v>
      </c>
      <c r="F316" s="328">
        <f t="shared" si="52"/>
        <v>5267917.2096499996</v>
      </c>
      <c r="G316" s="373">
        <v>662429.10199999996</v>
      </c>
      <c r="H316" s="373">
        <v>0</v>
      </c>
      <c r="I316" s="328">
        <v>49682.182649999995</v>
      </c>
      <c r="J316" s="328">
        <f t="shared" si="53"/>
        <v>62603480.785000004</v>
      </c>
      <c r="K316" s="328">
        <f t="shared" si="54"/>
        <v>12748537.875000007</v>
      </c>
      <c r="L316" s="321"/>
    </row>
    <row r="317" spans="1:12" ht="13" x14ac:dyDescent="0.3">
      <c r="A317" s="321">
        <f t="shared" si="51"/>
        <v>241</v>
      </c>
      <c r="B317" s="104" t="s">
        <v>36</v>
      </c>
      <c r="C317" s="371">
        <v>2020</v>
      </c>
      <c r="D317" s="373">
        <v>10164324.310000001</v>
      </c>
      <c r="E317" s="328">
        <v>762324.32325000002</v>
      </c>
      <c r="F317" s="328">
        <f t="shared" si="52"/>
        <v>10926648.63325</v>
      </c>
      <c r="G317" s="373">
        <v>123635.31</v>
      </c>
      <c r="H317" s="373">
        <v>0</v>
      </c>
      <c r="I317" s="328">
        <v>9272.6482500000002</v>
      </c>
      <c r="J317" s="328">
        <f t="shared" si="53"/>
        <v>73397221.460000008</v>
      </c>
      <c r="K317" s="328">
        <f t="shared" si="54"/>
        <v>23542278.550000012</v>
      </c>
      <c r="L317" s="326"/>
    </row>
    <row r="318" spans="1:12" ht="13" x14ac:dyDescent="0.3">
      <c r="A318" s="321">
        <f t="shared" si="51"/>
        <v>242</v>
      </c>
      <c r="B318" s="104" t="s">
        <v>37</v>
      </c>
      <c r="C318" s="371">
        <v>2020</v>
      </c>
      <c r="D318" s="373">
        <v>14976454.309999999</v>
      </c>
      <c r="E318" s="328">
        <v>1123234.0732499999</v>
      </c>
      <c r="F318" s="328">
        <f t="shared" si="52"/>
        <v>16099688.383249998</v>
      </c>
      <c r="G318" s="373">
        <v>440868.45000000007</v>
      </c>
      <c r="H318" s="373">
        <v>344737.14</v>
      </c>
      <c r="I318" s="328">
        <v>7209.8482500000036</v>
      </c>
      <c r="J318" s="328">
        <f t="shared" si="53"/>
        <v>89048831.545000002</v>
      </c>
      <c r="K318" s="328">
        <f t="shared" si="54"/>
        <v>39193888.635000005</v>
      </c>
    </row>
    <row r="319" spans="1:12" ht="13" x14ac:dyDescent="0.3">
      <c r="A319" s="321">
        <f t="shared" si="51"/>
        <v>243</v>
      </c>
      <c r="B319" s="104" t="s">
        <v>471</v>
      </c>
      <c r="C319" s="371">
        <v>2020</v>
      </c>
      <c r="D319" s="373">
        <v>9728852.5857999995</v>
      </c>
      <c r="E319" s="328">
        <v>729663.94393499999</v>
      </c>
      <c r="F319" s="328">
        <f t="shared" si="52"/>
        <v>10458516.529734999</v>
      </c>
      <c r="G319" s="373">
        <v>541379.6057999999</v>
      </c>
      <c r="H319" s="373">
        <v>253117.02</v>
      </c>
      <c r="I319" s="328">
        <v>21619.693934999992</v>
      </c>
      <c r="J319" s="328">
        <f t="shared" si="53"/>
        <v>98944348.774999991</v>
      </c>
      <c r="K319" s="328">
        <f t="shared" si="54"/>
        <v>49089405.864999995</v>
      </c>
    </row>
    <row r="320" spans="1:12" ht="13" x14ac:dyDescent="0.3">
      <c r="A320" s="321">
        <f t="shared" si="51"/>
        <v>244</v>
      </c>
      <c r="B320" s="104" t="s">
        <v>39</v>
      </c>
      <c r="C320" s="371">
        <v>2020</v>
      </c>
      <c r="D320" s="373">
        <v>11353872.139999999</v>
      </c>
      <c r="E320" s="328">
        <v>851540.41049999988</v>
      </c>
      <c r="F320" s="328">
        <f t="shared" si="52"/>
        <v>12205412.550499998</v>
      </c>
      <c r="G320" s="373">
        <v>5632.1399999999994</v>
      </c>
      <c r="H320" s="373">
        <v>0</v>
      </c>
      <c r="I320" s="328">
        <v>422.41049999999996</v>
      </c>
      <c r="J320" s="328">
        <f t="shared" si="53"/>
        <v>111143706.77499998</v>
      </c>
      <c r="K320" s="328">
        <f t="shared" si="54"/>
        <v>61288763.86499998</v>
      </c>
    </row>
    <row r="321" spans="1:11" ht="13" x14ac:dyDescent="0.3">
      <c r="A321" s="321">
        <f t="shared" si="51"/>
        <v>245</v>
      </c>
      <c r="B321" s="104" t="s">
        <v>40</v>
      </c>
      <c r="C321" s="371">
        <v>2020</v>
      </c>
      <c r="D321" s="373">
        <v>7061094.1400000006</v>
      </c>
      <c r="E321" s="328">
        <v>529582.06050000002</v>
      </c>
      <c r="F321" s="328">
        <f t="shared" si="52"/>
        <v>7590676.2005000003</v>
      </c>
      <c r="G321" s="373">
        <v>5632.1399999999994</v>
      </c>
      <c r="H321" s="373">
        <v>0</v>
      </c>
      <c r="I321" s="328">
        <v>422.41049999999996</v>
      </c>
      <c r="J321" s="328">
        <f t="shared" si="53"/>
        <v>118728328.42499997</v>
      </c>
      <c r="K321" s="328">
        <f t="shared" si="54"/>
        <v>68873385.514999971</v>
      </c>
    </row>
    <row r="322" spans="1:11" ht="13" x14ac:dyDescent="0.3">
      <c r="A322" s="321">
        <f t="shared" si="51"/>
        <v>246</v>
      </c>
      <c r="B322" s="104" t="s">
        <v>41</v>
      </c>
      <c r="C322" s="371">
        <v>2020</v>
      </c>
      <c r="D322" s="373">
        <v>9451395.1399999987</v>
      </c>
      <c r="E322" s="328">
        <v>708854.63549999986</v>
      </c>
      <c r="F322" s="328">
        <f t="shared" si="52"/>
        <v>10160249.7755</v>
      </c>
      <c r="G322" s="373">
        <v>5632.1399999999994</v>
      </c>
      <c r="H322" s="373">
        <v>0</v>
      </c>
      <c r="I322" s="328">
        <v>422.41049999999996</v>
      </c>
      <c r="J322" s="328">
        <f t="shared" si="53"/>
        <v>128882523.64999996</v>
      </c>
      <c r="K322" s="328">
        <f t="shared" si="54"/>
        <v>79027580.739999965</v>
      </c>
    </row>
    <row r="323" spans="1:11" ht="13" x14ac:dyDescent="0.3">
      <c r="A323" s="321">
        <f t="shared" si="51"/>
        <v>247</v>
      </c>
      <c r="B323" s="104" t="s">
        <v>42</v>
      </c>
      <c r="C323" s="371">
        <v>2020</v>
      </c>
      <c r="D323" s="373">
        <v>5025379.1399999997</v>
      </c>
      <c r="E323" s="328">
        <v>376903.43549999996</v>
      </c>
      <c r="F323" s="328">
        <f t="shared" si="52"/>
        <v>5402282.5754999993</v>
      </c>
      <c r="G323" s="373">
        <v>5632.1399999999994</v>
      </c>
      <c r="H323" s="373">
        <v>0</v>
      </c>
      <c r="I323" s="328">
        <v>422.41049999999996</v>
      </c>
      <c r="J323" s="328">
        <f t="shared" si="53"/>
        <v>134278751.67499998</v>
      </c>
      <c r="K323" s="328">
        <f t="shared" si="54"/>
        <v>84423808.764999986</v>
      </c>
    </row>
    <row r="324" spans="1:11" ht="13" x14ac:dyDescent="0.3">
      <c r="A324" s="321">
        <f t="shared" si="51"/>
        <v>248</v>
      </c>
      <c r="B324" s="104" t="s">
        <v>43</v>
      </c>
      <c r="C324" s="371">
        <v>2020</v>
      </c>
      <c r="D324" s="373">
        <v>3190394.1399999997</v>
      </c>
      <c r="E324" s="328">
        <v>239279.56049999996</v>
      </c>
      <c r="F324" s="328">
        <f t="shared" si="52"/>
        <v>3429673.7004999998</v>
      </c>
      <c r="G324" s="373">
        <v>5632.1399999999994</v>
      </c>
      <c r="H324" s="373">
        <v>0</v>
      </c>
      <c r="I324" s="328">
        <v>422.41049999999996</v>
      </c>
      <c r="J324" s="328">
        <f t="shared" si="53"/>
        <v>137702370.82500002</v>
      </c>
      <c r="K324" s="328">
        <f t="shared" si="54"/>
        <v>87847427.915000021</v>
      </c>
    </row>
    <row r="325" spans="1:11" ht="13" x14ac:dyDescent="0.3">
      <c r="A325" s="321">
        <f t="shared" si="51"/>
        <v>249</v>
      </c>
      <c r="B325" s="104" t="s">
        <v>27</v>
      </c>
      <c r="C325" s="371">
        <v>2020</v>
      </c>
      <c r="D325" s="373">
        <v>22425697.471199997</v>
      </c>
      <c r="E325" s="328">
        <v>1681927.3103399996</v>
      </c>
      <c r="F325" s="328">
        <f t="shared" si="52"/>
        <v>24107624.781539995</v>
      </c>
      <c r="G325" s="373">
        <v>25164759.4912</v>
      </c>
      <c r="H325" s="373">
        <v>15559979.02</v>
      </c>
      <c r="I325" s="328">
        <v>720358.53534000006</v>
      </c>
      <c r="J325" s="328">
        <f t="shared" si="53"/>
        <v>135924877.58000001</v>
      </c>
      <c r="K325" s="328">
        <f t="shared" si="54"/>
        <v>86069934.670000017</v>
      </c>
    </row>
    <row r="326" spans="1:11" ht="13" x14ac:dyDescent="0.3">
      <c r="A326" s="321">
        <f t="shared" si="51"/>
        <v>250</v>
      </c>
      <c r="B326" s="104" t="s">
        <v>30</v>
      </c>
      <c r="C326" s="371">
        <v>2021</v>
      </c>
      <c r="D326" s="373">
        <v>8468791.0000000019</v>
      </c>
      <c r="E326" s="328">
        <v>635159.32500000007</v>
      </c>
      <c r="F326" s="328">
        <f t="shared" si="52"/>
        <v>9103950.3250000011</v>
      </c>
      <c r="G326" s="373">
        <v>386600</v>
      </c>
      <c r="H326" s="373">
        <v>0</v>
      </c>
      <c r="I326" s="328">
        <v>28995</v>
      </c>
      <c r="J326" s="328">
        <f t="shared" si="53"/>
        <v>144613232.905</v>
      </c>
      <c r="K326" s="328">
        <f t="shared" si="54"/>
        <v>94758289.995000005</v>
      </c>
    </row>
    <row r="327" spans="1:11" ht="13" x14ac:dyDescent="0.3">
      <c r="A327" s="321">
        <f t="shared" si="51"/>
        <v>251</v>
      </c>
      <c r="B327" s="104" t="s">
        <v>32</v>
      </c>
      <c r="C327" s="371">
        <v>2021</v>
      </c>
      <c r="D327" s="373">
        <v>6702363</v>
      </c>
      <c r="E327" s="328">
        <v>502677.22499999998</v>
      </c>
      <c r="F327" s="328">
        <f t="shared" si="52"/>
        <v>7205040.2249999996</v>
      </c>
      <c r="G327" s="373">
        <v>386600</v>
      </c>
      <c r="H327" s="373">
        <v>0</v>
      </c>
      <c r="I327" s="328">
        <v>28995</v>
      </c>
      <c r="J327" s="328">
        <f t="shared" si="53"/>
        <v>151402678.13</v>
      </c>
      <c r="K327" s="328">
        <f t="shared" si="54"/>
        <v>101547735.22</v>
      </c>
    </row>
    <row r="328" spans="1:11" ht="13" x14ac:dyDescent="0.3">
      <c r="A328" s="321">
        <f t="shared" si="51"/>
        <v>252</v>
      </c>
      <c r="B328" s="104" t="s">
        <v>34</v>
      </c>
      <c r="C328" s="371">
        <v>2021</v>
      </c>
      <c r="D328" s="373">
        <v>6702363</v>
      </c>
      <c r="E328" s="328">
        <v>502677.22499999998</v>
      </c>
      <c r="F328" s="328">
        <f t="shared" si="52"/>
        <v>7205040.2249999996</v>
      </c>
      <c r="G328" s="373">
        <v>386600</v>
      </c>
      <c r="H328" s="373">
        <v>0</v>
      </c>
      <c r="I328" s="328">
        <v>28995</v>
      </c>
      <c r="J328" s="328">
        <f t="shared" si="53"/>
        <v>158192123.35499999</v>
      </c>
      <c r="K328" s="328">
        <f t="shared" si="54"/>
        <v>108337180.44499999</v>
      </c>
    </row>
    <row r="329" spans="1:11" ht="13" x14ac:dyDescent="0.3">
      <c r="A329" s="321">
        <f t="shared" si="51"/>
        <v>253</v>
      </c>
      <c r="B329" s="104" t="s">
        <v>36</v>
      </c>
      <c r="C329" s="371">
        <v>2021</v>
      </c>
      <c r="D329" s="373">
        <v>5742718</v>
      </c>
      <c r="E329" s="328">
        <v>430703.85</v>
      </c>
      <c r="F329" s="328">
        <f t="shared" si="52"/>
        <v>6173421.8499999996</v>
      </c>
      <c r="G329" s="373">
        <v>276600</v>
      </c>
      <c r="H329" s="373">
        <v>0</v>
      </c>
      <c r="I329" s="328">
        <v>20745</v>
      </c>
      <c r="J329" s="328">
        <f t="shared" si="53"/>
        <v>164068200.20499998</v>
      </c>
      <c r="K329" s="328">
        <f t="shared" si="54"/>
        <v>114213257.29499999</v>
      </c>
    </row>
    <row r="330" spans="1:11" ht="13" x14ac:dyDescent="0.3">
      <c r="A330" s="321">
        <f t="shared" si="51"/>
        <v>254</v>
      </c>
      <c r="B330" s="104" t="s">
        <v>37</v>
      </c>
      <c r="C330" s="371">
        <v>2021</v>
      </c>
      <c r="D330" s="373">
        <v>5687218</v>
      </c>
      <c r="E330" s="328">
        <v>426541.35</v>
      </c>
      <c r="F330" s="328">
        <f t="shared" si="52"/>
        <v>6113759.3499999996</v>
      </c>
      <c r="G330" s="373">
        <v>586046.6</v>
      </c>
      <c r="H330" s="373">
        <v>218065.59999999998</v>
      </c>
      <c r="I330" s="328">
        <v>27598.575000000001</v>
      </c>
      <c r="J330" s="328">
        <f t="shared" si="53"/>
        <v>169568314.38</v>
      </c>
      <c r="K330" s="328">
        <f t="shared" si="54"/>
        <v>119713371.47</v>
      </c>
    </row>
    <row r="331" spans="1:11" ht="13" x14ac:dyDescent="0.3">
      <c r="A331" s="321">
        <f t="shared" si="51"/>
        <v>255</v>
      </c>
      <c r="B331" s="104" t="s">
        <v>471</v>
      </c>
      <c r="C331" s="371">
        <v>2021</v>
      </c>
      <c r="D331" s="373">
        <v>5687218</v>
      </c>
      <c r="E331" s="328">
        <v>426541.35</v>
      </c>
      <c r="F331" s="328">
        <f t="shared" si="52"/>
        <v>6113759.3499999996</v>
      </c>
      <c r="G331" s="373">
        <v>281799.00000000006</v>
      </c>
      <c r="H331" s="373">
        <v>0</v>
      </c>
      <c r="I331" s="328">
        <v>21134.925000000003</v>
      </c>
      <c r="J331" s="328">
        <f t="shared" si="53"/>
        <v>175379139.80499998</v>
      </c>
      <c r="K331" s="328">
        <f t="shared" si="54"/>
        <v>125524196.89499998</v>
      </c>
    </row>
    <row r="332" spans="1:11" ht="13" x14ac:dyDescent="0.3">
      <c r="A332" s="321">
        <f t="shared" si="51"/>
        <v>256</v>
      </c>
      <c r="B332" s="104" t="s">
        <v>39</v>
      </c>
      <c r="C332" s="371">
        <v>2021</v>
      </c>
      <c r="D332" s="373">
        <v>5570617.9999999991</v>
      </c>
      <c r="E332" s="328">
        <v>417796.34999999992</v>
      </c>
      <c r="F332" s="328">
        <f t="shared" si="52"/>
        <v>5988414.3499999987</v>
      </c>
      <c r="G332" s="373">
        <v>165199</v>
      </c>
      <c r="H332" s="373">
        <v>0</v>
      </c>
      <c r="I332" s="328">
        <v>12389.924999999999</v>
      </c>
      <c r="J332" s="328">
        <f t="shared" si="53"/>
        <v>181189965.22999996</v>
      </c>
      <c r="K332" s="328">
        <f t="shared" si="54"/>
        <v>131335022.31999996</v>
      </c>
    </row>
    <row r="333" spans="1:11" ht="13" x14ac:dyDescent="0.3">
      <c r="A333" s="321">
        <f t="shared" si="51"/>
        <v>257</v>
      </c>
      <c r="B333" s="104" t="s">
        <v>40</v>
      </c>
      <c r="C333" s="371">
        <v>2021</v>
      </c>
      <c r="D333" s="373">
        <v>5570617.9999999991</v>
      </c>
      <c r="E333" s="328">
        <v>417796.34999999992</v>
      </c>
      <c r="F333" s="328">
        <f t="shared" si="52"/>
        <v>5988414.3499999987</v>
      </c>
      <c r="G333" s="373">
        <v>172165582.88999996</v>
      </c>
      <c r="H333" s="373">
        <v>29189456.889999997</v>
      </c>
      <c r="I333" s="328">
        <v>10723209.449999997</v>
      </c>
      <c r="J333" s="328">
        <f t="shared" si="53"/>
        <v>4289587.24</v>
      </c>
      <c r="K333" s="328">
        <f t="shared" si="54"/>
        <v>-45565355.669999994</v>
      </c>
    </row>
    <row r="334" spans="1:11" ht="13" x14ac:dyDescent="0.3">
      <c r="A334" s="321">
        <f t="shared" si="51"/>
        <v>258</v>
      </c>
      <c r="B334" s="104" t="s">
        <v>41</v>
      </c>
      <c r="C334" s="371">
        <v>2021</v>
      </c>
      <c r="D334" s="373">
        <v>5570617.9999999991</v>
      </c>
      <c r="E334" s="328">
        <v>417796.34999999992</v>
      </c>
      <c r="F334" s="328">
        <f t="shared" si="52"/>
        <v>5988414.3499999987</v>
      </c>
      <c r="G334" s="373">
        <v>5570617.9999999991</v>
      </c>
      <c r="H334" s="373">
        <v>0</v>
      </c>
      <c r="I334" s="328">
        <v>417796.34999999992</v>
      </c>
      <c r="J334" s="328">
        <f t="shared" si="53"/>
        <v>4289587.2400000012</v>
      </c>
      <c r="K334" s="328">
        <f t="shared" si="54"/>
        <v>-45565355.669999994</v>
      </c>
    </row>
    <row r="335" spans="1:11" ht="13" x14ac:dyDescent="0.3">
      <c r="A335" s="321">
        <f t="shared" si="51"/>
        <v>259</v>
      </c>
      <c r="B335" s="104" t="s">
        <v>42</v>
      </c>
      <c r="C335" s="371">
        <v>2021</v>
      </c>
      <c r="D335" s="373">
        <v>5570617.9999999991</v>
      </c>
      <c r="E335" s="328">
        <v>417796.34999999992</v>
      </c>
      <c r="F335" s="328">
        <f>E335+D335</f>
        <v>5988414.3499999987</v>
      </c>
      <c r="G335" s="373">
        <v>5570617.9999999991</v>
      </c>
      <c r="H335" s="373">
        <v>0</v>
      </c>
      <c r="I335" s="328">
        <v>417796.34999999992</v>
      </c>
      <c r="J335" s="328">
        <f>J334+F335-G335-I335</f>
        <v>4289587.2400000012</v>
      </c>
      <c r="K335" s="328">
        <f t="shared" si="54"/>
        <v>-45565355.669999994</v>
      </c>
    </row>
    <row r="336" spans="1:11" ht="13" x14ac:dyDescent="0.3">
      <c r="A336" s="321">
        <f t="shared" si="51"/>
        <v>260</v>
      </c>
      <c r="B336" s="104" t="s">
        <v>43</v>
      </c>
      <c r="C336" s="371">
        <v>2021</v>
      </c>
      <c r="D336" s="373">
        <v>5410617.9999999991</v>
      </c>
      <c r="E336" s="328">
        <v>405796.34999999992</v>
      </c>
      <c r="F336" s="328">
        <f>E336+D336</f>
        <v>5816414.3499999987</v>
      </c>
      <c r="G336" s="373">
        <v>5410617.9999999991</v>
      </c>
      <c r="H336" s="373">
        <v>0</v>
      </c>
      <c r="I336" s="328">
        <v>405796.34999999992</v>
      </c>
      <c r="J336" s="328">
        <f>J335+F336-G336-I336</f>
        <v>4289587.2400000012</v>
      </c>
      <c r="K336" s="328">
        <f t="shared" si="54"/>
        <v>-45565355.669999994</v>
      </c>
    </row>
    <row r="337" spans="1:11" ht="13" x14ac:dyDescent="0.3">
      <c r="A337" s="321">
        <f t="shared" si="51"/>
        <v>261</v>
      </c>
      <c r="B337" s="104" t="s">
        <v>27</v>
      </c>
      <c r="C337" s="371">
        <v>2021</v>
      </c>
      <c r="D337" s="373">
        <v>6149090.9999999991</v>
      </c>
      <c r="E337" s="328">
        <v>461181.8249999999</v>
      </c>
      <c r="F337" s="328">
        <f>E337+D337</f>
        <v>6610272.8249999993</v>
      </c>
      <c r="G337" s="373">
        <v>6149090.9999999991</v>
      </c>
      <c r="H337" s="373">
        <v>0</v>
      </c>
      <c r="I337" s="328">
        <v>461181.8249999999</v>
      </c>
      <c r="J337" s="328">
        <f>J336+F337-G337-I337</f>
        <v>4289587.2400000021</v>
      </c>
      <c r="K337" s="335">
        <f t="shared" si="54"/>
        <v>-45565355.669999994</v>
      </c>
    </row>
    <row r="338" spans="1:11" ht="13" x14ac:dyDescent="0.3">
      <c r="A338" s="321">
        <f t="shared" si="51"/>
        <v>262</v>
      </c>
      <c r="C338" s="396" t="s">
        <v>880</v>
      </c>
      <c r="K338" s="397">
        <f>AVERAGE(K325:K337)</f>
        <v>50282477.689230785</v>
      </c>
    </row>
    <row r="339" spans="1:11" ht="13" x14ac:dyDescent="0.3">
      <c r="A339" s="321"/>
      <c r="C339" s="396"/>
      <c r="K339" s="397"/>
    </row>
    <row r="340" spans="1:11" ht="13" x14ac:dyDescent="0.3">
      <c r="B340" s="399" t="s">
        <v>901</v>
      </c>
      <c r="D340" s="429" t="s">
        <v>862</v>
      </c>
      <c r="E340" s="429"/>
    </row>
    <row r="341" spans="1:11" ht="13" x14ac:dyDescent="0.3">
      <c r="D341" s="363"/>
      <c r="E341" s="363"/>
      <c r="F341" s="363"/>
      <c r="G341" s="321" t="str">
        <f>G51</f>
        <v>Unloaded</v>
      </c>
      <c r="H341" s="363"/>
      <c r="I341" s="363"/>
    </row>
    <row r="342" spans="1:11" ht="13" x14ac:dyDescent="0.3">
      <c r="A342" s="321"/>
      <c r="B342" s="321"/>
      <c r="C342" s="321"/>
      <c r="D342" s="321" t="str">
        <f>D$52</f>
        <v>Forecast</v>
      </c>
      <c r="E342" s="321" t="str">
        <f t="shared" ref="E342:J342" si="55">E$52</f>
        <v>Corporate</v>
      </c>
      <c r="F342" s="321" t="str">
        <f t="shared" si="55"/>
        <v xml:space="preserve">Total </v>
      </c>
      <c r="G342" s="321" t="str">
        <f>G52</f>
        <v>Total</v>
      </c>
      <c r="H342" s="321" t="str">
        <f t="shared" si="55"/>
        <v>Prior Period</v>
      </c>
      <c r="I342" s="321" t="str">
        <f t="shared" si="55"/>
        <v>Over Heads</v>
      </c>
      <c r="J342" s="321" t="str">
        <f t="shared" si="55"/>
        <v>Forecast</v>
      </c>
      <c r="K342" s="321" t="str">
        <f>K$52</f>
        <v>Forecast Period</v>
      </c>
    </row>
    <row r="343" spans="1:11" ht="13" x14ac:dyDescent="0.3">
      <c r="A343" s="325" t="s">
        <v>22</v>
      </c>
      <c r="B343" s="94" t="s">
        <v>23</v>
      </c>
      <c r="C343" s="94" t="s">
        <v>24</v>
      </c>
      <c r="D343" s="326" t="str">
        <f>D$53</f>
        <v>Expenditures</v>
      </c>
      <c r="E343" s="326" t="str">
        <f t="shared" ref="E343:J343" si="56">E$53</f>
        <v>Overheads</v>
      </c>
      <c r="F343" s="326" t="str">
        <f t="shared" si="56"/>
        <v>CWIP Exp</v>
      </c>
      <c r="G343" s="326" t="str">
        <f>G53</f>
        <v>Plant Adds</v>
      </c>
      <c r="H343" s="326" t="str">
        <f t="shared" si="56"/>
        <v>CWIP Closed</v>
      </c>
      <c r="I343" s="326" t="str">
        <f t="shared" si="56"/>
        <v>Closed to PIS</v>
      </c>
      <c r="J343" s="326" t="str">
        <f t="shared" si="56"/>
        <v>Period CWIP</v>
      </c>
      <c r="K343" s="326" t="str">
        <f>K$53</f>
        <v>Incremental CWIP</v>
      </c>
    </row>
    <row r="344" spans="1:11" ht="13" x14ac:dyDescent="0.3">
      <c r="A344" s="321">
        <f>A338+1</f>
        <v>263</v>
      </c>
      <c r="B344" s="104" t="s">
        <v>27</v>
      </c>
      <c r="C344" s="371">
        <v>2019</v>
      </c>
      <c r="D344" s="356" t="s">
        <v>28</v>
      </c>
      <c r="E344" s="356" t="s">
        <v>28</v>
      </c>
      <c r="F344" s="356" t="s">
        <v>28</v>
      </c>
      <c r="G344" s="356" t="s">
        <v>28</v>
      </c>
      <c r="H344" s="356" t="s">
        <v>28</v>
      </c>
      <c r="I344" s="356" t="s">
        <v>28</v>
      </c>
      <c r="J344" s="328">
        <f>G45</f>
        <v>22001340.420866624</v>
      </c>
      <c r="K344" s="356" t="s">
        <v>28</v>
      </c>
    </row>
    <row r="345" spans="1:11" ht="13" x14ac:dyDescent="0.3">
      <c r="A345" s="321">
        <f>A344+1</f>
        <v>264</v>
      </c>
      <c r="B345" s="104" t="s">
        <v>30</v>
      </c>
      <c r="C345" s="371">
        <v>2020</v>
      </c>
      <c r="D345" s="373">
        <v>129945.71200000001</v>
      </c>
      <c r="E345" s="328">
        <v>9745.9284000000007</v>
      </c>
      <c r="F345" s="328">
        <f>E345+D345</f>
        <v>139691.6404</v>
      </c>
      <c r="G345" s="373">
        <v>0</v>
      </c>
      <c r="H345" s="373">
        <v>0</v>
      </c>
      <c r="I345" s="328">
        <v>0</v>
      </c>
      <c r="J345" s="328">
        <f>J344+F345-G345-I345</f>
        <v>22141032.061266623</v>
      </c>
      <c r="K345" s="328">
        <f>J345-$J$344</f>
        <v>139691.64039999992</v>
      </c>
    </row>
    <row r="346" spans="1:11" ht="13" x14ac:dyDescent="0.3">
      <c r="A346" s="321">
        <f t="shared" ref="A346:A369" si="57">A345+1</f>
        <v>265</v>
      </c>
      <c r="B346" s="104" t="s">
        <v>32</v>
      </c>
      <c r="C346" s="371">
        <v>2020</v>
      </c>
      <c r="D346" s="373">
        <v>43690.596000000005</v>
      </c>
      <c r="E346" s="328">
        <v>3276.7947000000004</v>
      </c>
      <c r="F346" s="328">
        <f t="shared" ref="F346:F365" si="58">E346+D346</f>
        <v>46967.390700000004</v>
      </c>
      <c r="G346" s="373">
        <v>0</v>
      </c>
      <c r="H346" s="373">
        <v>0</v>
      </c>
      <c r="I346" s="328">
        <v>0</v>
      </c>
      <c r="J346" s="328">
        <f t="shared" ref="J346:J365" si="59">J345+F346-G346-I346</f>
        <v>22187999.451966625</v>
      </c>
      <c r="K346" s="328">
        <f t="shared" ref="K346:K368" si="60">J346-$J$344</f>
        <v>186659.03110000119</v>
      </c>
    </row>
    <row r="347" spans="1:11" ht="13" x14ac:dyDescent="0.3">
      <c r="A347" s="321">
        <f t="shared" si="57"/>
        <v>266</v>
      </c>
      <c r="B347" s="104" t="s">
        <v>34</v>
      </c>
      <c r="C347" s="371">
        <v>2020</v>
      </c>
      <c r="D347" s="373">
        <v>85275.760000000009</v>
      </c>
      <c r="E347" s="328">
        <v>6395.6820000000007</v>
      </c>
      <c r="F347" s="328">
        <f t="shared" si="58"/>
        <v>91671.44200000001</v>
      </c>
      <c r="G347" s="373">
        <v>0</v>
      </c>
      <c r="H347" s="373">
        <v>0</v>
      </c>
      <c r="I347" s="328">
        <v>0</v>
      </c>
      <c r="J347" s="328">
        <f t="shared" si="59"/>
        <v>22279670.893966626</v>
      </c>
      <c r="K347" s="328">
        <f t="shared" si="60"/>
        <v>278330.47310000286</v>
      </c>
    </row>
    <row r="348" spans="1:11" ht="13" x14ac:dyDescent="0.3">
      <c r="A348" s="321">
        <f t="shared" si="57"/>
        <v>267</v>
      </c>
      <c r="B348" s="104" t="s">
        <v>36</v>
      </c>
      <c r="C348" s="371">
        <v>2020</v>
      </c>
      <c r="D348" s="373">
        <v>131000</v>
      </c>
      <c r="E348" s="328">
        <v>9825</v>
      </c>
      <c r="F348" s="328">
        <f t="shared" si="58"/>
        <v>140825</v>
      </c>
      <c r="G348" s="373">
        <v>0</v>
      </c>
      <c r="H348" s="373">
        <v>0</v>
      </c>
      <c r="I348" s="328">
        <v>0</v>
      </c>
      <c r="J348" s="328">
        <f t="shared" si="59"/>
        <v>22420495.893966626</v>
      </c>
      <c r="K348" s="328">
        <f t="shared" si="60"/>
        <v>419155.47310000286</v>
      </c>
    </row>
    <row r="349" spans="1:11" ht="13" x14ac:dyDescent="0.3">
      <c r="A349" s="321">
        <f t="shared" si="57"/>
        <v>268</v>
      </c>
      <c r="B349" s="104" t="s">
        <v>37</v>
      </c>
      <c r="C349" s="371">
        <v>2020</v>
      </c>
      <c r="D349" s="373">
        <v>49654.764000000003</v>
      </c>
      <c r="E349" s="328">
        <v>3724.1073000000001</v>
      </c>
      <c r="F349" s="328">
        <f t="shared" si="58"/>
        <v>53378.871300000006</v>
      </c>
      <c r="G349" s="373">
        <v>0</v>
      </c>
      <c r="H349" s="373">
        <v>0</v>
      </c>
      <c r="I349" s="328">
        <v>0</v>
      </c>
      <c r="J349" s="328">
        <f t="shared" si="59"/>
        <v>22473874.765266627</v>
      </c>
      <c r="K349" s="328">
        <f t="shared" si="60"/>
        <v>472534.34440000355</v>
      </c>
    </row>
    <row r="350" spans="1:11" ht="13" x14ac:dyDescent="0.3">
      <c r="A350" s="321">
        <f t="shared" si="57"/>
        <v>269</v>
      </c>
      <c r="B350" s="104" t="s">
        <v>471</v>
      </c>
      <c r="C350" s="371">
        <v>2020</v>
      </c>
      <c r="D350" s="373">
        <v>49654.764000000003</v>
      </c>
      <c r="E350" s="328">
        <v>3724.1073000000001</v>
      </c>
      <c r="F350" s="328">
        <f t="shared" si="58"/>
        <v>53378.871300000006</v>
      </c>
      <c r="G350" s="373">
        <v>0</v>
      </c>
      <c r="H350" s="373">
        <v>0</v>
      </c>
      <c r="I350" s="328">
        <v>0</v>
      </c>
      <c r="J350" s="328">
        <f t="shared" si="59"/>
        <v>22527253.636566628</v>
      </c>
      <c r="K350" s="328">
        <f t="shared" si="60"/>
        <v>525913.21570000425</v>
      </c>
    </row>
    <row r="351" spans="1:11" ht="13" x14ac:dyDescent="0.3">
      <c r="A351" s="321">
        <f t="shared" si="57"/>
        <v>270</v>
      </c>
      <c r="B351" s="104" t="s">
        <v>39</v>
      </c>
      <c r="C351" s="371">
        <v>2020</v>
      </c>
      <c r="D351" s="373">
        <v>49654.764000000003</v>
      </c>
      <c r="E351" s="328">
        <v>3724.1073000000001</v>
      </c>
      <c r="F351" s="328">
        <f t="shared" si="58"/>
        <v>53378.871300000006</v>
      </c>
      <c r="G351" s="373">
        <v>0</v>
      </c>
      <c r="H351" s="373">
        <v>0</v>
      </c>
      <c r="I351" s="328">
        <v>0</v>
      </c>
      <c r="J351" s="328">
        <f t="shared" si="59"/>
        <v>22580632.507866628</v>
      </c>
      <c r="K351" s="328">
        <f t="shared" si="60"/>
        <v>579292.08700000495</v>
      </c>
    </row>
    <row r="352" spans="1:11" ht="13" x14ac:dyDescent="0.3">
      <c r="A352" s="321">
        <f t="shared" si="57"/>
        <v>271</v>
      </c>
      <c r="B352" s="104" t="s">
        <v>40</v>
      </c>
      <c r="C352" s="371">
        <v>2020</v>
      </c>
      <c r="D352" s="373">
        <v>33438.536</v>
      </c>
      <c r="E352" s="328">
        <v>2507.8901999999998</v>
      </c>
      <c r="F352" s="328">
        <f t="shared" si="58"/>
        <v>35946.426200000002</v>
      </c>
      <c r="G352" s="373">
        <v>0</v>
      </c>
      <c r="H352" s="373">
        <v>0</v>
      </c>
      <c r="I352" s="328">
        <v>0</v>
      </c>
      <c r="J352" s="328">
        <f t="shared" si="59"/>
        <v>22616578.934066627</v>
      </c>
      <c r="K352" s="328">
        <f t="shared" si="60"/>
        <v>615238.51320000365</v>
      </c>
    </row>
    <row r="353" spans="1:11" ht="13" x14ac:dyDescent="0.3">
      <c r="A353" s="321">
        <f t="shared" si="57"/>
        <v>272</v>
      </c>
      <c r="B353" s="104" t="s">
        <v>41</v>
      </c>
      <c r="C353" s="371">
        <v>2020</v>
      </c>
      <c r="D353" s="373">
        <v>28694.764000000003</v>
      </c>
      <c r="E353" s="328">
        <v>2152.1073000000001</v>
      </c>
      <c r="F353" s="328">
        <f t="shared" si="58"/>
        <v>30846.871300000003</v>
      </c>
      <c r="G353" s="373">
        <v>0</v>
      </c>
      <c r="H353" s="373">
        <v>0</v>
      </c>
      <c r="I353" s="328">
        <v>0</v>
      </c>
      <c r="J353" s="328">
        <f t="shared" si="59"/>
        <v>22647425.805366628</v>
      </c>
      <c r="K353" s="328">
        <f t="shared" si="60"/>
        <v>646085.38450000435</v>
      </c>
    </row>
    <row r="354" spans="1:11" ht="13" x14ac:dyDescent="0.3">
      <c r="A354" s="321">
        <f t="shared" si="57"/>
        <v>273</v>
      </c>
      <c r="B354" s="104" t="s">
        <v>42</v>
      </c>
      <c r="C354" s="371">
        <v>2020</v>
      </c>
      <c r="D354" s="373">
        <v>28694.764000000003</v>
      </c>
      <c r="E354" s="328">
        <v>2152.1073000000001</v>
      </c>
      <c r="F354" s="328">
        <f t="shared" si="58"/>
        <v>30846.871300000003</v>
      </c>
      <c r="G354" s="373">
        <v>0</v>
      </c>
      <c r="H354" s="373">
        <v>0</v>
      </c>
      <c r="I354" s="328">
        <v>0</v>
      </c>
      <c r="J354" s="328">
        <f t="shared" si="59"/>
        <v>22678272.676666629</v>
      </c>
      <c r="K354" s="328">
        <f t="shared" si="60"/>
        <v>676932.25580000505</v>
      </c>
    </row>
    <row r="355" spans="1:11" ht="13" x14ac:dyDescent="0.3">
      <c r="A355" s="321">
        <f t="shared" si="57"/>
        <v>274</v>
      </c>
      <c r="B355" s="104" t="s">
        <v>43</v>
      </c>
      <c r="C355" s="371">
        <v>2020</v>
      </c>
      <c r="D355" s="373">
        <v>23501.4</v>
      </c>
      <c r="E355" s="328">
        <v>1762.605</v>
      </c>
      <c r="F355" s="328">
        <f t="shared" si="58"/>
        <v>25264.005000000001</v>
      </c>
      <c r="G355" s="373">
        <v>0</v>
      </c>
      <c r="H355" s="373">
        <v>0</v>
      </c>
      <c r="I355" s="328">
        <v>0</v>
      </c>
      <c r="J355" s="328">
        <f t="shared" si="59"/>
        <v>22703536.681666628</v>
      </c>
      <c r="K355" s="328">
        <f t="shared" si="60"/>
        <v>702196.26080000401</v>
      </c>
    </row>
    <row r="356" spans="1:11" ht="13" x14ac:dyDescent="0.3">
      <c r="A356" s="321">
        <f t="shared" si="57"/>
        <v>275</v>
      </c>
      <c r="B356" s="104" t="s">
        <v>27</v>
      </c>
      <c r="C356" s="371">
        <v>2020</v>
      </c>
      <c r="D356" s="373">
        <v>26121.4</v>
      </c>
      <c r="E356" s="328">
        <v>1959.105</v>
      </c>
      <c r="F356" s="328">
        <f t="shared" si="58"/>
        <v>28080.505000000001</v>
      </c>
      <c r="G356" s="373">
        <v>405712.10000000003</v>
      </c>
      <c r="H356" s="373">
        <v>405712.10000000003</v>
      </c>
      <c r="I356" s="328">
        <v>0</v>
      </c>
      <c r="J356" s="328">
        <f t="shared" si="59"/>
        <v>22325905.086666625</v>
      </c>
      <c r="K356" s="328">
        <f t="shared" si="60"/>
        <v>324564.66580000147</v>
      </c>
    </row>
    <row r="357" spans="1:11" ht="13" x14ac:dyDescent="0.3">
      <c r="A357" s="321">
        <f t="shared" si="57"/>
        <v>276</v>
      </c>
      <c r="B357" s="104" t="s">
        <v>30</v>
      </c>
      <c r="C357" s="371">
        <v>2021</v>
      </c>
      <c r="D357" s="373">
        <v>78600.000000000015</v>
      </c>
      <c r="E357" s="328">
        <v>5895.0000000000009</v>
      </c>
      <c r="F357" s="328">
        <f t="shared" si="58"/>
        <v>84495.000000000015</v>
      </c>
      <c r="G357" s="373">
        <v>0</v>
      </c>
      <c r="H357" s="373">
        <v>0</v>
      </c>
      <c r="I357" s="328">
        <v>0</v>
      </c>
      <c r="J357" s="328">
        <f t="shared" si="59"/>
        <v>22410400.086666625</v>
      </c>
      <c r="K357" s="328">
        <f t="shared" si="60"/>
        <v>409059.66580000147</v>
      </c>
    </row>
    <row r="358" spans="1:11" ht="13" x14ac:dyDescent="0.3">
      <c r="A358" s="321">
        <f t="shared" si="57"/>
        <v>277</v>
      </c>
      <c r="B358" s="104" t="s">
        <v>32</v>
      </c>
      <c r="C358" s="371">
        <v>2021</v>
      </c>
      <c r="D358" s="373">
        <v>78600.000000000015</v>
      </c>
      <c r="E358" s="328">
        <v>5895.0000000000009</v>
      </c>
      <c r="F358" s="328">
        <f t="shared" si="58"/>
        <v>84495.000000000015</v>
      </c>
      <c r="G358" s="373">
        <v>0</v>
      </c>
      <c r="H358" s="373">
        <v>0</v>
      </c>
      <c r="I358" s="328">
        <v>0</v>
      </c>
      <c r="J358" s="328">
        <f t="shared" si="59"/>
        <v>22494895.086666625</v>
      </c>
      <c r="K358" s="328">
        <f t="shared" si="60"/>
        <v>493554.66580000147</v>
      </c>
    </row>
    <row r="359" spans="1:11" ht="13" x14ac:dyDescent="0.3">
      <c r="A359" s="321">
        <f t="shared" si="57"/>
        <v>278</v>
      </c>
      <c r="B359" s="104" t="s">
        <v>34</v>
      </c>
      <c r="C359" s="371">
        <v>2021</v>
      </c>
      <c r="D359" s="373">
        <v>78600.000000000015</v>
      </c>
      <c r="E359" s="328">
        <v>5895.0000000000009</v>
      </c>
      <c r="F359" s="328">
        <f t="shared" si="58"/>
        <v>84495.000000000015</v>
      </c>
      <c r="G359" s="373">
        <v>0</v>
      </c>
      <c r="H359" s="373">
        <v>0</v>
      </c>
      <c r="I359" s="328">
        <v>0</v>
      </c>
      <c r="J359" s="328">
        <f t="shared" si="59"/>
        <v>22579390.086666625</v>
      </c>
      <c r="K359" s="328">
        <f t="shared" si="60"/>
        <v>578049.66580000147</v>
      </c>
    </row>
    <row r="360" spans="1:11" ht="13" x14ac:dyDescent="0.3">
      <c r="A360" s="321">
        <f t="shared" si="57"/>
        <v>279</v>
      </c>
      <c r="B360" s="104" t="s">
        <v>36</v>
      </c>
      <c r="C360" s="371">
        <v>2021</v>
      </c>
      <c r="D360" s="373">
        <v>78600.000000000015</v>
      </c>
      <c r="E360" s="328">
        <v>5895.0000000000009</v>
      </c>
      <c r="F360" s="328">
        <f t="shared" si="58"/>
        <v>84495.000000000015</v>
      </c>
      <c r="G360" s="373">
        <v>0</v>
      </c>
      <c r="H360" s="373">
        <v>0</v>
      </c>
      <c r="I360" s="328">
        <v>0</v>
      </c>
      <c r="J360" s="328">
        <f t="shared" si="59"/>
        <v>22663885.086666625</v>
      </c>
      <c r="K360" s="328">
        <f t="shared" si="60"/>
        <v>662544.66580000147</v>
      </c>
    </row>
    <row r="361" spans="1:11" ht="13" x14ac:dyDescent="0.3">
      <c r="A361" s="321">
        <f t="shared" si="57"/>
        <v>280</v>
      </c>
      <c r="B361" s="104" t="s">
        <v>37</v>
      </c>
      <c r="C361" s="371">
        <v>2021</v>
      </c>
      <c r="D361" s="373">
        <v>78600.000000000015</v>
      </c>
      <c r="E361" s="328">
        <v>5895.0000000000009</v>
      </c>
      <c r="F361" s="328">
        <f t="shared" si="58"/>
        <v>84495.000000000015</v>
      </c>
      <c r="G361" s="373">
        <v>0</v>
      </c>
      <c r="H361" s="373">
        <v>0</v>
      </c>
      <c r="I361" s="328">
        <v>0</v>
      </c>
      <c r="J361" s="328">
        <f t="shared" si="59"/>
        <v>22748380.086666625</v>
      </c>
      <c r="K361" s="328">
        <f t="shared" si="60"/>
        <v>747039.66580000147</v>
      </c>
    </row>
    <row r="362" spans="1:11" ht="13" x14ac:dyDescent="0.3">
      <c r="A362" s="321">
        <f t="shared" si="57"/>
        <v>281</v>
      </c>
      <c r="B362" s="104" t="s">
        <v>471</v>
      </c>
      <c r="C362" s="371">
        <v>2021</v>
      </c>
      <c r="D362" s="373">
        <v>78600.000000000015</v>
      </c>
      <c r="E362" s="328">
        <v>5895.0000000000009</v>
      </c>
      <c r="F362" s="328">
        <f t="shared" si="58"/>
        <v>84495.000000000015</v>
      </c>
      <c r="G362" s="373">
        <v>0</v>
      </c>
      <c r="H362" s="373">
        <v>0</v>
      </c>
      <c r="I362" s="328">
        <v>0</v>
      </c>
      <c r="J362" s="328">
        <f t="shared" si="59"/>
        <v>22832875.086666625</v>
      </c>
      <c r="K362" s="328">
        <f t="shared" si="60"/>
        <v>831534.66580000147</v>
      </c>
    </row>
    <row r="363" spans="1:11" ht="13" x14ac:dyDescent="0.3">
      <c r="A363" s="321">
        <f t="shared" si="57"/>
        <v>282</v>
      </c>
      <c r="B363" s="104" t="s">
        <v>39</v>
      </c>
      <c r="C363" s="371">
        <v>2021</v>
      </c>
      <c r="D363" s="373">
        <v>78600.000000000015</v>
      </c>
      <c r="E363" s="328">
        <v>5895.0000000000009</v>
      </c>
      <c r="F363" s="328">
        <f t="shared" si="58"/>
        <v>84495.000000000015</v>
      </c>
      <c r="G363" s="373">
        <v>0</v>
      </c>
      <c r="H363" s="373">
        <v>0</v>
      </c>
      <c r="I363" s="328">
        <v>0</v>
      </c>
      <c r="J363" s="328">
        <f t="shared" si="59"/>
        <v>22917370.086666625</v>
      </c>
      <c r="K363" s="328">
        <f t="shared" si="60"/>
        <v>916029.66580000147</v>
      </c>
    </row>
    <row r="364" spans="1:11" ht="13" x14ac:dyDescent="0.3">
      <c r="A364" s="321">
        <f t="shared" si="57"/>
        <v>283</v>
      </c>
      <c r="B364" s="104" t="s">
        <v>40</v>
      </c>
      <c r="C364" s="371">
        <v>2021</v>
      </c>
      <c r="D364" s="373">
        <v>78600.000000000015</v>
      </c>
      <c r="E364" s="328">
        <v>5895.0000000000009</v>
      </c>
      <c r="F364" s="328">
        <f t="shared" si="58"/>
        <v>84495.000000000015</v>
      </c>
      <c r="G364" s="373">
        <v>0</v>
      </c>
      <c r="H364" s="373">
        <v>0</v>
      </c>
      <c r="I364" s="328">
        <v>0</v>
      </c>
      <c r="J364" s="328">
        <f t="shared" si="59"/>
        <v>23001865.086666625</v>
      </c>
      <c r="K364" s="328">
        <f t="shared" si="60"/>
        <v>1000524.6658000015</v>
      </c>
    </row>
    <row r="365" spans="1:11" ht="13" x14ac:dyDescent="0.3">
      <c r="A365" s="321">
        <f t="shared" si="57"/>
        <v>284</v>
      </c>
      <c r="B365" s="104" t="s">
        <v>41</v>
      </c>
      <c r="C365" s="371">
        <v>2021</v>
      </c>
      <c r="D365" s="373">
        <v>78600.000000000015</v>
      </c>
      <c r="E365" s="328">
        <v>5895.0000000000009</v>
      </c>
      <c r="F365" s="328">
        <f t="shared" si="58"/>
        <v>84495.000000000015</v>
      </c>
      <c r="G365" s="373">
        <v>0</v>
      </c>
      <c r="H365" s="373">
        <v>0</v>
      </c>
      <c r="I365" s="328">
        <v>0</v>
      </c>
      <c r="J365" s="328">
        <f t="shared" si="59"/>
        <v>23086360.086666625</v>
      </c>
      <c r="K365" s="328">
        <f t="shared" si="60"/>
        <v>1085019.6658000015</v>
      </c>
    </row>
    <row r="366" spans="1:11" ht="13" x14ac:dyDescent="0.3">
      <c r="A366" s="321">
        <f t="shared" si="57"/>
        <v>285</v>
      </c>
      <c r="B366" s="104" t="s">
        <v>42</v>
      </c>
      <c r="C366" s="371">
        <v>2021</v>
      </c>
      <c r="D366" s="373">
        <v>78600.000000000015</v>
      </c>
      <c r="E366" s="328">
        <v>5895.0000000000009</v>
      </c>
      <c r="F366" s="328">
        <f>E366+D366</f>
        <v>84495.000000000015</v>
      </c>
      <c r="G366" s="373">
        <v>0</v>
      </c>
      <c r="H366" s="373">
        <v>0</v>
      </c>
      <c r="I366" s="328">
        <v>0</v>
      </c>
      <c r="J366" s="328">
        <f>J365+F366-G366-I366</f>
        <v>23170855.086666625</v>
      </c>
      <c r="K366" s="328">
        <f t="shared" si="60"/>
        <v>1169514.6658000015</v>
      </c>
    </row>
    <row r="367" spans="1:11" ht="13" x14ac:dyDescent="0.3">
      <c r="A367" s="321">
        <f t="shared" si="57"/>
        <v>286</v>
      </c>
      <c r="B367" s="104" t="s">
        <v>43</v>
      </c>
      <c r="C367" s="371">
        <v>2021</v>
      </c>
      <c r="D367" s="373">
        <v>78600.000000000015</v>
      </c>
      <c r="E367" s="328">
        <v>5895.0000000000009</v>
      </c>
      <c r="F367" s="328">
        <f>E367+D367</f>
        <v>84495.000000000015</v>
      </c>
      <c r="G367" s="373">
        <v>0</v>
      </c>
      <c r="H367" s="373">
        <v>0</v>
      </c>
      <c r="I367" s="328">
        <v>0</v>
      </c>
      <c r="J367" s="328">
        <f>J366+F367-G367-I367</f>
        <v>23255350.086666625</v>
      </c>
      <c r="K367" s="328">
        <f t="shared" si="60"/>
        <v>1254009.6658000015</v>
      </c>
    </row>
    <row r="368" spans="1:11" ht="13" x14ac:dyDescent="0.3">
      <c r="A368" s="321">
        <f t="shared" si="57"/>
        <v>287</v>
      </c>
      <c r="B368" s="104" t="s">
        <v>27</v>
      </c>
      <c r="C368" s="371">
        <v>2021</v>
      </c>
      <c r="D368" s="373">
        <v>78600.000000000015</v>
      </c>
      <c r="E368" s="328">
        <v>5895.0000000000009</v>
      </c>
      <c r="F368" s="328">
        <f>E368+D368</f>
        <v>84495.000000000015</v>
      </c>
      <c r="G368" s="373">
        <v>0</v>
      </c>
      <c r="H368" s="373">
        <v>0</v>
      </c>
      <c r="I368" s="328">
        <v>0</v>
      </c>
      <c r="J368" s="328">
        <f>J367+F368-G368-I368</f>
        <v>23339845.086666625</v>
      </c>
      <c r="K368" s="335">
        <f t="shared" si="60"/>
        <v>1338504.6658000015</v>
      </c>
    </row>
    <row r="369" spans="1:11" ht="13" x14ac:dyDescent="0.3">
      <c r="A369" s="321">
        <f t="shared" si="57"/>
        <v>288</v>
      </c>
      <c r="C369" s="396" t="s">
        <v>880</v>
      </c>
      <c r="K369" s="397">
        <f>AVERAGE(K356:K368)</f>
        <v>831534.66580000147</v>
      </c>
    </row>
    <row r="370" spans="1:11" ht="13" x14ac:dyDescent="0.3">
      <c r="A370" s="321"/>
      <c r="C370" s="396"/>
      <c r="K370" s="397"/>
    </row>
    <row r="371" spans="1:11" ht="13" x14ac:dyDescent="0.3">
      <c r="B371" s="399" t="s">
        <v>902</v>
      </c>
      <c r="D371" s="429" t="s">
        <v>903</v>
      </c>
      <c r="E371" s="429"/>
      <c r="F371" s="430"/>
      <c r="G371" s="430"/>
    </row>
    <row r="372" spans="1:11" ht="13" x14ac:dyDescent="0.3">
      <c r="A372" s="326"/>
      <c r="B372" s="326"/>
      <c r="C372" s="326"/>
      <c r="D372" s="326" t="s">
        <v>12</v>
      </c>
      <c r="E372" s="326" t="s">
        <v>343</v>
      </c>
      <c r="F372" s="326" t="s">
        <v>361</v>
      </c>
      <c r="G372" s="326" t="s">
        <v>13</v>
      </c>
      <c r="H372" s="326" t="s">
        <v>362</v>
      </c>
      <c r="I372" s="326" t="s">
        <v>363</v>
      </c>
      <c r="J372" s="326" t="s">
        <v>364</v>
      </c>
      <c r="K372" s="326" t="s">
        <v>451</v>
      </c>
    </row>
    <row r="373" spans="1:11" ht="25.5" x14ac:dyDescent="0.3">
      <c r="D373" s="363"/>
      <c r="E373" s="400" t="s">
        <v>883</v>
      </c>
      <c r="F373" s="356" t="s">
        <v>884</v>
      </c>
      <c r="G373" s="356"/>
      <c r="H373" s="363"/>
      <c r="I373" s="400" t="s">
        <v>885</v>
      </c>
      <c r="J373" s="400" t="s">
        <v>886</v>
      </c>
      <c r="K373" s="400" t="s">
        <v>887</v>
      </c>
    </row>
    <row r="374" spans="1:11" ht="13" x14ac:dyDescent="0.3">
      <c r="D374" s="363"/>
      <c r="E374" s="400"/>
      <c r="F374" s="356"/>
      <c r="G374" s="351" t="str">
        <f>G51</f>
        <v>Unloaded</v>
      </c>
      <c r="H374" s="363"/>
      <c r="I374" s="400"/>
      <c r="J374" s="400"/>
      <c r="K374" s="400"/>
    </row>
    <row r="375" spans="1:11" ht="13" x14ac:dyDescent="0.3">
      <c r="A375" s="321"/>
      <c r="B375" s="321"/>
      <c r="C375" s="321"/>
      <c r="D375" s="321" t="str">
        <f>D$52</f>
        <v>Forecast</v>
      </c>
      <c r="E375" s="321" t="str">
        <f t="shared" ref="E375:J375" si="61">E$52</f>
        <v>Corporate</v>
      </c>
      <c r="F375" s="321" t="str">
        <f t="shared" si="61"/>
        <v xml:space="preserve">Total </v>
      </c>
      <c r="G375" s="351" t="str">
        <f>G52</f>
        <v>Total</v>
      </c>
      <c r="H375" s="321" t="str">
        <f t="shared" si="61"/>
        <v>Prior Period</v>
      </c>
      <c r="I375" s="321" t="str">
        <f t="shared" si="61"/>
        <v>Over Heads</v>
      </c>
      <c r="J375" s="321" t="str">
        <f t="shared" si="61"/>
        <v>Forecast</v>
      </c>
      <c r="K375" s="321" t="str">
        <f>K$52</f>
        <v>Forecast Period</v>
      </c>
    </row>
    <row r="376" spans="1:11" ht="13" x14ac:dyDescent="0.3">
      <c r="A376" s="325" t="s">
        <v>22</v>
      </c>
      <c r="B376" s="94" t="s">
        <v>23</v>
      </c>
      <c r="C376" s="94" t="s">
        <v>24</v>
      </c>
      <c r="D376" s="326" t="str">
        <f>D$53</f>
        <v>Expenditures</v>
      </c>
      <c r="E376" s="326" t="str">
        <f t="shared" ref="E376:J376" si="62">E$53</f>
        <v>Overheads</v>
      </c>
      <c r="F376" s="326" t="str">
        <f t="shared" si="62"/>
        <v>CWIP Exp</v>
      </c>
      <c r="G376" s="363" t="str">
        <f>G53</f>
        <v>Plant Adds</v>
      </c>
      <c r="H376" s="326" t="str">
        <f t="shared" si="62"/>
        <v>CWIP Closed</v>
      </c>
      <c r="I376" s="326" t="str">
        <f t="shared" si="62"/>
        <v>Closed to PIS</v>
      </c>
      <c r="J376" s="326" t="str">
        <f t="shared" si="62"/>
        <v>Period CWIP</v>
      </c>
      <c r="K376" s="326" t="str">
        <f>K$53</f>
        <v>Incremental CWIP</v>
      </c>
    </row>
    <row r="377" spans="1:11" ht="13" x14ac:dyDescent="0.3">
      <c r="A377" s="321">
        <f>A369+1</f>
        <v>289</v>
      </c>
      <c r="B377" s="104" t="s">
        <v>27</v>
      </c>
      <c r="C377" s="371">
        <v>2019</v>
      </c>
      <c r="D377" s="356" t="s">
        <v>28</v>
      </c>
      <c r="E377" s="356" t="s">
        <v>28</v>
      </c>
      <c r="F377" s="356" t="s">
        <v>28</v>
      </c>
      <c r="G377" s="356" t="s">
        <v>28</v>
      </c>
      <c r="H377" s="356" t="s">
        <v>28</v>
      </c>
      <c r="I377" s="356" t="s">
        <v>28</v>
      </c>
      <c r="J377" s="328">
        <v>0</v>
      </c>
      <c r="K377" s="356" t="s">
        <v>28</v>
      </c>
    </row>
    <row r="378" spans="1:11" ht="13" x14ac:dyDescent="0.3">
      <c r="A378" s="321">
        <f>A377+1</f>
        <v>290</v>
      </c>
      <c r="B378" s="104" t="s">
        <v>30</v>
      </c>
      <c r="C378" s="371">
        <v>2020</v>
      </c>
      <c r="D378" s="373">
        <v>1661503</v>
      </c>
      <c r="E378" s="328">
        <v>124612.72499999999</v>
      </c>
      <c r="F378" s="328">
        <f>E378+D378</f>
        <v>1786115.7250000001</v>
      </c>
      <c r="G378" s="373">
        <v>0</v>
      </c>
      <c r="H378" s="373">
        <v>0</v>
      </c>
      <c r="I378" s="328">
        <v>0</v>
      </c>
      <c r="J378" s="328">
        <f>J377+F378-G378-I378</f>
        <v>1786115.7250000001</v>
      </c>
      <c r="K378" s="328">
        <f>J378-$J$377</f>
        <v>1786115.7250000001</v>
      </c>
    </row>
    <row r="379" spans="1:11" ht="13" x14ac:dyDescent="0.3">
      <c r="A379" s="321">
        <f t="shared" ref="A379:A402" si="63">A378+1</f>
        <v>291</v>
      </c>
      <c r="B379" s="104" t="s">
        <v>32</v>
      </c>
      <c r="C379" s="371">
        <v>2020</v>
      </c>
      <c r="D379" s="373">
        <v>1061915</v>
      </c>
      <c r="E379" s="328">
        <v>79643.625</v>
      </c>
      <c r="F379" s="328">
        <f t="shared" ref="F379:F398" si="64">E379+D379</f>
        <v>1141558.625</v>
      </c>
      <c r="G379" s="373">
        <v>0</v>
      </c>
      <c r="H379" s="373">
        <v>0</v>
      </c>
      <c r="I379" s="328">
        <v>0</v>
      </c>
      <c r="J379" s="328">
        <f t="shared" ref="J379:J398" si="65">J378+F379-G379-I379</f>
        <v>2927674.35</v>
      </c>
      <c r="K379" s="328">
        <f t="shared" ref="K379:K401" si="66">J379-$J$377</f>
        <v>2927674.35</v>
      </c>
    </row>
    <row r="380" spans="1:11" ht="13" x14ac:dyDescent="0.3">
      <c r="A380" s="321">
        <f t="shared" si="63"/>
        <v>292</v>
      </c>
      <c r="B380" s="104" t="s">
        <v>34</v>
      </c>
      <c r="C380" s="371">
        <v>2020</v>
      </c>
      <c r="D380" s="373">
        <v>670728</v>
      </c>
      <c r="E380" s="328">
        <v>50304.6</v>
      </c>
      <c r="F380" s="328">
        <f t="shared" si="64"/>
        <v>721032.6</v>
      </c>
      <c r="G380" s="373">
        <v>0</v>
      </c>
      <c r="H380" s="373">
        <v>0</v>
      </c>
      <c r="I380" s="328">
        <v>0</v>
      </c>
      <c r="J380" s="328">
        <f t="shared" si="65"/>
        <v>3648706.95</v>
      </c>
      <c r="K380" s="328">
        <f t="shared" si="66"/>
        <v>3648706.95</v>
      </c>
    </row>
    <row r="381" spans="1:11" ht="13" x14ac:dyDescent="0.3">
      <c r="A381" s="321">
        <f t="shared" si="63"/>
        <v>293</v>
      </c>
      <c r="B381" s="104" t="s">
        <v>36</v>
      </c>
      <c r="C381" s="371">
        <v>2020</v>
      </c>
      <c r="D381" s="373">
        <v>2266628</v>
      </c>
      <c r="E381" s="328">
        <v>169997.1</v>
      </c>
      <c r="F381" s="328">
        <f t="shared" si="64"/>
        <v>2436625.1</v>
      </c>
      <c r="G381" s="373">
        <v>0</v>
      </c>
      <c r="H381" s="373">
        <v>0</v>
      </c>
      <c r="I381" s="328">
        <v>0</v>
      </c>
      <c r="J381" s="328">
        <f t="shared" si="65"/>
        <v>6085332.0500000007</v>
      </c>
      <c r="K381" s="328">
        <f t="shared" si="66"/>
        <v>6085332.0500000007</v>
      </c>
    </row>
    <row r="382" spans="1:11" ht="13" x14ac:dyDescent="0.3">
      <c r="A382" s="321">
        <f t="shared" si="63"/>
        <v>294</v>
      </c>
      <c r="B382" s="104" t="s">
        <v>37</v>
      </c>
      <c r="C382" s="371">
        <v>2020</v>
      </c>
      <c r="D382" s="373">
        <v>2758756.9999999995</v>
      </c>
      <c r="E382" s="328">
        <v>206906.77499999997</v>
      </c>
      <c r="F382" s="328">
        <f t="shared" si="64"/>
        <v>2965663.7749999994</v>
      </c>
      <c r="G382" s="373">
        <v>0</v>
      </c>
      <c r="H382" s="373">
        <v>0</v>
      </c>
      <c r="I382" s="328">
        <v>0</v>
      </c>
      <c r="J382" s="328">
        <f t="shared" si="65"/>
        <v>9050995.8249999993</v>
      </c>
      <c r="K382" s="328">
        <f t="shared" si="66"/>
        <v>9050995.8249999993</v>
      </c>
    </row>
    <row r="383" spans="1:11" ht="13" x14ac:dyDescent="0.3">
      <c r="A383" s="321">
        <f t="shared" si="63"/>
        <v>295</v>
      </c>
      <c r="B383" s="104" t="s">
        <v>471</v>
      </c>
      <c r="C383" s="371">
        <v>2020</v>
      </c>
      <c r="D383" s="373">
        <v>2092027</v>
      </c>
      <c r="E383" s="328">
        <v>156902.02499999999</v>
      </c>
      <c r="F383" s="328">
        <f t="shared" si="64"/>
        <v>2248929.0249999999</v>
      </c>
      <c r="G383" s="373">
        <v>0</v>
      </c>
      <c r="H383" s="373">
        <v>0</v>
      </c>
      <c r="I383" s="328">
        <v>0</v>
      </c>
      <c r="J383" s="328">
        <f t="shared" si="65"/>
        <v>11299924.85</v>
      </c>
      <c r="K383" s="328">
        <f t="shared" si="66"/>
        <v>11299924.85</v>
      </c>
    </row>
    <row r="384" spans="1:11" ht="13" x14ac:dyDescent="0.3">
      <c r="A384" s="321">
        <f t="shared" si="63"/>
        <v>296</v>
      </c>
      <c r="B384" s="104" t="s">
        <v>39</v>
      </c>
      <c r="C384" s="371">
        <v>2020</v>
      </c>
      <c r="D384" s="373">
        <v>4568940.0000000009</v>
      </c>
      <c r="E384" s="328">
        <v>342670.50000000006</v>
      </c>
      <c r="F384" s="328">
        <f t="shared" si="64"/>
        <v>4911610.5000000009</v>
      </c>
      <c r="G384" s="373">
        <v>0</v>
      </c>
      <c r="H384" s="373">
        <v>0</v>
      </c>
      <c r="I384" s="328">
        <v>0</v>
      </c>
      <c r="J384" s="328">
        <f t="shared" si="65"/>
        <v>16211535.350000001</v>
      </c>
      <c r="K384" s="328">
        <f t="shared" si="66"/>
        <v>16211535.350000001</v>
      </c>
    </row>
    <row r="385" spans="1:11" ht="13" x14ac:dyDescent="0.3">
      <c r="A385" s="321">
        <f t="shared" si="63"/>
        <v>297</v>
      </c>
      <c r="B385" s="104" t="s">
        <v>40</v>
      </c>
      <c r="C385" s="371">
        <v>2020</v>
      </c>
      <c r="D385" s="373">
        <v>6102128.0000000009</v>
      </c>
      <c r="E385" s="328">
        <v>457659.60000000003</v>
      </c>
      <c r="F385" s="328">
        <f t="shared" si="64"/>
        <v>6559787.6000000006</v>
      </c>
      <c r="G385" s="373">
        <v>0</v>
      </c>
      <c r="H385" s="373">
        <v>0</v>
      </c>
      <c r="I385" s="328">
        <v>0</v>
      </c>
      <c r="J385" s="328">
        <f t="shared" si="65"/>
        <v>22771322.950000003</v>
      </c>
      <c r="K385" s="328">
        <f t="shared" si="66"/>
        <v>22771322.950000003</v>
      </c>
    </row>
    <row r="386" spans="1:11" ht="13" x14ac:dyDescent="0.3">
      <c r="A386" s="321">
        <f t="shared" si="63"/>
        <v>298</v>
      </c>
      <c r="B386" s="104" t="s">
        <v>41</v>
      </c>
      <c r="C386" s="371">
        <v>2020</v>
      </c>
      <c r="D386" s="373">
        <v>1871455</v>
      </c>
      <c r="E386" s="328">
        <v>140359.125</v>
      </c>
      <c r="F386" s="328">
        <f t="shared" si="64"/>
        <v>2011814.125</v>
      </c>
      <c r="G386" s="373">
        <v>0</v>
      </c>
      <c r="H386" s="373">
        <v>0</v>
      </c>
      <c r="I386" s="328">
        <v>0</v>
      </c>
      <c r="J386" s="328">
        <f t="shared" si="65"/>
        <v>24783137.075000003</v>
      </c>
      <c r="K386" s="328">
        <f t="shared" si="66"/>
        <v>24783137.075000003</v>
      </c>
    </row>
    <row r="387" spans="1:11" ht="13" x14ac:dyDescent="0.3">
      <c r="A387" s="321">
        <f t="shared" si="63"/>
        <v>299</v>
      </c>
      <c r="B387" s="104" t="s">
        <v>42</v>
      </c>
      <c r="C387" s="371">
        <v>2020</v>
      </c>
      <c r="D387" s="373">
        <v>5341555.0000000009</v>
      </c>
      <c r="E387" s="328">
        <v>400616.62500000006</v>
      </c>
      <c r="F387" s="328">
        <f t="shared" si="64"/>
        <v>5742171.6250000009</v>
      </c>
      <c r="G387" s="373">
        <v>20943698.879999995</v>
      </c>
      <c r="H387" s="373">
        <v>17136385.879999999</v>
      </c>
      <c r="I387" s="328">
        <v>285548.47499999969</v>
      </c>
      <c r="J387" s="328">
        <f t="shared" si="65"/>
        <v>9296061.3450000081</v>
      </c>
      <c r="K387" s="328">
        <f t="shared" si="66"/>
        <v>9296061.3450000081</v>
      </c>
    </row>
    <row r="388" spans="1:11" ht="13" x14ac:dyDescent="0.3">
      <c r="A388" s="321">
        <f t="shared" si="63"/>
        <v>300</v>
      </c>
      <c r="B388" s="104" t="s">
        <v>43</v>
      </c>
      <c r="C388" s="371">
        <v>2020</v>
      </c>
      <c r="D388" s="373">
        <v>2638971.9999999995</v>
      </c>
      <c r="E388" s="328">
        <v>197922.89999999997</v>
      </c>
      <c r="F388" s="328">
        <f t="shared" si="64"/>
        <v>2836894.8999999994</v>
      </c>
      <c r="G388" s="373">
        <v>268000</v>
      </c>
      <c r="H388" s="373">
        <v>0</v>
      </c>
      <c r="I388" s="328">
        <v>20100</v>
      </c>
      <c r="J388" s="328">
        <f t="shared" si="65"/>
        <v>11844856.245000008</v>
      </c>
      <c r="K388" s="328">
        <f t="shared" si="66"/>
        <v>11844856.245000008</v>
      </c>
    </row>
    <row r="389" spans="1:11" ht="13" x14ac:dyDescent="0.3">
      <c r="A389" s="321">
        <f t="shared" si="63"/>
        <v>301</v>
      </c>
      <c r="B389" s="104" t="s">
        <v>27</v>
      </c>
      <c r="C389" s="371">
        <v>2020</v>
      </c>
      <c r="D389" s="373">
        <v>3979392</v>
      </c>
      <c r="E389" s="328">
        <v>298454.39999999997</v>
      </c>
      <c r="F389" s="328">
        <f t="shared" si="64"/>
        <v>4277846.4000000004</v>
      </c>
      <c r="G389" s="373">
        <v>303687</v>
      </c>
      <c r="H389" s="373">
        <v>0</v>
      </c>
      <c r="I389" s="328">
        <v>22776.524999999998</v>
      </c>
      <c r="J389" s="328">
        <f t="shared" si="65"/>
        <v>15796239.120000008</v>
      </c>
      <c r="K389" s="328">
        <f t="shared" si="66"/>
        <v>15796239.120000008</v>
      </c>
    </row>
    <row r="390" spans="1:11" ht="13" x14ac:dyDescent="0.3">
      <c r="A390" s="321">
        <f t="shared" si="63"/>
        <v>302</v>
      </c>
      <c r="B390" s="104" t="s">
        <v>30</v>
      </c>
      <c r="C390" s="371">
        <v>2021</v>
      </c>
      <c r="D390" s="373">
        <v>2465000</v>
      </c>
      <c r="E390" s="328">
        <v>184875</v>
      </c>
      <c r="F390" s="328">
        <f t="shared" si="64"/>
        <v>2649875</v>
      </c>
      <c r="G390" s="373">
        <v>635000</v>
      </c>
      <c r="H390" s="373">
        <v>0</v>
      </c>
      <c r="I390" s="328">
        <v>47625</v>
      </c>
      <c r="J390" s="328">
        <f t="shared" si="65"/>
        <v>17763489.120000008</v>
      </c>
      <c r="K390" s="328">
        <f t="shared" si="66"/>
        <v>17763489.120000008</v>
      </c>
    </row>
    <row r="391" spans="1:11" ht="13" x14ac:dyDescent="0.3">
      <c r="A391" s="321">
        <f t="shared" si="63"/>
        <v>303</v>
      </c>
      <c r="B391" s="104" t="s">
        <v>32</v>
      </c>
      <c r="C391" s="371">
        <v>2021</v>
      </c>
      <c r="D391" s="373">
        <v>2980000</v>
      </c>
      <c r="E391" s="328">
        <v>223500</v>
      </c>
      <c r="F391" s="328">
        <f t="shared" si="64"/>
        <v>3203500</v>
      </c>
      <c r="G391" s="373">
        <v>151000</v>
      </c>
      <c r="H391" s="373">
        <v>0</v>
      </c>
      <c r="I391" s="328">
        <v>11325</v>
      </c>
      <c r="J391" s="328">
        <f t="shared" si="65"/>
        <v>20804664.120000008</v>
      </c>
      <c r="K391" s="328">
        <f t="shared" si="66"/>
        <v>20804664.120000008</v>
      </c>
    </row>
    <row r="392" spans="1:11" ht="13" x14ac:dyDescent="0.3">
      <c r="A392" s="321">
        <f t="shared" si="63"/>
        <v>304</v>
      </c>
      <c r="B392" s="104" t="s">
        <v>34</v>
      </c>
      <c r="C392" s="371">
        <v>2021</v>
      </c>
      <c r="D392" s="373">
        <v>7259333</v>
      </c>
      <c r="E392" s="328">
        <v>544449.97499999998</v>
      </c>
      <c r="F392" s="328">
        <f t="shared" si="64"/>
        <v>7803782.9749999996</v>
      </c>
      <c r="G392" s="373">
        <v>1263441</v>
      </c>
      <c r="H392" s="373">
        <v>0</v>
      </c>
      <c r="I392" s="328">
        <v>94758.074999999997</v>
      </c>
      <c r="J392" s="328">
        <f t="shared" si="65"/>
        <v>27250248.020000007</v>
      </c>
      <c r="K392" s="328">
        <f t="shared" si="66"/>
        <v>27250248.020000007</v>
      </c>
    </row>
    <row r="393" spans="1:11" ht="13" x14ac:dyDescent="0.3">
      <c r="A393" s="321">
        <f t="shared" si="63"/>
        <v>305</v>
      </c>
      <c r="B393" s="104" t="s">
        <v>36</v>
      </c>
      <c r="C393" s="371">
        <v>2021</v>
      </c>
      <c r="D393" s="373">
        <v>4159830</v>
      </c>
      <c r="E393" s="328">
        <v>311987.25</v>
      </c>
      <c r="F393" s="328">
        <f t="shared" si="64"/>
        <v>4471817.25</v>
      </c>
      <c r="G393" s="373">
        <v>27429645.48</v>
      </c>
      <c r="H393" s="373">
        <v>13129540.48</v>
      </c>
      <c r="I393" s="328">
        <v>1072507.875</v>
      </c>
      <c r="J393" s="328">
        <f t="shared" si="65"/>
        <v>3219911.9150000066</v>
      </c>
      <c r="K393" s="328">
        <f t="shared" si="66"/>
        <v>3219911.9150000066</v>
      </c>
    </row>
    <row r="394" spans="1:11" ht="13" x14ac:dyDescent="0.3">
      <c r="A394" s="321">
        <f t="shared" si="63"/>
        <v>306</v>
      </c>
      <c r="B394" s="104" t="s">
        <v>37</v>
      </c>
      <c r="C394" s="371">
        <v>2021</v>
      </c>
      <c r="D394" s="373">
        <v>6190162</v>
      </c>
      <c r="E394" s="328">
        <v>464262.14999999997</v>
      </c>
      <c r="F394" s="328">
        <f t="shared" si="64"/>
        <v>6654424.1500000004</v>
      </c>
      <c r="G394" s="373">
        <v>31499388.91</v>
      </c>
      <c r="H394" s="373">
        <v>22398460.91</v>
      </c>
      <c r="I394" s="328">
        <v>682569.6</v>
      </c>
      <c r="J394" s="328">
        <f t="shared" si="65"/>
        <v>-22307622.444999993</v>
      </c>
      <c r="K394" s="328">
        <f t="shared" si="66"/>
        <v>-22307622.444999993</v>
      </c>
    </row>
    <row r="395" spans="1:11" ht="13" x14ac:dyDescent="0.3">
      <c r="A395" s="321">
        <f t="shared" si="63"/>
        <v>307</v>
      </c>
      <c r="B395" s="104" t="s">
        <v>471</v>
      </c>
      <c r="C395" s="371">
        <v>2021</v>
      </c>
      <c r="D395" s="373">
        <v>3784828.9999999995</v>
      </c>
      <c r="E395" s="328">
        <v>283862.17499999993</v>
      </c>
      <c r="F395" s="328">
        <f t="shared" si="64"/>
        <v>4068691.1749999993</v>
      </c>
      <c r="G395" s="373">
        <v>2382850.0000000005</v>
      </c>
      <c r="H395" s="373">
        <v>0</v>
      </c>
      <c r="I395" s="328">
        <v>178713.75000000003</v>
      </c>
      <c r="J395" s="328">
        <f t="shared" si="65"/>
        <v>-20800495.019999992</v>
      </c>
      <c r="K395" s="328">
        <f t="shared" si="66"/>
        <v>-20800495.019999992</v>
      </c>
    </row>
    <row r="396" spans="1:11" ht="13" x14ac:dyDescent="0.3">
      <c r="A396" s="321">
        <f t="shared" si="63"/>
        <v>308</v>
      </c>
      <c r="B396" s="104" t="s">
        <v>39</v>
      </c>
      <c r="C396" s="371">
        <v>2021</v>
      </c>
      <c r="D396" s="373">
        <v>3229375.9999999995</v>
      </c>
      <c r="E396" s="328">
        <v>242203.19999999995</v>
      </c>
      <c r="F396" s="328">
        <f t="shared" si="64"/>
        <v>3471579.1999999993</v>
      </c>
      <c r="G396" s="373">
        <v>1609541.0000000002</v>
      </c>
      <c r="H396" s="373">
        <v>0</v>
      </c>
      <c r="I396" s="328">
        <v>120715.57500000001</v>
      </c>
      <c r="J396" s="328">
        <f t="shared" si="65"/>
        <v>-19059172.394999992</v>
      </c>
      <c r="K396" s="328">
        <f t="shared" si="66"/>
        <v>-19059172.394999992</v>
      </c>
    </row>
    <row r="397" spans="1:11" ht="13" x14ac:dyDescent="0.3">
      <c r="A397" s="321">
        <f t="shared" si="63"/>
        <v>309</v>
      </c>
      <c r="B397" s="104" t="s">
        <v>40</v>
      </c>
      <c r="C397" s="371">
        <v>2021</v>
      </c>
      <c r="D397" s="373">
        <v>3216375.9999999995</v>
      </c>
      <c r="E397" s="328">
        <v>241228.19999999995</v>
      </c>
      <c r="F397" s="328">
        <f t="shared" si="64"/>
        <v>3457604.1999999993</v>
      </c>
      <c r="G397" s="373">
        <v>1876541.0000000002</v>
      </c>
      <c r="H397" s="373">
        <v>0</v>
      </c>
      <c r="I397" s="328">
        <v>140740.57500000001</v>
      </c>
      <c r="J397" s="328">
        <f t="shared" si="65"/>
        <v>-17618849.769999992</v>
      </c>
      <c r="K397" s="328">
        <f t="shared" si="66"/>
        <v>-17618849.769999992</v>
      </c>
    </row>
    <row r="398" spans="1:11" ht="13" x14ac:dyDescent="0.3">
      <c r="A398" s="321">
        <f t="shared" si="63"/>
        <v>310</v>
      </c>
      <c r="B398" s="104" t="s">
        <v>41</v>
      </c>
      <c r="C398" s="371">
        <v>2021</v>
      </c>
      <c r="D398" s="373">
        <v>3459830</v>
      </c>
      <c r="E398" s="328">
        <v>259487.25</v>
      </c>
      <c r="F398" s="328">
        <f t="shared" si="64"/>
        <v>3719317.25</v>
      </c>
      <c r="G398" s="373">
        <v>1993850.0000000002</v>
      </c>
      <c r="H398" s="373">
        <v>0</v>
      </c>
      <c r="I398" s="328">
        <v>149538.75</v>
      </c>
      <c r="J398" s="328">
        <f t="shared" si="65"/>
        <v>-16042921.269999992</v>
      </c>
      <c r="K398" s="328">
        <f t="shared" si="66"/>
        <v>-16042921.269999992</v>
      </c>
    </row>
    <row r="399" spans="1:11" ht="13" x14ac:dyDescent="0.3">
      <c r="A399" s="321">
        <f t="shared" si="63"/>
        <v>311</v>
      </c>
      <c r="B399" s="104" t="s">
        <v>42</v>
      </c>
      <c r="C399" s="371">
        <v>2021</v>
      </c>
      <c r="D399" s="373">
        <v>2673375.9999999995</v>
      </c>
      <c r="E399" s="328">
        <v>200503.19999999995</v>
      </c>
      <c r="F399" s="328">
        <f>E399+D399</f>
        <v>2873879.1999999993</v>
      </c>
      <c r="G399" s="373">
        <v>1331541</v>
      </c>
      <c r="H399" s="373">
        <v>0</v>
      </c>
      <c r="I399" s="328">
        <v>99865.574999999997</v>
      </c>
      <c r="J399" s="328">
        <f>J398+F399-G399-I399</f>
        <v>-14600448.644999992</v>
      </c>
      <c r="K399" s="328">
        <f t="shared" si="66"/>
        <v>-14600448.644999992</v>
      </c>
    </row>
    <row r="400" spans="1:11" ht="13" x14ac:dyDescent="0.3">
      <c r="A400" s="321">
        <f t="shared" si="63"/>
        <v>312</v>
      </c>
      <c r="B400" s="104" t="s">
        <v>43</v>
      </c>
      <c r="C400" s="371">
        <v>2021</v>
      </c>
      <c r="D400" s="373">
        <v>2616375.9999999995</v>
      </c>
      <c r="E400" s="328">
        <v>196228.19999999995</v>
      </c>
      <c r="F400" s="328">
        <f>E400+D400</f>
        <v>2812604.1999999993</v>
      </c>
      <c r="G400" s="373">
        <v>1309541</v>
      </c>
      <c r="H400" s="373">
        <v>0</v>
      </c>
      <c r="I400" s="328">
        <v>98215.574999999997</v>
      </c>
      <c r="J400" s="328">
        <f>J399+F400-G400-I400</f>
        <v>-13195601.019999992</v>
      </c>
      <c r="K400" s="328">
        <f t="shared" si="66"/>
        <v>-13195601.019999992</v>
      </c>
    </row>
    <row r="401" spans="1:11" ht="13" x14ac:dyDescent="0.3">
      <c r="A401" s="321">
        <f t="shared" si="63"/>
        <v>313</v>
      </c>
      <c r="B401" s="104" t="s">
        <v>27</v>
      </c>
      <c r="C401" s="371">
        <v>2021</v>
      </c>
      <c r="D401" s="373">
        <v>3554511.9999999995</v>
      </c>
      <c r="E401" s="328">
        <v>266588.39999999997</v>
      </c>
      <c r="F401" s="328">
        <f>E401+D401</f>
        <v>3821100.3999999994</v>
      </c>
      <c r="G401" s="373">
        <v>59830362.590000004</v>
      </c>
      <c r="H401" s="373">
        <v>34609700.589999996</v>
      </c>
      <c r="I401" s="328">
        <v>1891549.6500000004</v>
      </c>
      <c r="J401" s="328">
        <f>J400+F401-G401-I401</f>
        <v>-71096412.859999999</v>
      </c>
      <c r="K401" s="335">
        <f t="shared" si="66"/>
        <v>-71096412.859999999</v>
      </c>
    </row>
    <row r="402" spans="1:11" ht="13" x14ac:dyDescent="0.3">
      <c r="A402" s="321">
        <f t="shared" si="63"/>
        <v>314</v>
      </c>
      <c r="C402" s="396" t="s">
        <v>880</v>
      </c>
      <c r="H402" s="356"/>
      <c r="I402" s="356"/>
      <c r="K402" s="397">
        <f>AVERAGE(K389:K401)</f>
        <v>-8452843.9330769163</v>
      </c>
    </row>
    <row r="403" spans="1:11" ht="13" x14ac:dyDescent="0.3">
      <c r="A403" s="321"/>
      <c r="C403" s="396"/>
      <c r="H403" s="356"/>
      <c r="I403" s="356"/>
      <c r="K403" s="397"/>
    </row>
    <row r="404" spans="1:11" ht="13" x14ac:dyDescent="0.3">
      <c r="B404" s="399" t="s">
        <v>904</v>
      </c>
      <c r="D404" s="354" t="s">
        <v>905</v>
      </c>
      <c r="E404" s="354"/>
      <c r="F404" s="359"/>
      <c r="G404" s="359"/>
    </row>
    <row r="405" spans="1:11" ht="13" x14ac:dyDescent="0.3">
      <c r="A405" s="326"/>
      <c r="B405" s="326"/>
      <c r="C405" s="326"/>
      <c r="D405" s="326" t="s">
        <v>12</v>
      </c>
      <c r="E405" s="326" t="s">
        <v>343</v>
      </c>
      <c r="F405" s="326" t="s">
        <v>361</v>
      </c>
      <c r="G405" s="326" t="s">
        <v>13</v>
      </c>
      <c r="H405" s="326" t="s">
        <v>362</v>
      </c>
      <c r="I405" s="326" t="s">
        <v>363</v>
      </c>
      <c r="J405" s="326" t="s">
        <v>364</v>
      </c>
      <c r="K405" s="326" t="s">
        <v>451</v>
      </c>
    </row>
    <row r="406" spans="1:11" ht="25.5" x14ac:dyDescent="0.3">
      <c r="D406" s="363"/>
      <c r="E406" s="400" t="s">
        <v>883</v>
      </c>
      <c r="F406" s="356" t="s">
        <v>884</v>
      </c>
      <c r="G406" s="356"/>
      <c r="H406" s="363"/>
      <c r="I406" s="400" t="s">
        <v>885</v>
      </c>
      <c r="J406" s="400" t="s">
        <v>886</v>
      </c>
      <c r="K406" s="400" t="s">
        <v>887</v>
      </c>
    </row>
    <row r="407" spans="1:11" ht="13" x14ac:dyDescent="0.3">
      <c r="D407" s="363"/>
      <c r="E407" s="400"/>
      <c r="F407" s="356"/>
      <c r="G407" s="351" t="str">
        <f>G85</f>
        <v>Unloaded</v>
      </c>
      <c r="H407" s="363"/>
      <c r="I407" s="400"/>
      <c r="J407" s="400"/>
      <c r="K407" s="400"/>
    </row>
    <row r="408" spans="1:11" ht="13" x14ac:dyDescent="0.3">
      <c r="A408" s="321"/>
      <c r="B408" s="321"/>
      <c r="C408" s="321"/>
      <c r="D408" s="321" t="str">
        <f>D$52</f>
        <v>Forecast</v>
      </c>
      <c r="E408" s="321" t="str">
        <f t="shared" ref="E408:J408" si="67">E$52</f>
        <v>Corporate</v>
      </c>
      <c r="F408" s="321" t="str">
        <f t="shared" si="67"/>
        <v xml:space="preserve">Total </v>
      </c>
      <c r="G408" s="351" t="str">
        <f>G86</f>
        <v>Total</v>
      </c>
      <c r="H408" s="321" t="str">
        <f t="shared" si="67"/>
        <v>Prior Period</v>
      </c>
      <c r="I408" s="321" t="str">
        <f t="shared" si="67"/>
        <v>Over Heads</v>
      </c>
      <c r="J408" s="321" t="str">
        <f t="shared" si="67"/>
        <v>Forecast</v>
      </c>
      <c r="K408" s="321" t="str">
        <f>K$52</f>
        <v>Forecast Period</v>
      </c>
    </row>
    <row r="409" spans="1:11" ht="13" x14ac:dyDescent="0.3">
      <c r="A409" s="325" t="s">
        <v>22</v>
      </c>
      <c r="B409" s="94" t="s">
        <v>23</v>
      </c>
      <c r="C409" s="94" t="s">
        <v>24</v>
      </c>
      <c r="D409" s="326" t="str">
        <f>D$53</f>
        <v>Expenditures</v>
      </c>
      <c r="E409" s="326" t="str">
        <f t="shared" ref="E409:J409" si="68">E$53</f>
        <v>Overheads</v>
      </c>
      <c r="F409" s="326" t="str">
        <f t="shared" si="68"/>
        <v>CWIP Exp</v>
      </c>
      <c r="G409" s="363" t="str">
        <f>G87</f>
        <v>Plant Adds</v>
      </c>
      <c r="H409" s="326" t="str">
        <f t="shared" si="68"/>
        <v>CWIP Closed</v>
      </c>
      <c r="I409" s="326" t="str">
        <f t="shared" si="68"/>
        <v>Closed to PIS</v>
      </c>
      <c r="J409" s="326" t="str">
        <f t="shared" si="68"/>
        <v>Period CWIP</v>
      </c>
      <c r="K409" s="326" t="str">
        <f>K$53</f>
        <v>Incremental CWIP</v>
      </c>
    </row>
    <row r="410" spans="1:11" ht="13" x14ac:dyDescent="0.3">
      <c r="A410" s="321">
        <f>A402+1</f>
        <v>315</v>
      </c>
      <c r="B410" s="104" t="s">
        <v>27</v>
      </c>
      <c r="C410" s="371">
        <v>2019</v>
      </c>
      <c r="D410" s="356" t="s">
        <v>28</v>
      </c>
      <c r="E410" s="356" t="s">
        <v>28</v>
      </c>
      <c r="F410" s="356" t="s">
        <v>28</v>
      </c>
      <c r="G410" s="356" t="s">
        <v>28</v>
      </c>
      <c r="H410" s="356" t="s">
        <v>28</v>
      </c>
      <c r="I410" s="356" t="s">
        <v>28</v>
      </c>
      <c r="J410" s="328">
        <v>0</v>
      </c>
      <c r="K410" s="356" t="s">
        <v>28</v>
      </c>
    </row>
    <row r="411" spans="1:11" ht="13" x14ac:dyDescent="0.3">
      <c r="A411" s="321">
        <f>A410+1</f>
        <v>316</v>
      </c>
      <c r="B411" s="104" t="s">
        <v>30</v>
      </c>
      <c r="C411" s="371">
        <v>2020</v>
      </c>
      <c r="D411" s="373"/>
      <c r="E411" s="328">
        <v>0</v>
      </c>
      <c r="F411" s="328">
        <f>E411+D411</f>
        <v>0</v>
      </c>
      <c r="G411" s="373"/>
      <c r="H411" s="373"/>
      <c r="I411" s="328">
        <v>0</v>
      </c>
      <c r="J411" s="328">
        <f>J410+F411-G411-I411</f>
        <v>0</v>
      </c>
      <c r="K411" s="328">
        <f>J411-$J$377</f>
        <v>0</v>
      </c>
    </row>
    <row r="412" spans="1:11" ht="13" x14ac:dyDescent="0.3">
      <c r="A412" s="321">
        <f t="shared" ref="A412:A435" si="69">A411+1</f>
        <v>317</v>
      </c>
      <c r="B412" s="104" t="s">
        <v>32</v>
      </c>
      <c r="C412" s="371">
        <v>2020</v>
      </c>
      <c r="D412" s="373"/>
      <c r="E412" s="328">
        <v>0</v>
      </c>
      <c r="F412" s="328">
        <f t="shared" ref="F412:F434" si="70">E412+D412</f>
        <v>0</v>
      </c>
      <c r="G412" s="373"/>
      <c r="H412" s="373"/>
      <c r="I412" s="328">
        <v>0</v>
      </c>
      <c r="J412" s="328">
        <f t="shared" ref="J412:J434" si="71">J411+F412-G412-I412</f>
        <v>0</v>
      </c>
      <c r="K412" s="328">
        <f t="shared" ref="K412:K434" si="72">J412-$J$377</f>
        <v>0</v>
      </c>
    </row>
    <row r="413" spans="1:11" ht="13" x14ac:dyDescent="0.3">
      <c r="A413" s="321">
        <f t="shared" si="69"/>
        <v>318</v>
      </c>
      <c r="B413" s="104" t="s">
        <v>34</v>
      </c>
      <c r="C413" s="371">
        <v>2020</v>
      </c>
      <c r="D413" s="373"/>
      <c r="E413" s="328">
        <v>0</v>
      </c>
      <c r="F413" s="328">
        <f t="shared" si="70"/>
        <v>0</v>
      </c>
      <c r="G413" s="373"/>
      <c r="H413" s="373"/>
      <c r="I413" s="328">
        <v>0</v>
      </c>
      <c r="J413" s="328">
        <f t="shared" si="71"/>
        <v>0</v>
      </c>
      <c r="K413" s="328">
        <f t="shared" si="72"/>
        <v>0</v>
      </c>
    </row>
    <row r="414" spans="1:11" ht="13" x14ac:dyDescent="0.3">
      <c r="A414" s="321">
        <f t="shared" si="69"/>
        <v>319</v>
      </c>
      <c r="B414" s="104" t="s">
        <v>36</v>
      </c>
      <c r="C414" s="371">
        <v>2020</v>
      </c>
      <c r="D414" s="373"/>
      <c r="E414" s="328">
        <v>0</v>
      </c>
      <c r="F414" s="328">
        <f t="shared" si="70"/>
        <v>0</v>
      </c>
      <c r="G414" s="373"/>
      <c r="H414" s="373"/>
      <c r="I414" s="328">
        <v>0</v>
      </c>
      <c r="J414" s="328">
        <f t="shared" si="71"/>
        <v>0</v>
      </c>
      <c r="K414" s="328">
        <f t="shared" si="72"/>
        <v>0</v>
      </c>
    </row>
    <row r="415" spans="1:11" ht="13" x14ac:dyDescent="0.3">
      <c r="A415" s="321">
        <f t="shared" si="69"/>
        <v>320</v>
      </c>
      <c r="B415" s="104" t="s">
        <v>37</v>
      </c>
      <c r="C415" s="371">
        <v>2020</v>
      </c>
      <c r="D415" s="373"/>
      <c r="E415" s="328">
        <v>0</v>
      </c>
      <c r="F415" s="328">
        <f t="shared" si="70"/>
        <v>0</v>
      </c>
      <c r="G415" s="373"/>
      <c r="H415" s="373"/>
      <c r="I415" s="328">
        <v>0</v>
      </c>
      <c r="J415" s="328">
        <f t="shared" si="71"/>
        <v>0</v>
      </c>
      <c r="K415" s="328">
        <f t="shared" si="72"/>
        <v>0</v>
      </c>
    </row>
    <row r="416" spans="1:11" ht="13" x14ac:dyDescent="0.3">
      <c r="A416" s="321">
        <f t="shared" si="69"/>
        <v>321</v>
      </c>
      <c r="B416" s="104" t="s">
        <v>471</v>
      </c>
      <c r="C416" s="371">
        <v>2020</v>
      </c>
      <c r="D416" s="373"/>
      <c r="E416" s="328">
        <v>0</v>
      </c>
      <c r="F416" s="328">
        <f t="shared" si="70"/>
        <v>0</v>
      </c>
      <c r="G416" s="373"/>
      <c r="H416" s="373"/>
      <c r="I416" s="328">
        <v>0</v>
      </c>
      <c r="J416" s="328">
        <f t="shared" si="71"/>
        <v>0</v>
      </c>
      <c r="K416" s="328">
        <f t="shared" si="72"/>
        <v>0</v>
      </c>
    </row>
    <row r="417" spans="1:11" ht="13" x14ac:dyDescent="0.3">
      <c r="A417" s="321">
        <f t="shared" si="69"/>
        <v>322</v>
      </c>
      <c r="B417" s="104" t="s">
        <v>39</v>
      </c>
      <c r="C417" s="371">
        <v>2020</v>
      </c>
      <c r="D417" s="373"/>
      <c r="E417" s="328">
        <v>0</v>
      </c>
      <c r="F417" s="328">
        <f t="shared" si="70"/>
        <v>0</v>
      </c>
      <c r="G417" s="373"/>
      <c r="H417" s="373"/>
      <c r="I417" s="328">
        <v>0</v>
      </c>
      <c r="J417" s="328">
        <f t="shared" si="71"/>
        <v>0</v>
      </c>
      <c r="K417" s="328">
        <f t="shared" si="72"/>
        <v>0</v>
      </c>
    </row>
    <row r="418" spans="1:11" ht="13" x14ac:dyDescent="0.3">
      <c r="A418" s="321">
        <f t="shared" si="69"/>
        <v>323</v>
      </c>
      <c r="B418" s="104" t="s">
        <v>40</v>
      </c>
      <c r="C418" s="371">
        <v>2020</v>
      </c>
      <c r="D418" s="373"/>
      <c r="E418" s="328">
        <v>0</v>
      </c>
      <c r="F418" s="328">
        <f t="shared" si="70"/>
        <v>0</v>
      </c>
      <c r="G418" s="373"/>
      <c r="H418" s="373"/>
      <c r="I418" s="328">
        <v>0</v>
      </c>
      <c r="J418" s="328">
        <f t="shared" si="71"/>
        <v>0</v>
      </c>
      <c r="K418" s="328">
        <f t="shared" si="72"/>
        <v>0</v>
      </c>
    </row>
    <row r="419" spans="1:11" ht="13" x14ac:dyDescent="0.3">
      <c r="A419" s="321">
        <f t="shared" si="69"/>
        <v>324</v>
      </c>
      <c r="B419" s="104" t="s">
        <v>41</v>
      </c>
      <c r="C419" s="371">
        <v>2020</v>
      </c>
      <c r="D419" s="373"/>
      <c r="E419" s="328">
        <v>0</v>
      </c>
      <c r="F419" s="328">
        <f t="shared" si="70"/>
        <v>0</v>
      </c>
      <c r="G419" s="373"/>
      <c r="H419" s="373"/>
      <c r="I419" s="328">
        <v>0</v>
      </c>
      <c r="J419" s="328">
        <f t="shared" si="71"/>
        <v>0</v>
      </c>
      <c r="K419" s="328">
        <f t="shared" si="72"/>
        <v>0</v>
      </c>
    </row>
    <row r="420" spans="1:11" ht="13" x14ac:dyDescent="0.3">
      <c r="A420" s="321">
        <f t="shared" si="69"/>
        <v>325</v>
      </c>
      <c r="B420" s="104" t="s">
        <v>42</v>
      </c>
      <c r="C420" s="371">
        <v>2020</v>
      </c>
      <c r="D420" s="373"/>
      <c r="E420" s="328">
        <v>0</v>
      </c>
      <c r="F420" s="328">
        <f t="shared" si="70"/>
        <v>0</v>
      </c>
      <c r="G420" s="373"/>
      <c r="H420" s="373"/>
      <c r="I420" s="328">
        <v>0</v>
      </c>
      <c r="J420" s="328">
        <f t="shared" si="71"/>
        <v>0</v>
      </c>
      <c r="K420" s="328">
        <f t="shared" si="72"/>
        <v>0</v>
      </c>
    </row>
    <row r="421" spans="1:11" ht="13" x14ac:dyDescent="0.3">
      <c r="A421" s="321">
        <f t="shared" si="69"/>
        <v>326</v>
      </c>
      <c r="B421" s="104" t="s">
        <v>43</v>
      </c>
      <c r="C421" s="371">
        <v>2020</v>
      </c>
      <c r="D421" s="373"/>
      <c r="E421" s="328">
        <v>0</v>
      </c>
      <c r="F421" s="328">
        <f t="shared" si="70"/>
        <v>0</v>
      </c>
      <c r="G421" s="373"/>
      <c r="H421" s="373"/>
      <c r="I421" s="328">
        <v>0</v>
      </c>
      <c r="J421" s="328">
        <f t="shared" si="71"/>
        <v>0</v>
      </c>
      <c r="K421" s="328">
        <f t="shared" si="72"/>
        <v>0</v>
      </c>
    </row>
    <row r="422" spans="1:11" ht="13" x14ac:dyDescent="0.3">
      <c r="A422" s="321">
        <f t="shared" si="69"/>
        <v>327</v>
      </c>
      <c r="B422" s="104" t="s">
        <v>27</v>
      </c>
      <c r="C422" s="371">
        <v>2020</v>
      </c>
      <c r="D422" s="373"/>
      <c r="E422" s="328">
        <v>0</v>
      </c>
      <c r="F422" s="328">
        <f t="shared" si="70"/>
        <v>0</v>
      </c>
      <c r="G422" s="373"/>
      <c r="H422" s="373"/>
      <c r="I422" s="328">
        <v>0</v>
      </c>
      <c r="J422" s="328">
        <f t="shared" si="71"/>
        <v>0</v>
      </c>
      <c r="K422" s="328">
        <f t="shared" si="72"/>
        <v>0</v>
      </c>
    </row>
    <row r="423" spans="1:11" ht="13" x14ac:dyDescent="0.3">
      <c r="A423" s="321">
        <f t="shared" si="69"/>
        <v>328</v>
      </c>
      <c r="B423" s="104" t="s">
        <v>30</v>
      </c>
      <c r="C423" s="371">
        <v>2021</v>
      </c>
      <c r="D423" s="373"/>
      <c r="E423" s="328">
        <v>0</v>
      </c>
      <c r="F423" s="328">
        <f t="shared" si="70"/>
        <v>0</v>
      </c>
      <c r="G423" s="373"/>
      <c r="H423" s="373"/>
      <c r="I423" s="328">
        <v>0</v>
      </c>
      <c r="J423" s="328">
        <f t="shared" si="71"/>
        <v>0</v>
      </c>
      <c r="K423" s="328">
        <f t="shared" si="72"/>
        <v>0</v>
      </c>
    </row>
    <row r="424" spans="1:11" ht="13" x14ac:dyDescent="0.3">
      <c r="A424" s="321">
        <f t="shared" si="69"/>
        <v>329</v>
      </c>
      <c r="B424" s="104" t="s">
        <v>32</v>
      </c>
      <c r="C424" s="371">
        <v>2021</v>
      </c>
      <c r="D424" s="373"/>
      <c r="E424" s="328">
        <v>0</v>
      </c>
      <c r="F424" s="328">
        <f t="shared" si="70"/>
        <v>0</v>
      </c>
      <c r="G424" s="373"/>
      <c r="H424" s="373"/>
      <c r="I424" s="328">
        <v>0</v>
      </c>
      <c r="J424" s="328">
        <f t="shared" si="71"/>
        <v>0</v>
      </c>
      <c r="K424" s="328">
        <f t="shared" si="72"/>
        <v>0</v>
      </c>
    </row>
    <row r="425" spans="1:11" ht="13" x14ac:dyDescent="0.3">
      <c r="A425" s="321">
        <f t="shared" si="69"/>
        <v>330</v>
      </c>
      <c r="B425" s="104" t="s">
        <v>34</v>
      </c>
      <c r="C425" s="371">
        <v>2021</v>
      </c>
      <c r="D425" s="373"/>
      <c r="E425" s="328">
        <v>0</v>
      </c>
      <c r="F425" s="328">
        <f t="shared" si="70"/>
        <v>0</v>
      </c>
      <c r="G425" s="373"/>
      <c r="H425" s="373"/>
      <c r="I425" s="328">
        <v>0</v>
      </c>
      <c r="J425" s="328">
        <f t="shared" si="71"/>
        <v>0</v>
      </c>
      <c r="K425" s="328">
        <f t="shared" si="72"/>
        <v>0</v>
      </c>
    </row>
    <row r="426" spans="1:11" ht="13" x14ac:dyDescent="0.3">
      <c r="A426" s="321">
        <f t="shared" si="69"/>
        <v>331</v>
      </c>
      <c r="B426" s="104" t="s">
        <v>36</v>
      </c>
      <c r="C426" s="371">
        <v>2021</v>
      </c>
      <c r="D426" s="373"/>
      <c r="E426" s="328">
        <v>0</v>
      </c>
      <c r="F426" s="328">
        <f t="shared" si="70"/>
        <v>0</v>
      </c>
      <c r="G426" s="373"/>
      <c r="H426" s="373"/>
      <c r="I426" s="328">
        <v>0</v>
      </c>
      <c r="J426" s="328">
        <f t="shared" si="71"/>
        <v>0</v>
      </c>
      <c r="K426" s="328">
        <f t="shared" si="72"/>
        <v>0</v>
      </c>
    </row>
    <row r="427" spans="1:11" ht="13" x14ac:dyDescent="0.3">
      <c r="A427" s="321">
        <f t="shared" si="69"/>
        <v>332</v>
      </c>
      <c r="B427" s="104" t="s">
        <v>37</v>
      </c>
      <c r="C427" s="371">
        <v>2021</v>
      </c>
      <c r="D427" s="373"/>
      <c r="E427" s="328">
        <v>0</v>
      </c>
      <c r="F427" s="328">
        <f t="shared" si="70"/>
        <v>0</v>
      </c>
      <c r="G427" s="373"/>
      <c r="H427" s="373"/>
      <c r="I427" s="328">
        <v>0</v>
      </c>
      <c r="J427" s="328">
        <f t="shared" si="71"/>
        <v>0</v>
      </c>
      <c r="K427" s="328">
        <f t="shared" si="72"/>
        <v>0</v>
      </c>
    </row>
    <row r="428" spans="1:11" ht="13" x14ac:dyDescent="0.3">
      <c r="A428" s="321">
        <f t="shared" si="69"/>
        <v>333</v>
      </c>
      <c r="B428" s="104" t="s">
        <v>471</v>
      </c>
      <c r="C428" s="371">
        <v>2021</v>
      </c>
      <c r="D428" s="373"/>
      <c r="E428" s="328">
        <v>0</v>
      </c>
      <c r="F428" s="328">
        <f t="shared" si="70"/>
        <v>0</v>
      </c>
      <c r="G428" s="373"/>
      <c r="H428" s="373"/>
      <c r="I428" s="328">
        <v>0</v>
      </c>
      <c r="J428" s="328">
        <f t="shared" si="71"/>
        <v>0</v>
      </c>
      <c r="K428" s="328">
        <f t="shared" si="72"/>
        <v>0</v>
      </c>
    </row>
    <row r="429" spans="1:11" ht="13" x14ac:dyDescent="0.3">
      <c r="A429" s="321">
        <f t="shared" si="69"/>
        <v>334</v>
      </c>
      <c r="B429" s="104" t="s">
        <v>39</v>
      </c>
      <c r="C429" s="371">
        <v>2021</v>
      </c>
      <c r="D429" s="373"/>
      <c r="E429" s="328">
        <v>0</v>
      </c>
      <c r="F429" s="328">
        <f t="shared" si="70"/>
        <v>0</v>
      </c>
      <c r="G429" s="373"/>
      <c r="H429" s="373"/>
      <c r="I429" s="328">
        <v>0</v>
      </c>
      <c r="J429" s="328">
        <f t="shared" si="71"/>
        <v>0</v>
      </c>
      <c r="K429" s="328">
        <f t="shared" si="72"/>
        <v>0</v>
      </c>
    </row>
    <row r="430" spans="1:11" ht="13" x14ac:dyDescent="0.3">
      <c r="A430" s="321">
        <f t="shared" si="69"/>
        <v>335</v>
      </c>
      <c r="B430" s="104" t="s">
        <v>40</v>
      </c>
      <c r="C430" s="371">
        <v>2021</v>
      </c>
      <c r="D430" s="373"/>
      <c r="E430" s="328">
        <v>0</v>
      </c>
      <c r="F430" s="328">
        <f t="shared" si="70"/>
        <v>0</v>
      </c>
      <c r="G430" s="373"/>
      <c r="H430" s="373"/>
      <c r="I430" s="328">
        <v>0</v>
      </c>
      <c r="J430" s="328">
        <f t="shared" si="71"/>
        <v>0</v>
      </c>
      <c r="K430" s="328">
        <f t="shared" si="72"/>
        <v>0</v>
      </c>
    </row>
    <row r="431" spans="1:11" ht="13" x14ac:dyDescent="0.3">
      <c r="A431" s="321">
        <f t="shared" si="69"/>
        <v>336</v>
      </c>
      <c r="B431" s="104" t="s">
        <v>41</v>
      </c>
      <c r="C431" s="371">
        <v>2021</v>
      </c>
      <c r="D431" s="373"/>
      <c r="E431" s="328">
        <v>0</v>
      </c>
      <c r="F431" s="328">
        <f t="shared" si="70"/>
        <v>0</v>
      </c>
      <c r="G431" s="373"/>
      <c r="H431" s="373"/>
      <c r="I431" s="328">
        <v>0</v>
      </c>
      <c r="J431" s="328">
        <f t="shared" si="71"/>
        <v>0</v>
      </c>
      <c r="K431" s="328">
        <f t="shared" si="72"/>
        <v>0</v>
      </c>
    </row>
    <row r="432" spans="1:11" ht="13" x14ac:dyDescent="0.3">
      <c r="A432" s="321">
        <f t="shared" si="69"/>
        <v>337</v>
      </c>
      <c r="B432" s="104" t="s">
        <v>42</v>
      </c>
      <c r="C432" s="371">
        <v>2021</v>
      </c>
      <c r="D432" s="373"/>
      <c r="E432" s="328">
        <v>0</v>
      </c>
      <c r="F432" s="328">
        <f t="shared" si="70"/>
        <v>0</v>
      </c>
      <c r="G432" s="373"/>
      <c r="H432" s="373"/>
      <c r="I432" s="328">
        <v>0</v>
      </c>
      <c r="J432" s="328">
        <f t="shared" si="71"/>
        <v>0</v>
      </c>
      <c r="K432" s="328">
        <f t="shared" si="72"/>
        <v>0</v>
      </c>
    </row>
    <row r="433" spans="1:11" ht="13" x14ac:dyDescent="0.3">
      <c r="A433" s="321">
        <f t="shared" si="69"/>
        <v>338</v>
      </c>
      <c r="B433" s="104" t="s">
        <v>43</v>
      </c>
      <c r="C433" s="371">
        <v>2021</v>
      </c>
      <c r="D433" s="373"/>
      <c r="E433" s="328">
        <v>0</v>
      </c>
      <c r="F433" s="328">
        <f t="shared" si="70"/>
        <v>0</v>
      </c>
      <c r="G433" s="373"/>
      <c r="H433" s="373"/>
      <c r="I433" s="328">
        <v>0</v>
      </c>
      <c r="J433" s="328">
        <f t="shared" si="71"/>
        <v>0</v>
      </c>
      <c r="K433" s="328">
        <f t="shared" si="72"/>
        <v>0</v>
      </c>
    </row>
    <row r="434" spans="1:11" ht="13" x14ac:dyDescent="0.3">
      <c r="A434" s="321">
        <f t="shared" si="69"/>
        <v>339</v>
      </c>
      <c r="B434" s="104" t="s">
        <v>27</v>
      </c>
      <c r="C434" s="371">
        <v>2021</v>
      </c>
      <c r="D434" s="373"/>
      <c r="E434" s="328">
        <v>0</v>
      </c>
      <c r="F434" s="328">
        <f t="shared" si="70"/>
        <v>0</v>
      </c>
      <c r="G434" s="373"/>
      <c r="H434" s="373"/>
      <c r="I434" s="328">
        <v>0</v>
      </c>
      <c r="J434" s="328">
        <f t="shared" si="71"/>
        <v>0</v>
      </c>
      <c r="K434" s="335">
        <f t="shared" si="72"/>
        <v>0</v>
      </c>
    </row>
    <row r="435" spans="1:11" ht="13" x14ac:dyDescent="0.3">
      <c r="A435" s="321">
        <f t="shared" si="69"/>
        <v>340</v>
      </c>
      <c r="C435" s="396" t="s">
        <v>880</v>
      </c>
      <c r="H435" s="356"/>
      <c r="I435" s="356"/>
      <c r="K435" s="397">
        <f>AVERAGE(K422:K434)</f>
        <v>0</v>
      </c>
    </row>
    <row r="437" spans="1:11" ht="13" x14ac:dyDescent="0.3">
      <c r="B437" s="391" t="s">
        <v>87</v>
      </c>
    </row>
    <row r="438" spans="1:11" x14ac:dyDescent="0.25">
      <c r="B438" s="104" t="s">
        <v>906</v>
      </c>
    </row>
    <row r="439" spans="1:11" x14ac:dyDescent="0.25">
      <c r="B439" s="104" t="s">
        <v>907</v>
      </c>
    </row>
    <row r="441" spans="1:11" ht="13" x14ac:dyDescent="0.3">
      <c r="B441" s="318" t="s">
        <v>175</v>
      </c>
    </row>
    <row r="442" spans="1:11" x14ac:dyDescent="0.25">
      <c r="B442" s="329" t="s">
        <v>908</v>
      </c>
    </row>
    <row r="443" spans="1:11" x14ac:dyDescent="0.25">
      <c r="B443" s="329" t="s">
        <v>909</v>
      </c>
    </row>
    <row r="444" spans="1:11" x14ac:dyDescent="0.25">
      <c r="B444" s="329" t="s">
        <v>910</v>
      </c>
    </row>
  </sheetData>
  <mergeCells count="11">
    <mergeCell ref="D243:E243"/>
    <mergeCell ref="D82:E82"/>
    <mergeCell ref="D115:E115"/>
    <mergeCell ref="D148:E148"/>
    <mergeCell ref="D179:E179"/>
    <mergeCell ref="D212:E212"/>
    <mergeCell ref="D276:E276"/>
    <mergeCell ref="D307:E307"/>
    <mergeCell ref="D340:E340"/>
    <mergeCell ref="D371:E371"/>
    <mergeCell ref="F371:G371"/>
  </mergeCells>
  <pageMargins left="0.7" right="0.7" top="0.75" bottom="0.75" header="0.3" footer="0.3"/>
  <pageSetup scale="50" fitToHeight="0" orientation="landscape" cellComments="asDisplayed" r:id="rId1"/>
  <headerFooter>
    <oddHeader xml:space="preserve">&amp;CSchedule 10
CWIP
(TO2018 EDIT Adj)&amp;RTO2021 Annual Update
Attachment 4
WP-Schedule 3-One Time Adjustment Transition
Page &amp;P of &amp;N
</oddHeader>
    <oddFooter>&amp;R&amp;A</oddFooter>
  </headerFooter>
  <rowBreaks count="6" manualBreakCount="6">
    <brk id="47" max="16383" man="1"/>
    <brk id="113" max="10" man="1"/>
    <brk id="177" max="10" man="1"/>
    <brk id="241" max="10" man="1"/>
    <brk id="305" max="10" man="1"/>
    <brk id="369" max="10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709B0-F343-46C6-8014-35ED679E6F4D}">
  <sheetPr codeName="Sheet15">
    <tabColor rgb="FFCCFFCC"/>
  </sheetPr>
  <dimension ref="A1:X105"/>
  <sheetViews>
    <sheetView zoomScaleNormal="100" workbookViewId="0"/>
  </sheetViews>
  <sheetFormatPr defaultRowHeight="12.5" x14ac:dyDescent="0.25"/>
  <cols>
    <col min="1" max="1" width="4.54296875" style="238" customWidth="1"/>
    <col min="2" max="2" width="2.54296875" style="238" customWidth="1"/>
    <col min="3" max="3" width="8.54296875" style="238" customWidth="1"/>
    <col min="4" max="4" width="32.54296875" style="238" customWidth="1"/>
    <col min="5" max="5" width="14.54296875" style="238" customWidth="1"/>
    <col min="6" max="6" width="15.54296875" style="238" customWidth="1"/>
    <col min="7" max="8" width="14.54296875" style="238" customWidth="1"/>
    <col min="9" max="9" width="20" style="238" customWidth="1"/>
    <col min="10" max="10" width="15.54296875" style="238" customWidth="1"/>
    <col min="11" max="11" width="11" style="238" bestFit="1" customWidth="1"/>
    <col min="12" max="16384" width="8.7265625" style="238"/>
  </cols>
  <sheetData>
    <row r="1" spans="1:24" ht="13" x14ac:dyDescent="0.3">
      <c r="A1" s="237" t="s">
        <v>508</v>
      </c>
      <c r="F1" s="239" t="s">
        <v>509</v>
      </c>
      <c r="G1" s="73"/>
      <c r="H1" s="240"/>
      <c r="I1" s="240"/>
    </row>
    <row r="2" spans="1:24" ht="13" x14ac:dyDescent="0.3">
      <c r="E2" s="241" t="s">
        <v>12</v>
      </c>
      <c r="F2" s="241" t="s">
        <v>343</v>
      </c>
      <c r="G2" s="241" t="s">
        <v>361</v>
      </c>
      <c r="H2" s="241" t="s">
        <v>13</v>
      </c>
      <c r="I2" s="240"/>
    </row>
    <row r="3" spans="1:24" x14ac:dyDescent="0.25">
      <c r="G3" s="240" t="s">
        <v>452</v>
      </c>
    </row>
    <row r="4" spans="1:24" ht="13" x14ac:dyDescent="0.3">
      <c r="E4" s="242" t="s">
        <v>510</v>
      </c>
      <c r="F4" s="43" t="s">
        <v>511</v>
      </c>
      <c r="G4" s="242" t="s">
        <v>512</v>
      </c>
      <c r="I4" s="242"/>
    </row>
    <row r="5" spans="1:24" ht="13" x14ac:dyDescent="0.3">
      <c r="A5" s="243" t="s">
        <v>104</v>
      </c>
      <c r="B5" s="244"/>
      <c r="C5" s="244" t="s">
        <v>513</v>
      </c>
      <c r="D5" s="244" t="s">
        <v>95</v>
      </c>
      <c r="E5" s="244" t="s">
        <v>96</v>
      </c>
      <c r="F5" s="44" t="s">
        <v>98</v>
      </c>
      <c r="G5" s="244" t="s">
        <v>514</v>
      </c>
      <c r="H5" s="244" t="s">
        <v>148</v>
      </c>
      <c r="I5" s="244" t="s">
        <v>107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</row>
    <row r="6" spans="1:24" ht="13" x14ac:dyDescent="0.3">
      <c r="A6" s="242">
        <v>1</v>
      </c>
      <c r="C6" s="240">
        <v>920</v>
      </c>
      <c r="D6" s="238" t="s">
        <v>515</v>
      </c>
      <c r="E6" s="245">
        <v>413850310</v>
      </c>
      <c r="F6" s="240" t="s">
        <v>516</v>
      </c>
      <c r="G6" s="246">
        <f>D37</f>
        <v>213480967.18284771</v>
      </c>
      <c r="H6" s="246">
        <f t="shared" ref="H6:H19" si="0">E6-G6</f>
        <v>200369342.81715229</v>
      </c>
    </row>
    <row r="7" spans="1:24" ht="13" x14ac:dyDescent="0.3">
      <c r="A7" s="242">
        <f>A6+1</f>
        <v>2</v>
      </c>
      <c r="C7" s="240">
        <v>921</v>
      </c>
      <c r="D7" s="238" t="s">
        <v>517</v>
      </c>
      <c r="E7" s="245">
        <v>250234425</v>
      </c>
      <c r="F7" s="240" t="s">
        <v>518</v>
      </c>
      <c r="G7" s="247">
        <f t="shared" ref="G7:G19" si="1">D38</f>
        <v>2351967.084740696</v>
      </c>
      <c r="H7" s="247">
        <f t="shared" si="0"/>
        <v>247882457.9152593</v>
      </c>
    </row>
    <row r="8" spans="1:24" ht="13" x14ac:dyDescent="0.3">
      <c r="A8" s="242">
        <f>A7+1</f>
        <v>3</v>
      </c>
      <c r="C8" s="240">
        <v>922</v>
      </c>
      <c r="D8" s="238" t="s">
        <v>519</v>
      </c>
      <c r="E8" s="245">
        <v>-225318190</v>
      </c>
      <c r="F8" s="240" t="s">
        <v>520</v>
      </c>
      <c r="G8" s="247">
        <f t="shared" si="1"/>
        <v>-77722052.712449998</v>
      </c>
      <c r="H8" s="247">
        <f>E8-G8</f>
        <v>-147596137.28755</v>
      </c>
      <c r="I8" s="248" t="s">
        <v>521</v>
      </c>
    </row>
    <row r="9" spans="1:24" ht="13" x14ac:dyDescent="0.3">
      <c r="A9" s="242">
        <f t="shared" ref="A9:A20" si="2">A8+1</f>
        <v>4</v>
      </c>
      <c r="B9" s="242"/>
      <c r="C9" s="240">
        <v>923</v>
      </c>
      <c r="D9" s="238" t="s">
        <v>522</v>
      </c>
      <c r="E9" s="245">
        <v>59887693</v>
      </c>
      <c r="F9" s="240" t="s">
        <v>523</v>
      </c>
      <c r="G9" s="246">
        <f t="shared" si="1"/>
        <v>8247856.2878677836</v>
      </c>
      <c r="H9" s="246">
        <f t="shared" si="0"/>
        <v>51639836.712132215</v>
      </c>
    </row>
    <row r="10" spans="1:24" ht="13" x14ac:dyDescent="0.3">
      <c r="A10" s="242">
        <f t="shared" si="2"/>
        <v>5</v>
      </c>
      <c r="B10" s="242"/>
      <c r="C10" s="240">
        <v>924</v>
      </c>
      <c r="D10" s="238" t="s">
        <v>524</v>
      </c>
      <c r="E10" s="245">
        <v>15607270</v>
      </c>
      <c r="F10" s="240" t="s">
        <v>525</v>
      </c>
      <c r="G10" s="247">
        <f t="shared" si="1"/>
        <v>0</v>
      </c>
      <c r="H10" s="247">
        <f t="shared" si="0"/>
        <v>15607270</v>
      </c>
    </row>
    <row r="11" spans="1:24" ht="13" x14ac:dyDescent="0.3">
      <c r="A11" s="242">
        <f t="shared" si="2"/>
        <v>6</v>
      </c>
      <c r="B11" s="242"/>
      <c r="C11" s="240">
        <v>925</v>
      </c>
      <c r="D11" s="238" t="s">
        <v>526</v>
      </c>
      <c r="E11" s="245">
        <v>902073996</v>
      </c>
      <c r="F11" s="240" t="s">
        <v>527</v>
      </c>
      <c r="G11" s="247">
        <f t="shared" si="1"/>
        <v>168752277.52000001</v>
      </c>
      <c r="H11" s="247">
        <f t="shared" si="0"/>
        <v>733321718.48000002</v>
      </c>
    </row>
    <row r="12" spans="1:24" ht="13" x14ac:dyDescent="0.3">
      <c r="A12" s="242">
        <f t="shared" si="2"/>
        <v>7</v>
      </c>
      <c r="B12" s="242"/>
      <c r="C12" s="240">
        <v>926</v>
      </c>
      <c r="D12" s="238" t="s">
        <v>528</v>
      </c>
      <c r="E12" s="245">
        <v>82906034</v>
      </c>
      <c r="F12" s="240" t="s">
        <v>529</v>
      </c>
      <c r="G12" s="247">
        <f t="shared" si="1"/>
        <v>3580760.4670550358</v>
      </c>
      <c r="H12" s="247">
        <f t="shared" si="0"/>
        <v>79325273.532944962</v>
      </c>
    </row>
    <row r="13" spans="1:24" ht="13" x14ac:dyDescent="0.3">
      <c r="A13" s="242">
        <f t="shared" si="2"/>
        <v>8</v>
      </c>
      <c r="B13" s="242"/>
      <c r="C13" s="240">
        <v>927</v>
      </c>
      <c r="D13" s="238" t="s">
        <v>530</v>
      </c>
      <c r="E13" s="245">
        <v>104335318</v>
      </c>
      <c r="F13" s="240" t="s">
        <v>531</v>
      </c>
      <c r="G13" s="247">
        <f t="shared" si="1"/>
        <v>104335318</v>
      </c>
      <c r="H13" s="247">
        <f t="shared" si="0"/>
        <v>0</v>
      </c>
    </row>
    <row r="14" spans="1:24" ht="13" x14ac:dyDescent="0.3">
      <c r="A14" s="242">
        <f t="shared" si="2"/>
        <v>9</v>
      </c>
      <c r="B14" s="242"/>
      <c r="C14" s="240">
        <v>928</v>
      </c>
      <c r="D14" s="238" t="s">
        <v>532</v>
      </c>
      <c r="E14" s="245">
        <v>11713250</v>
      </c>
      <c r="F14" s="240" t="s">
        <v>533</v>
      </c>
      <c r="G14" s="247">
        <f t="shared" si="1"/>
        <v>9979027.6099999994</v>
      </c>
      <c r="H14" s="247">
        <f t="shared" si="0"/>
        <v>1734222.3900000006</v>
      </c>
    </row>
    <row r="15" spans="1:24" ht="13" x14ac:dyDescent="0.3">
      <c r="A15" s="242">
        <f t="shared" si="2"/>
        <v>10</v>
      </c>
      <c r="B15" s="242"/>
      <c r="C15" s="240">
        <v>929</v>
      </c>
      <c r="D15" s="238" t="s">
        <v>534</v>
      </c>
      <c r="E15" s="245">
        <v>0</v>
      </c>
      <c r="F15" s="240" t="s">
        <v>535</v>
      </c>
      <c r="G15" s="247">
        <f t="shared" si="1"/>
        <v>0</v>
      </c>
      <c r="H15" s="247">
        <f t="shared" si="0"/>
        <v>0</v>
      </c>
    </row>
    <row r="16" spans="1:24" ht="13" x14ac:dyDescent="0.3">
      <c r="A16" s="242">
        <f t="shared" si="2"/>
        <v>11</v>
      </c>
      <c r="B16" s="242"/>
      <c r="C16" s="240">
        <v>930.1</v>
      </c>
      <c r="D16" s="238" t="s">
        <v>536</v>
      </c>
      <c r="E16" s="245">
        <v>11245961</v>
      </c>
      <c r="F16" s="240" t="s">
        <v>537</v>
      </c>
      <c r="G16" s="247">
        <f t="shared" si="1"/>
        <v>4498348</v>
      </c>
      <c r="H16" s="247">
        <f t="shared" si="0"/>
        <v>6747613</v>
      </c>
    </row>
    <row r="17" spans="1:8" ht="13" x14ac:dyDescent="0.3">
      <c r="A17" s="242">
        <f t="shared" si="2"/>
        <v>12</v>
      </c>
      <c r="B17" s="242"/>
      <c r="C17" s="240">
        <v>930.2</v>
      </c>
      <c r="D17" s="238" t="s">
        <v>538</v>
      </c>
      <c r="E17" s="245">
        <v>14071912</v>
      </c>
      <c r="F17" s="240" t="s">
        <v>539</v>
      </c>
      <c r="G17" s="247">
        <f t="shared" si="1"/>
        <v>5984741</v>
      </c>
      <c r="H17" s="247">
        <f t="shared" si="0"/>
        <v>8087171</v>
      </c>
    </row>
    <row r="18" spans="1:8" ht="13" x14ac:dyDescent="0.3">
      <c r="A18" s="242">
        <f t="shared" si="2"/>
        <v>13</v>
      </c>
      <c r="B18" s="242"/>
      <c r="C18" s="240">
        <v>931</v>
      </c>
      <c r="D18" s="238" t="s">
        <v>540</v>
      </c>
      <c r="E18" s="245">
        <v>8581490</v>
      </c>
      <c r="F18" s="240" t="s">
        <v>541</v>
      </c>
      <c r="G18" s="247">
        <f t="shared" si="1"/>
        <v>12016812.699999999</v>
      </c>
      <c r="H18" s="247">
        <f t="shared" si="0"/>
        <v>-3435322.6999999993</v>
      </c>
    </row>
    <row r="19" spans="1:8" ht="13" x14ac:dyDescent="0.3">
      <c r="A19" s="242">
        <f t="shared" si="2"/>
        <v>14</v>
      </c>
      <c r="B19" s="242"/>
      <c r="C19" s="240">
        <v>935</v>
      </c>
      <c r="D19" s="238" t="s">
        <v>542</v>
      </c>
      <c r="E19" s="249">
        <v>26158179</v>
      </c>
      <c r="F19" s="240" t="s">
        <v>543</v>
      </c>
      <c r="G19" s="247">
        <f t="shared" si="1"/>
        <v>811671.73</v>
      </c>
      <c r="H19" s="250">
        <f t="shared" si="0"/>
        <v>25346507.27</v>
      </c>
    </row>
    <row r="20" spans="1:8" ht="13" x14ac:dyDescent="0.3">
      <c r="A20" s="242">
        <f t="shared" si="2"/>
        <v>15</v>
      </c>
      <c r="E20" s="247">
        <f>SUM(E6:E19)</f>
        <v>1675347648</v>
      </c>
      <c r="G20" s="251" t="s">
        <v>544</v>
      </c>
      <c r="H20" s="246">
        <f>SUM(H6:H19)</f>
        <v>1219029953.1299388</v>
      </c>
    </row>
    <row r="22" spans="1:8" ht="13" x14ac:dyDescent="0.3">
      <c r="F22" s="244" t="s">
        <v>96</v>
      </c>
      <c r="G22" s="244" t="s">
        <v>98</v>
      </c>
    </row>
    <row r="23" spans="1:8" ht="13" x14ac:dyDescent="0.3">
      <c r="A23" s="242">
        <f>A20+1</f>
        <v>16</v>
      </c>
      <c r="E23" s="251" t="s">
        <v>545</v>
      </c>
      <c r="F23" s="246">
        <f>H20</f>
        <v>1219029953.1299388</v>
      </c>
      <c r="G23" s="248" t="str">
        <f>"Line "&amp;A20&amp;""</f>
        <v>Line 15</v>
      </c>
    </row>
    <row r="24" spans="1:8" ht="13" x14ac:dyDescent="0.3">
      <c r="A24" s="242">
        <f t="shared" ref="A24:A30" si="3">A23+1</f>
        <v>17</v>
      </c>
      <c r="E24" s="251" t="s">
        <v>546</v>
      </c>
      <c r="F24" s="250">
        <f>E10</f>
        <v>15607270</v>
      </c>
      <c r="G24" s="248" t="str">
        <f>"Line "&amp;A10&amp;""</f>
        <v>Line 5</v>
      </c>
    </row>
    <row r="25" spans="1:8" ht="13" x14ac:dyDescent="0.3">
      <c r="A25" s="242">
        <f t="shared" si="3"/>
        <v>18</v>
      </c>
      <c r="E25" s="251" t="s">
        <v>547</v>
      </c>
      <c r="F25" s="246">
        <f>F23-F24</f>
        <v>1203422683.1299388</v>
      </c>
      <c r="G25" s="248" t="str">
        <f>"Line "&amp;A23&amp;" - Line "&amp;A24&amp;""</f>
        <v>Line 16 - Line 17</v>
      </c>
    </row>
    <row r="26" spans="1:8" ht="13" x14ac:dyDescent="0.3">
      <c r="A26" s="242">
        <f t="shared" si="3"/>
        <v>19</v>
      </c>
      <c r="E26" s="251" t="s">
        <v>548</v>
      </c>
      <c r="F26" s="252">
        <v>6.5693761162178274E-2</v>
      </c>
      <c r="G26" s="248" t="s">
        <v>549</v>
      </c>
    </row>
    <row r="27" spans="1:8" ht="13" x14ac:dyDescent="0.3">
      <c r="A27" s="242">
        <f t="shared" si="3"/>
        <v>20</v>
      </c>
      <c r="E27" s="251" t="s">
        <v>550</v>
      </c>
      <c r="F27" s="246">
        <f>F25*F26</f>
        <v>79057362.322685942</v>
      </c>
      <c r="G27" s="248" t="str">
        <f>"Line "&amp;A25&amp;" * Line "&amp;A26&amp;""</f>
        <v>Line 18 * Line 19</v>
      </c>
    </row>
    <row r="28" spans="1:8" ht="13" x14ac:dyDescent="0.3">
      <c r="A28" s="242">
        <f t="shared" si="3"/>
        <v>21</v>
      </c>
      <c r="E28" s="251" t="s">
        <v>551</v>
      </c>
      <c r="F28" s="253">
        <v>0.18668153702052509</v>
      </c>
      <c r="G28" s="248" t="s">
        <v>552</v>
      </c>
    </row>
    <row r="29" spans="1:8" ht="13" x14ac:dyDescent="0.3">
      <c r="A29" s="242">
        <f t="shared" si="3"/>
        <v>22</v>
      </c>
      <c r="E29" s="251" t="s">
        <v>553</v>
      </c>
      <c r="F29" s="250">
        <f>H10*F28</f>
        <v>2913589.1522943308</v>
      </c>
      <c r="G29" s="248" t="str">
        <f>"Line "&amp;A10&amp;" Col 4 * Line "&amp;A28&amp;""</f>
        <v>Line 5 Col 4 * Line 21</v>
      </c>
    </row>
    <row r="30" spans="1:8" ht="13" x14ac:dyDescent="0.3">
      <c r="A30" s="242">
        <f t="shared" si="3"/>
        <v>23</v>
      </c>
      <c r="E30" s="251" t="s">
        <v>554</v>
      </c>
      <c r="F30" s="246">
        <f>F27+F29</f>
        <v>81970951.47498028</v>
      </c>
      <c r="G30" s="248" t="str">
        <f>"Line "&amp;A27&amp;" + Line "&amp;A29&amp;""</f>
        <v>Line 20 + Line 22</v>
      </c>
    </row>
    <row r="32" spans="1:8" ht="13" x14ac:dyDescent="0.3">
      <c r="B32" s="237" t="s">
        <v>555</v>
      </c>
      <c r="E32" s="241" t="s">
        <v>12</v>
      </c>
      <c r="F32" s="241" t="s">
        <v>343</v>
      </c>
      <c r="G32" s="241" t="s">
        <v>361</v>
      </c>
      <c r="H32" s="241" t="s">
        <v>13</v>
      </c>
    </row>
    <row r="33" spans="1:11" ht="13" x14ac:dyDescent="0.3">
      <c r="B33" s="237"/>
      <c r="E33" s="242" t="s">
        <v>556</v>
      </c>
      <c r="F33" s="241"/>
      <c r="G33" s="241"/>
      <c r="H33" s="241"/>
    </row>
    <row r="34" spans="1:11" ht="13" x14ac:dyDescent="0.3">
      <c r="E34" s="242" t="s">
        <v>557</v>
      </c>
    </row>
    <row r="35" spans="1:11" ht="13" x14ac:dyDescent="0.3">
      <c r="D35" s="242" t="s">
        <v>558</v>
      </c>
      <c r="E35" s="242" t="s">
        <v>559</v>
      </c>
      <c r="F35" s="242" t="s">
        <v>560</v>
      </c>
      <c r="G35" s="242"/>
      <c r="H35" s="242"/>
    </row>
    <row r="36" spans="1:11" ht="13.5" thickBot="1" x14ac:dyDescent="0.35">
      <c r="C36" s="244" t="s">
        <v>513</v>
      </c>
      <c r="D36" s="241" t="s">
        <v>561</v>
      </c>
      <c r="E36" s="244" t="s">
        <v>562</v>
      </c>
      <c r="F36" s="244" t="s">
        <v>563</v>
      </c>
      <c r="G36" s="244" t="s">
        <v>564</v>
      </c>
      <c r="H36" s="244" t="s">
        <v>565</v>
      </c>
      <c r="I36" s="244" t="s">
        <v>107</v>
      </c>
    </row>
    <row r="37" spans="1:11" ht="13.5" thickBot="1" x14ac:dyDescent="0.35">
      <c r="A37" s="242">
        <f>A30+1</f>
        <v>24</v>
      </c>
      <c r="C37" s="240">
        <v>920</v>
      </c>
      <c r="D37" s="254">
        <f>SUM(E37:H37)</f>
        <v>213480967.18284771</v>
      </c>
      <c r="E37" s="255">
        <v>79510926.055259317</v>
      </c>
      <c r="F37" s="57"/>
      <c r="G37" s="247">
        <f>G59</f>
        <v>133970041.12758839</v>
      </c>
      <c r="H37" s="57"/>
      <c r="I37" s="248" t="s">
        <v>566</v>
      </c>
    </row>
    <row r="38" spans="1:11" ht="13" x14ac:dyDescent="0.3">
      <c r="A38" s="242">
        <f>A37+1</f>
        <v>25</v>
      </c>
      <c r="C38" s="240">
        <v>921</v>
      </c>
      <c r="D38" s="256">
        <f t="shared" ref="D38:D50" si="4">SUM(E38:H38)</f>
        <v>2351967.084740696</v>
      </c>
      <c r="E38" s="57">
        <v>2351967.084740696</v>
      </c>
      <c r="F38" s="57"/>
      <c r="G38" s="57">
        <v>0</v>
      </c>
      <c r="H38" s="57"/>
      <c r="I38" s="248"/>
    </row>
    <row r="39" spans="1:11" ht="13.5" thickBot="1" x14ac:dyDescent="0.35">
      <c r="A39" s="242">
        <f t="shared" ref="A39:A50" si="5">A38+1</f>
        <v>26</v>
      </c>
      <c r="C39" s="240">
        <v>922</v>
      </c>
      <c r="D39" s="256">
        <f t="shared" si="4"/>
        <v>-77722052.712449998</v>
      </c>
      <c r="E39" s="57">
        <v>-10359095.712450001</v>
      </c>
      <c r="F39" s="57"/>
      <c r="G39" s="66">
        <v>-67362957</v>
      </c>
      <c r="H39" s="57"/>
      <c r="I39" s="248"/>
    </row>
    <row r="40" spans="1:11" ht="13.5" thickBot="1" x14ac:dyDescent="0.35">
      <c r="A40" s="242">
        <f t="shared" si="5"/>
        <v>27</v>
      </c>
      <c r="C40" s="240">
        <v>923</v>
      </c>
      <c r="D40" s="254">
        <f t="shared" si="4"/>
        <v>8247856.2878677836</v>
      </c>
      <c r="E40" s="255">
        <v>8247856.2878677836</v>
      </c>
      <c r="F40" s="57"/>
      <c r="G40" s="57">
        <v>0</v>
      </c>
      <c r="H40" s="57"/>
      <c r="I40" s="248"/>
      <c r="J40" s="244"/>
      <c r="K40" s="244"/>
    </row>
    <row r="41" spans="1:11" ht="13.5" thickBot="1" x14ac:dyDescent="0.35">
      <c r="A41" s="242">
        <f t="shared" si="5"/>
        <v>28</v>
      </c>
      <c r="C41" s="240">
        <v>924</v>
      </c>
      <c r="D41" s="256">
        <f t="shared" si="4"/>
        <v>0</v>
      </c>
      <c r="E41" s="57">
        <v>0</v>
      </c>
      <c r="F41" s="57"/>
      <c r="G41" s="57">
        <v>0</v>
      </c>
      <c r="H41" s="57"/>
      <c r="I41" s="248"/>
      <c r="K41" s="247"/>
    </row>
    <row r="42" spans="1:11" ht="13.5" thickBot="1" x14ac:dyDescent="0.35">
      <c r="A42" s="242">
        <f t="shared" si="5"/>
        <v>29</v>
      </c>
      <c r="C42" s="240">
        <v>925</v>
      </c>
      <c r="D42" s="254">
        <f t="shared" si="4"/>
        <v>168752277.52000001</v>
      </c>
      <c r="E42" s="255">
        <v>168752277.52000001</v>
      </c>
      <c r="F42" s="57"/>
      <c r="G42" s="57">
        <v>0</v>
      </c>
      <c r="H42" s="57"/>
      <c r="I42" s="248"/>
      <c r="K42" s="247"/>
    </row>
    <row r="43" spans="1:11" ht="13" x14ac:dyDescent="0.3">
      <c r="A43" s="242">
        <f t="shared" si="5"/>
        <v>30</v>
      </c>
      <c r="C43" s="240">
        <v>926</v>
      </c>
      <c r="D43" s="256">
        <f t="shared" si="4"/>
        <v>3580760.4670550358</v>
      </c>
      <c r="E43" s="57">
        <v>15470760.467055036</v>
      </c>
      <c r="F43" s="57"/>
      <c r="G43" s="57">
        <v>0</v>
      </c>
      <c r="H43" s="247">
        <f>E72</f>
        <v>-11890000</v>
      </c>
      <c r="I43" s="248" t="s">
        <v>455</v>
      </c>
      <c r="K43" s="247"/>
    </row>
    <row r="44" spans="1:11" ht="13" x14ac:dyDescent="0.3">
      <c r="A44" s="242">
        <f t="shared" si="5"/>
        <v>31</v>
      </c>
      <c r="C44" s="240">
        <v>927</v>
      </c>
      <c r="D44" s="256">
        <f t="shared" si="4"/>
        <v>104335318</v>
      </c>
      <c r="E44" s="247">
        <v>0</v>
      </c>
      <c r="F44" s="247">
        <f>E13</f>
        <v>104335318</v>
      </c>
      <c r="G44" s="247">
        <v>0</v>
      </c>
      <c r="H44" s="247">
        <v>0</v>
      </c>
      <c r="I44" s="248" t="s">
        <v>14</v>
      </c>
      <c r="K44" s="247"/>
    </row>
    <row r="45" spans="1:11" ht="13" x14ac:dyDescent="0.3">
      <c r="A45" s="242">
        <f t="shared" si="5"/>
        <v>32</v>
      </c>
      <c r="C45" s="240">
        <v>928</v>
      </c>
      <c r="D45" s="256">
        <f t="shared" si="4"/>
        <v>9979027.6099999994</v>
      </c>
      <c r="E45" s="57">
        <v>9979027.6099999994</v>
      </c>
      <c r="F45" s="57"/>
      <c r="G45" s="57">
        <v>0</v>
      </c>
      <c r="H45" s="57"/>
      <c r="I45" s="248"/>
      <c r="K45" s="247"/>
    </row>
    <row r="46" spans="1:11" ht="13" x14ac:dyDescent="0.3">
      <c r="A46" s="242">
        <f t="shared" si="5"/>
        <v>33</v>
      </c>
      <c r="C46" s="240">
        <v>929</v>
      </c>
      <c r="D46" s="256">
        <f t="shared" si="4"/>
        <v>0</v>
      </c>
      <c r="E46" s="57">
        <v>0</v>
      </c>
      <c r="F46" s="57"/>
      <c r="G46" s="57">
        <v>0</v>
      </c>
      <c r="H46" s="57"/>
      <c r="I46" s="248"/>
      <c r="K46" s="247"/>
    </row>
    <row r="47" spans="1:11" ht="13" x14ac:dyDescent="0.3">
      <c r="A47" s="242">
        <f t="shared" si="5"/>
        <v>34</v>
      </c>
      <c r="C47" s="240">
        <v>930.1</v>
      </c>
      <c r="D47" s="256">
        <f t="shared" si="4"/>
        <v>4498348</v>
      </c>
      <c r="E47" s="57">
        <v>4498348</v>
      </c>
      <c r="F47" s="57"/>
      <c r="G47" s="57">
        <v>0</v>
      </c>
      <c r="H47" s="57"/>
      <c r="I47" s="248"/>
      <c r="K47" s="247"/>
    </row>
    <row r="48" spans="1:11" ht="13" x14ac:dyDescent="0.3">
      <c r="A48" s="242">
        <f t="shared" si="5"/>
        <v>35</v>
      </c>
      <c r="C48" s="240">
        <v>930.2</v>
      </c>
      <c r="D48" s="256">
        <f t="shared" si="4"/>
        <v>5984741</v>
      </c>
      <c r="E48" s="57">
        <v>5984741</v>
      </c>
      <c r="F48" s="57"/>
      <c r="G48" s="57">
        <v>0</v>
      </c>
      <c r="H48" s="57"/>
      <c r="I48" s="248"/>
      <c r="J48" s="247"/>
    </row>
    <row r="49" spans="1:10" ht="13" x14ac:dyDescent="0.3">
      <c r="A49" s="242">
        <f t="shared" si="5"/>
        <v>36</v>
      </c>
      <c r="C49" s="240">
        <v>931</v>
      </c>
      <c r="D49" s="256">
        <f t="shared" si="4"/>
        <v>12016812.699999999</v>
      </c>
      <c r="E49" s="57">
        <v>12016812.699999999</v>
      </c>
      <c r="F49" s="57"/>
      <c r="G49" s="57">
        <v>0</v>
      </c>
      <c r="H49" s="57"/>
      <c r="I49" s="248"/>
      <c r="J49" s="247"/>
    </row>
    <row r="50" spans="1:10" ht="13" x14ac:dyDescent="0.3">
      <c r="A50" s="242">
        <f t="shared" si="5"/>
        <v>37</v>
      </c>
      <c r="C50" s="240">
        <v>935</v>
      </c>
      <c r="D50" s="256">
        <f t="shared" si="4"/>
        <v>811671.73</v>
      </c>
      <c r="E50" s="57">
        <v>811671.73</v>
      </c>
      <c r="F50" s="57"/>
      <c r="G50" s="57">
        <v>0</v>
      </c>
      <c r="H50" s="57"/>
      <c r="I50" s="248"/>
    </row>
    <row r="51" spans="1:10" ht="13" x14ac:dyDescent="0.3">
      <c r="A51" s="242"/>
      <c r="C51" s="240"/>
      <c r="D51" s="256"/>
      <c r="E51" s="57"/>
      <c r="F51" s="57"/>
      <c r="G51" s="57"/>
      <c r="H51" s="57"/>
      <c r="I51" s="248"/>
    </row>
    <row r="52" spans="1:10" ht="13" x14ac:dyDescent="0.3">
      <c r="A52" s="242"/>
      <c r="C52" s="240"/>
      <c r="D52" s="256"/>
      <c r="E52" s="247"/>
      <c r="F52" s="247"/>
      <c r="G52" s="247"/>
      <c r="H52" s="247"/>
      <c r="I52" s="248"/>
    </row>
    <row r="53" spans="1:10" ht="13" x14ac:dyDescent="0.3">
      <c r="B53" s="237" t="s">
        <v>567</v>
      </c>
    </row>
    <row r="54" spans="1:10" ht="13" x14ac:dyDescent="0.3">
      <c r="B54" s="237"/>
      <c r="C54" s="238" t="s">
        <v>568</v>
      </c>
      <c r="G54" s="242"/>
      <c r="H54" s="242"/>
    </row>
    <row r="55" spans="1:10" ht="13" x14ac:dyDescent="0.3">
      <c r="B55" s="237"/>
      <c r="C55" s="50" t="s">
        <v>569</v>
      </c>
      <c r="D55" s="50"/>
      <c r="E55" s="50"/>
      <c r="G55" s="242"/>
      <c r="H55" s="242"/>
    </row>
    <row r="56" spans="1:10" ht="13" x14ac:dyDescent="0.3">
      <c r="B56" s="237"/>
      <c r="G56" s="244" t="s">
        <v>96</v>
      </c>
      <c r="H56" s="244" t="s">
        <v>98</v>
      </c>
    </row>
    <row r="57" spans="1:10" ht="13" x14ac:dyDescent="0.3">
      <c r="A57" s="242"/>
      <c r="B57" s="242" t="s">
        <v>187</v>
      </c>
      <c r="F57" s="251" t="s">
        <v>570</v>
      </c>
      <c r="G57" s="57">
        <v>148050456</v>
      </c>
      <c r="H57" s="248" t="s">
        <v>300</v>
      </c>
    </row>
    <row r="58" spans="1:10" ht="13" x14ac:dyDescent="0.3">
      <c r="A58" s="242"/>
      <c r="B58" s="242" t="s">
        <v>190</v>
      </c>
      <c r="F58" s="251" t="s">
        <v>571</v>
      </c>
      <c r="G58" s="250">
        <f>E62</f>
        <v>14080414.872411605</v>
      </c>
      <c r="H58" s="248" t="str">
        <f>"Note 2, "&amp;B62&amp;""</f>
        <v>Note 2, d</v>
      </c>
    </row>
    <row r="59" spans="1:10" ht="13" x14ac:dyDescent="0.3">
      <c r="A59" s="242"/>
      <c r="B59" s="242" t="s">
        <v>193</v>
      </c>
      <c r="F59" s="251" t="s">
        <v>572</v>
      </c>
      <c r="G59" s="247">
        <f>G57-G58</f>
        <v>133970041.12758839</v>
      </c>
    </row>
    <row r="60" spans="1:10" ht="13" x14ac:dyDescent="0.3">
      <c r="A60" s="242"/>
      <c r="C60" s="50" t="s">
        <v>573</v>
      </c>
      <c r="D60" s="50"/>
      <c r="E60" s="50"/>
      <c r="G60" s="247"/>
    </row>
    <row r="61" spans="1:10" ht="13" x14ac:dyDescent="0.3">
      <c r="A61" s="242"/>
      <c r="D61" s="257" t="s">
        <v>574</v>
      </c>
      <c r="E61" s="244" t="s">
        <v>96</v>
      </c>
      <c r="F61" s="244" t="s">
        <v>98</v>
      </c>
      <c r="G61" s="247"/>
    </row>
    <row r="62" spans="1:10" ht="13" x14ac:dyDescent="0.3">
      <c r="A62" s="242"/>
      <c r="B62" s="242" t="s">
        <v>195</v>
      </c>
      <c r="D62" s="238" t="s">
        <v>575</v>
      </c>
      <c r="E62" s="66">
        <v>14080414.872411605</v>
      </c>
      <c r="F62" s="248" t="s">
        <v>576</v>
      </c>
      <c r="G62" s="247"/>
    </row>
    <row r="63" spans="1:10" ht="13" x14ac:dyDescent="0.3">
      <c r="A63" s="242"/>
      <c r="B63" s="242" t="s">
        <v>199</v>
      </c>
      <c r="D63" s="238" t="s">
        <v>577</v>
      </c>
      <c r="E63" s="66">
        <v>6519087.5034648124</v>
      </c>
      <c r="F63" s="248" t="s">
        <v>576</v>
      </c>
      <c r="G63" s="247"/>
      <c r="I63" s="102"/>
    </row>
    <row r="64" spans="1:10" ht="13" x14ac:dyDescent="0.3">
      <c r="A64" s="242"/>
      <c r="B64" s="242" t="s">
        <v>202</v>
      </c>
      <c r="D64" s="238" t="s">
        <v>578</v>
      </c>
      <c r="E64" s="103">
        <v>22710657.624123573</v>
      </c>
      <c r="F64" s="248" t="s">
        <v>576</v>
      </c>
      <c r="G64" s="247"/>
      <c r="I64" s="247"/>
    </row>
    <row r="65" spans="1:7" ht="13" x14ac:dyDescent="0.3">
      <c r="A65" s="242"/>
      <c r="B65" s="242" t="s">
        <v>205</v>
      </c>
      <c r="D65" s="251" t="s">
        <v>84</v>
      </c>
      <c r="E65" s="247">
        <f>SUM(E62:E64)</f>
        <v>43310159.999999993</v>
      </c>
      <c r="F65" s="248" t="str">
        <f>"Sum of "&amp;B62&amp;" to "&amp;B64&amp;""</f>
        <v>Sum of d to f</v>
      </c>
      <c r="G65" s="247"/>
    </row>
    <row r="67" spans="1:7" ht="13" x14ac:dyDescent="0.3">
      <c r="B67" s="237" t="s">
        <v>579</v>
      </c>
    </row>
    <row r="68" spans="1:7" ht="13" x14ac:dyDescent="0.3">
      <c r="E68" s="244" t="s">
        <v>96</v>
      </c>
      <c r="F68" s="257" t="s">
        <v>580</v>
      </c>
    </row>
    <row r="69" spans="1:7" ht="13" x14ac:dyDescent="0.3">
      <c r="A69" s="242"/>
      <c r="B69" s="242" t="s">
        <v>187</v>
      </c>
      <c r="D69" s="251" t="s">
        <v>581</v>
      </c>
      <c r="E69" s="247">
        <v>6329000</v>
      </c>
      <c r="F69" s="248" t="s">
        <v>582</v>
      </c>
      <c r="G69" s="258"/>
    </row>
    <row r="70" spans="1:7" ht="13" x14ac:dyDescent="0.3">
      <c r="A70" s="242"/>
      <c r="B70" s="242" t="s">
        <v>190</v>
      </c>
      <c r="D70" s="251" t="s">
        <v>583</v>
      </c>
      <c r="E70" s="259">
        <v>18219000</v>
      </c>
      <c r="F70" s="248" t="s">
        <v>584</v>
      </c>
    </row>
    <row r="71" spans="1:7" ht="13" x14ac:dyDescent="0.3">
      <c r="A71" s="242"/>
      <c r="B71" s="242" t="s">
        <v>193</v>
      </c>
      <c r="D71" s="251" t="s">
        <v>585</v>
      </c>
      <c r="E71" s="260">
        <v>6329000</v>
      </c>
      <c r="F71" s="248" t="s">
        <v>300</v>
      </c>
    </row>
    <row r="72" spans="1:7" ht="13" x14ac:dyDescent="0.3">
      <c r="A72" s="242"/>
      <c r="B72" s="242" t="s">
        <v>195</v>
      </c>
      <c r="D72" s="251" t="s">
        <v>586</v>
      </c>
      <c r="E72" s="247">
        <f>E71-E70</f>
        <v>-11890000</v>
      </c>
      <c r="F72" s="248" t="str">
        <f>""&amp;B71&amp;" - "&amp;B70&amp;""</f>
        <v>c - b</v>
      </c>
    </row>
    <row r="73" spans="1:7" ht="13" x14ac:dyDescent="0.3">
      <c r="A73" s="242"/>
      <c r="B73" s="237" t="s">
        <v>587</v>
      </c>
      <c r="D73" s="251"/>
      <c r="E73" s="247"/>
      <c r="F73" s="248"/>
    </row>
    <row r="74" spans="1:7" ht="13" x14ac:dyDescent="0.3">
      <c r="A74" s="242"/>
      <c r="B74" s="237"/>
      <c r="C74" s="238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4" s="251"/>
      <c r="E74" s="247"/>
      <c r="F74" s="248"/>
    </row>
    <row r="75" spans="1:7" ht="13" x14ac:dyDescent="0.3">
      <c r="A75" s="242"/>
      <c r="B75" s="237"/>
      <c r="C75" s="238" t="s">
        <v>588</v>
      </c>
      <c r="D75" s="251"/>
      <c r="E75" s="247"/>
      <c r="F75" s="248"/>
    </row>
    <row r="77" spans="1:7" ht="13" x14ac:dyDescent="0.3">
      <c r="B77" s="237" t="s">
        <v>175</v>
      </c>
    </row>
    <row r="78" spans="1:7" x14ac:dyDescent="0.25">
      <c r="C78" s="238" t="str">
        <f>"1) Enter amounts of A&amp;G expenses from FERC Form 1 in Lines "&amp;A6&amp;" to "&amp;A19&amp;"."</f>
        <v>1) Enter amounts of A&amp;G expenses from FERC Form 1 in Lines 1 to 14.</v>
      </c>
    </row>
    <row r="79" spans="1:7" x14ac:dyDescent="0.25">
      <c r="C79" s="238" t="s">
        <v>589</v>
      </c>
      <c r="G79" s="238" t="str">
        <f>"Column 3, Line "&amp;A37&amp;""</f>
        <v>Column 3, Line 24</v>
      </c>
    </row>
    <row r="80" spans="1:7" x14ac:dyDescent="0.25">
      <c r="C80" s="248" t="str">
        <f>"is calculated in Note 2.  The PBOPs exclusion in Column 4, Line "&amp;A43&amp;" is calculated in Note 3."</f>
        <v>is calculated in Note 2.  The PBOPs exclusion in Column 4, Line 30 is calculated in Note 3.</v>
      </c>
    </row>
    <row r="81" spans="3:7" x14ac:dyDescent="0.25">
      <c r="C81" s="248" t="s">
        <v>590</v>
      </c>
    </row>
    <row r="82" spans="3:7" x14ac:dyDescent="0.25">
      <c r="C82" s="248" t="s">
        <v>591</v>
      </c>
      <c r="D82" s="251"/>
      <c r="E82" s="247"/>
      <c r="F82" s="248"/>
    </row>
    <row r="83" spans="3:7" x14ac:dyDescent="0.25">
      <c r="C83" s="248" t="s">
        <v>592</v>
      </c>
      <c r="D83" s="251"/>
      <c r="E83" s="247"/>
      <c r="F83" s="248"/>
    </row>
    <row r="84" spans="3:7" x14ac:dyDescent="0.25">
      <c r="C84" s="248" t="s">
        <v>593</v>
      </c>
    </row>
    <row r="85" spans="3:7" x14ac:dyDescent="0.25">
      <c r="C85" s="248" t="s">
        <v>594</v>
      </c>
    </row>
    <row r="86" spans="3:7" x14ac:dyDescent="0.25">
      <c r="C86" s="248" t="s">
        <v>595</v>
      </c>
    </row>
    <row r="87" spans="3:7" x14ac:dyDescent="0.25">
      <c r="C87" s="248" t="s">
        <v>596</v>
      </c>
    </row>
    <row r="88" spans="3:7" x14ac:dyDescent="0.25">
      <c r="C88" s="248" t="s">
        <v>597</v>
      </c>
    </row>
    <row r="89" spans="3:7" x14ac:dyDescent="0.25">
      <c r="C89" s="248" t="s">
        <v>598</v>
      </c>
      <c r="E89" s="261"/>
      <c r="F89" s="261"/>
      <c r="G89" s="261"/>
    </row>
    <row r="90" spans="3:7" x14ac:dyDescent="0.25">
      <c r="C90" s="262" t="s">
        <v>599</v>
      </c>
      <c r="E90" s="261"/>
      <c r="F90" s="261"/>
      <c r="G90" s="261"/>
    </row>
    <row r="91" spans="3:7" x14ac:dyDescent="0.25">
      <c r="C91" s="262" t="s">
        <v>600</v>
      </c>
      <c r="E91" s="261"/>
      <c r="F91" s="261"/>
      <c r="G91" s="261"/>
    </row>
    <row r="92" spans="3:7" x14ac:dyDescent="0.25">
      <c r="C92" s="262" t="s">
        <v>601</v>
      </c>
      <c r="E92" s="261"/>
      <c r="F92" s="261"/>
      <c r="G92" s="261"/>
    </row>
    <row r="93" spans="3:7" x14ac:dyDescent="0.25">
      <c r="C93" s="248" t="s">
        <v>602</v>
      </c>
      <c r="E93" s="261"/>
      <c r="F93" s="261"/>
      <c r="G93" s="261"/>
    </row>
    <row r="94" spans="3:7" x14ac:dyDescent="0.25">
      <c r="C94" s="262" t="s">
        <v>603</v>
      </c>
      <c r="E94" s="261"/>
      <c r="F94" s="261"/>
      <c r="G94" s="261"/>
    </row>
    <row r="95" spans="3:7" x14ac:dyDescent="0.25">
      <c r="C95" s="262" t="s">
        <v>604</v>
      </c>
      <c r="E95" s="261"/>
      <c r="F95" s="261"/>
      <c r="G95" s="261"/>
    </row>
    <row r="96" spans="3:7" x14ac:dyDescent="0.25">
      <c r="C96" s="262" t="s">
        <v>605</v>
      </c>
      <c r="E96" s="261"/>
      <c r="F96" s="261"/>
      <c r="G96" s="261"/>
    </row>
    <row r="97" spans="3:10" x14ac:dyDescent="0.25">
      <c r="C97" s="262" t="s">
        <v>606</v>
      </c>
      <c r="E97" s="261"/>
      <c r="F97" s="261"/>
      <c r="G97" s="261"/>
    </row>
    <row r="98" spans="3:10" ht="13" x14ac:dyDescent="0.3">
      <c r="C98" s="104" t="s">
        <v>607</v>
      </c>
      <c r="D98" s="50"/>
      <c r="E98" s="50"/>
      <c r="F98" s="50"/>
      <c r="G98" s="50"/>
      <c r="H98" s="50"/>
      <c r="I98" s="50"/>
      <c r="J98" s="50"/>
    </row>
    <row r="99" spans="3:10" x14ac:dyDescent="0.25">
      <c r="C99" s="238" t="s">
        <v>608</v>
      </c>
    </row>
    <row r="100" spans="3:10" x14ac:dyDescent="0.25">
      <c r="C100" s="104" t="s">
        <v>609</v>
      </c>
      <c r="D100" s="50"/>
      <c r="E100" s="50"/>
      <c r="F100" s="50"/>
      <c r="G100" s="50"/>
      <c r="H100" s="50"/>
      <c r="I100" s="50"/>
    </row>
    <row r="101" spans="3:10" x14ac:dyDescent="0.25">
      <c r="C101" s="238" t="str">
        <f>"4) Determine the PBOPs exclusion.  The authorized amount of PBOPs expense (line "&amp;B69&amp;") may only be revised"</f>
        <v>4) Determine the PBOPs exclusion.  The authorized amount of PBOPs expense (line a) may only be revised</v>
      </c>
    </row>
    <row r="102" spans="3:10" x14ac:dyDescent="0.25">
      <c r="C102" s="238" t="s">
        <v>610</v>
      </c>
    </row>
    <row r="103" spans="3:10" x14ac:dyDescent="0.25">
      <c r="C103" s="238" t="s">
        <v>611</v>
      </c>
    </row>
    <row r="104" spans="3:10" x14ac:dyDescent="0.25">
      <c r="C104" s="238" t="s">
        <v>612</v>
      </c>
      <c r="I104" s="73" t="s">
        <v>613</v>
      </c>
      <c r="J104" s="73"/>
    </row>
    <row r="105" spans="3:10" x14ac:dyDescent="0.25">
      <c r="C105" s="238" t="s">
        <v>614</v>
      </c>
    </row>
  </sheetData>
  <pageMargins left="0.75" right="0.75" top="1" bottom="1" header="0.5" footer="0.5"/>
  <pageSetup scale="68" orientation="landscape" cellComments="asDisplayed" r:id="rId1"/>
  <headerFooter alignWithMargins="0">
    <oddHeader xml:space="preserve">&amp;CSchedule 20
Administrative and General Expenses
(TO2018 EDIT Adj)&amp;RTO2021 Annual Update
Attachment 4
WP-Schedule 3-One Time Adjustment Transition
Page &amp;P of &amp;N
</oddHeader>
    <oddFooter>&amp;R&amp;A</oddFooter>
  </headerFooter>
  <rowBreaks count="2" manualBreakCount="2">
    <brk id="52" max="9" man="1"/>
    <brk id="76" max="16383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8042C-D1DD-46B0-A270-F00E5AE860AC}">
  <sheetPr codeName="Sheet16">
    <tabColor rgb="FFCCFFCC"/>
  </sheetPr>
  <dimension ref="A1:N173"/>
  <sheetViews>
    <sheetView zoomScaleNormal="100" workbookViewId="0"/>
  </sheetViews>
  <sheetFormatPr defaultRowHeight="12.5" x14ac:dyDescent="0.25"/>
  <cols>
    <col min="1" max="2" width="4.54296875" style="319" customWidth="1"/>
    <col min="3" max="3" width="18.54296875" style="319" customWidth="1"/>
    <col min="4" max="4" width="10.453125" style="319" bestFit="1" customWidth="1"/>
    <col min="5" max="7" width="15.54296875" style="319" customWidth="1"/>
    <col min="8" max="8" width="24.54296875" style="319" customWidth="1"/>
    <col min="9" max="9" width="4.54296875" style="319" customWidth="1"/>
    <col min="10" max="10" width="15.54296875" style="319" customWidth="1"/>
    <col min="11" max="11" width="2.54296875" style="319" customWidth="1"/>
    <col min="12" max="12" width="18.08984375" style="319" customWidth="1"/>
    <col min="13" max="13" width="4.453125" style="319" customWidth="1"/>
    <col min="14" max="14" width="15.453125" style="319" customWidth="1"/>
    <col min="15" max="16384" width="8.7265625" style="319"/>
  </cols>
  <sheetData>
    <row r="1" spans="1:14" ht="13" x14ac:dyDescent="0.3">
      <c r="A1" s="318" t="s">
        <v>100</v>
      </c>
    </row>
    <row r="3" spans="1:14" ht="13" x14ac:dyDescent="0.3">
      <c r="B3" s="320" t="s">
        <v>101</v>
      </c>
      <c r="L3" s="321"/>
    </row>
    <row r="4" spans="1:14" ht="13" x14ac:dyDescent="0.3">
      <c r="B4" s="322"/>
      <c r="F4" s="321" t="s">
        <v>102</v>
      </c>
      <c r="G4" s="321"/>
      <c r="H4" s="321" t="s">
        <v>103</v>
      </c>
      <c r="L4" s="321"/>
      <c r="N4" s="321"/>
    </row>
    <row r="5" spans="1:14" ht="13" x14ac:dyDescent="0.3">
      <c r="A5" s="323" t="s">
        <v>104</v>
      </c>
      <c r="B5" s="324"/>
      <c r="C5" s="325" t="s">
        <v>105</v>
      </c>
      <c r="F5" s="326" t="s">
        <v>106</v>
      </c>
      <c r="G5" s="326" t="s">
        <v>107</v>
      </c>
      <c r="H5" s="326" t="s">
        <v>108</v>
      </c>
      <c r="J5" s="326" t="s">
        <v>96</v>
      </c>
      <c r="L5" s="326"/>
      <c r="N5" s="326"/>
    </row>
    <row r="6" spans="1:14" ht="13" x14ac:dyDescent="0.3">
      <c r="A6" s="321">
        <v>1</v>
      </c>
      <c r="C6" s="327" t="s">
        <v>109</v>
      </c>
      <c r="F6" s="319" t="s">
        <v>110</v>
      </c>
      <c r="H6" s="327" t="s">
        <v>766</v>
      </c>
      <c r="J6" s="328">
        <v>8939630709.3337479</v>
      </c>
      <c r="L6" s="328"/>
      <c r="N6" s="328"/>
    </row>
    <row r="7" spans="1:14" ht="13" x14ac:dyDescent="0.3">
      <c r="A7" s="321">
        <f>A6+1</f>
        <v>2</v>
      </c>
      <c r="C7" s="327" t="s">
        <v>111</v>
      </c>
      <c r="F7" s="319" t="s">
        <v>112</v>
      </c>
      <c r="H7" s="327" t="s">
        <v>767</v>
      </c>
      <c r="J7" s="328">
        <v>288986135.3460899</v>
      </c>
      <c r="L7" s="328"/>
      <c r="N7" s="328"/>
    </row>
    <row r="8" spans="1:14" ht="13" x14ac:dyDescent="0.3">
      <c r="A8" s="321">
        <f>A7+1</f>
        <v>3</v>
      </c>
      <c r="C8" s="327" t="s">
        <v>113</v>
      </c>
      <c r="F8" s="319" t="s">
        <v>112</v>
      </c>
      <c r="H8" s="319" t="s">
        <v>770</v>
      </c>
      <c r="J8" s="328">
        <v>9942155</v>
      </c>
      <c r="L8" s="328"/>
      <c r="N8" s="328"/>
    </row>
    <row r="9" spans="1:14" ht="13" x14ac:dyDescent="0.3">
      <c r="A9" s="321">
        <f>A8+1</f>
        <v>4</v>
      </c>
      <c r="C9" s="327" t="s">
        <v>114</v>
      </c>
      <c r="F9" s="319" t="s">
        <v>112</v>
      </c>
      <c r="H9" s="329" t="s">
        <v>773</v>
      </c>
      <c r="J9" s="328">
        <v>0</v>
      </c>
      <c r="L9" s="328"/>
      <c r="N9" s="328"/>
    </row>
    <row r="10" spans="1:14" ht="13" x14ac:dyDescent="0.3">
      <c r="A10" s="321"/>
      <c r="C10" s="327"/>
      <c r="J10" s="328"/>
      <c r="L10" s="328"/>
      <c r="N10" s="328"/>
    </row>
    <row r="11" spans="1:14" ht="13" x14ac:dyDescent="0.3">
      <c r="A11" s="321"/>
      <c r="C11" s="330" t="s">
        <v>115</v>
      </c>
      <c r="J11" s="328"/>
      <c r="L11" s="328"/>
      <c r="N11" s="328"/>
    </row>
    <row r="12" spans="1:14" ht="13" x14ac:dyDescent="0.3">
      <c r="A12" s="321">
        <f>A9+1</f>
        <v>5</v>
      </c>
      <c r="C12" s="331" t="s">
        <v>116</v>
      </c>
      <c r="F12" s="319" t="s">
        <v>110</v>
      </c>
      <c r="H12" s="327" t="s">
        <v>776</v>
      </c>
      <c r="J12" s="328">
        <v>21476899.868948326</v>
      </c>
      <c r="L12" s="328"/>
      <c r="N12" s="328"/>
    </row>
    <row r="13" spans="1:14" ht="13" x14ac:dyDescent="0.3">
      <c r="A13" s="321">
        <f>A12+1</f>
        <v>6</v>
      </c>
      <c r="C13" s="324" t="s">
        <v>117</v>
      </c>
      <c r="F13" s="319" t="s">
        <v>110</v>
      </c>
      <c r="H13" s="327" t="s">
        <v>777</v>
      </c>
      <c r="J13" s="328">
        <v>21286307.043254811</v>
      </c>
      <c r="L13" s="328"/>
      <c r="N13" s="328"/>
    </row>
    <row r="14" spans="1:14" ht="13" x14ac:dyDescent="0.3">
      <c r="A14" s="321">
        <f>A13+1</f>
        <v>7</v>
      </c>
      <c r="C14" s="331" t="s">
        <v>118</v>
      </c>
      <c r="F14" s="329" t="s">
        <v>119</v>
      </c>
      <c r="H14" s="319" t="s">
        <v>780</v>
      </c>
      <c r="J14" s="332">
        <v>24081045.83861341</v>
      </c>
      <c r="L14" s="335"/>
      <c r="N14" s="328"/>
    </row>
    <row r="15" spans="1:14" ht="13" x14ac:dyDescent="0.3">
      <c r="A15" s="321">
        <f>A14+1</f>
        <v>8</v>
      </c>
      <c r="C15" s="331" t="s">
        <v>120</v>
      </c>
      <c r="H15" s="319" t="str">
        <f>"Line "&amp;A12&amp;" + Line "&amp;A13&amp;" + Line "&amp;A14&amp;""</f>
        <v>Line 5 + Line 6 + Line 7</v>
      </c>
      <c r="J15" s="333">
        <f>SUM(J12:J14)</f>
        <v>66844252.750816539</v>
      </c>
      <c r="L15" s="328"/>
      <c r="N15" s="328"/>
    </row>
    <row r="16" spans="1:14" ht="13" x14ac:dyDescent="0.3">
      <c r="A16" s="321"/>
      <c r="C16" s="331"/>
      <c r="J16" s="328"/>
      <c r="L16" s="328"/>
      <c r="N16" s="328"/>
    </row>
    <row r="17" spans="1:14" ht="13" x14ac:dyDescent="0.3">
      <c r="A17" s="321"/>
      <c r="C17" s="334" t="s">
        <v>121</v>
      </c>
      <c r="J17" s="328"/>
      <c r="L17" s="328"/>
      <c r="N17" s="328"/>
    </row>
    <row r="18" spans="1:14" ht="13" x14ac:dyDescent="0.3">
      <c r="A18" s="321">
        <f>A15+1</f>
        <v>9</v>
      </c>
      <c r="C18" s="331" t="s">
        <v>122</v>
      </c>
      <c r="F18" s="319" t="s">
        <v>110</v>
      </c>
      <c r="G18" s="319" t="s">
        <v>123</v>
      </c>
      <c r="H18" s="327" t="s">
        <v>796</v>
      </c>
      <c r="J18" s="328">
        <v>-1839774172.2805853</v>
      </c>
      <c r="L18" s="328"/>
      <c r="N18" s="328"/>
    </row>
    <row r="19" spans="1:14" ht="13" x14ac:dyDescent="0.3">
      <c r="A19" s="321">
        <f>A18+1</f>
        <v>10</v>
      </c>
      <c r="C19" s="331" t="s">
        <v>124</v>
      </c>
      <c r="F19" s="319" t="s">
        <v>112</v>
      </c>
      <c r="G19" s="319" t="s">
        <v>123</v>
      </c>
      <c r="H19" s="327" t="s">
        <v>797</v>
      </c>
      <c r="J19" s="328">
        <v>0</v>
      </c>
      <c r="L19" s="328"/>
      <c r="N19" s="328"/>
    </row>
    <row r="20" spans="1:14" ht="13" x14ac:dyDescent="0.3">
      <c r="A20" s="321">
        <f>A19+1</f>
        <v>11</v>
      </c>
      <c r="C20" s="331" t="s">
        <v>125</v>
      </c>
      <c r="D20" s="47"/>
      <c r="F20" s="319" t="s">
        <v>112</v>
      </c>
      <c r="G20" s="319" t="s">
        <v>123</v>
      </c>
      <c r="H20" s="327" t="s">
        <v>798</v>
      </c>
      <c r="J20" s="335">
        <v>-105809932.94764221</v>
      </c>
      <c r="L20" s="328"/>
      <c r="N20" s="328"/>
    </row>
    <row r="21" spans="1:14" ht="13" x14ac:dyDescent="0.3">
      <c r="A21" s="321">
        <f>A20+1</f>
        <v>12</v>
      </c>
      <c r="C21" s="46" t="s">
        <v>126</v>
      </c>
      <c r="D21" s="47"/>
      <c r="H21" s="319" t="str">
        <f>"Line "&amp;A18&amp;" + Line "&amp;A19&amp;" + Line "&amp;A20&amp;""</f>
        <v>Line 9 + Line 10 + Line 11</v>
      </c>
      <c r="J21" s="328">
        <f>SUM(J18:J20)</f>
        <v>-1945584105.2282276</v>
      </c>
      <c r="L21" s="328"/>
      <c r="N21" s="328"/>
    </row>
    <row r="22" spans="1:14" ht="13" x14ac:dyDescent="0.3">
      <c r="A22" s="321"/>
      <c r="C22" s="329"/>
      <c r="J22" s="328"/>
      <c r="L22" s="328"/>
      <c r="N22" s="328"/>
    </row>
    <row r="23" spans="1:14" ht="13" x14ac:dyDescent="0.3">
      <c r="A23" s="321">
        <f>A21+1</f>
        <v>13</v>
      </c>
      <c r="C23" s="336" t="s">
        <v>127</v>
      </c>
      <c r="F23" s="327" t="s">
        <v>112</v>
      </c>
      <c r="H23" s="327" t="s">
        <v>830</v>
      </c>
      <c r="J23" s="328">
        <v>-1632145854.7122164</v>
      </c>
      <c r="L23" s="328"/>
      <c r="N23" s="328"/>
    </row>
    <row r="24" spans="1:14" ht="13" x14ac:dyDescent="0.3">
      <c r="A24" s="321">
        <f>A23+1</f>
        <v>14</v>
      </c>
      <c r="C24" s="327" t="s">
        <v>128</v>
      </c>
      <c r="F24" s="319" t="s">
        <v>110</v>
      </c>
      <c r="H24" s="327" t="s">
        <v>804</v>
      </c>
      <c r="J24" s="333">
        <v>602185189.09144735</v>
      </c>
      <c r="L24" s="328"/>
      <c r="N24" s="328"/>
    </row>
    <row r="25" spans="1:14" ht="13" x14ac:dyDescent="0.3">
      <c r="A25" s="321">
        <f>A24+1</f>
        <v>15</v>
      </c>
      <c r="C25" s="336" t="s">
        <v>129</v>
      </c>
      <c r="F25" s="319" t="s">
        <v>112</v>
      </c>
      <c r="G25" s="319" t="s">
        <v>123</v>
      </c>
      <c r="H25" s="327" t="s">
        <v>806</v>
      </c>
      <c r="J25" s="328">
        <v>-50661304.942000374</v>
      </c>
      <c r="L25" s="328"/>
      <c r="N25" s="328"/>
    </row>
    <row r="26" spans="1:14" ht="13" x14ac:dyDescent="0.3">
      <c r="A26" s="321">
        <f t="shared" ref="A26:A27" si="0">A25+1</f>
        <v>16</v>
      </c>
      <c r="C26" s="327" t="s">
        <v>130</v>
      </c>
      <c r="H26" s="329" t="s">
        <v>809</v>
      </c>
      <c r="J26" s="328">
        <v>-192258245.62261316</v>
      </c>
      <c r="L26" s="328"/>
      <c r="N26" s="328"/>
    </row>
    <row r="27" spans="1:14" ht="13" x14ac:dyDescent="0.3">
      <c r="A27" s="321">
        <f t="shared" si="0"/>
        <v>17</v>
      </c>
      <c r="C27" s="336" t="s">
        <v>131</v>
      </c>
      <c r="F27" s="319" t="s">
        <v>112</v>
      </c>
      <c r="H27" s="327" t="s">
        <v>811</v>
      </c>
      <c r="J27" s="328">
        <v>0</v>
      </c>
      <c r="L27" s="328"/>
      <c r="N27" s="328"/>
    </row>
    <row r="28" spans="1:14" ht="13" x14ac:dyDescent="0.3">
      <c r="A28" s="321"/>
      <c r="C28" s="336"/>
      <c r="L28" s="328"/>
      <c r="N28" s="328"/>
    </row>
    <row r="29" spans="1:14" ht="13" x14ac:dyDescent="0.3">
      <c r="A29" s="321">
        <f>A27+1</f>
        <v>18</v>
      </c>
      <c r="C29" s="319" t="s">
        <v>132</v>
      </c>
      <c r="H29" s="319" t="str">
        <f>"L"&amp;A6&amp;"+L"&amp;A7&amp;"+L"&amp;A8&amp;"+L"&amp;A9&amp;"+L"&amp;A15&amp;"+L"&amp;A21&amp;"+"</f>
        <v>L1+L2+L3+L4+L8+L12+</v>
      </c>
      <c r="J29" s="333">
        <f>J6+ J7+J8+J9+J15+J21+J23+J24+J25+J26+J27</f>
        <v>6086938931.0170441</v>
      </c>
      <c r="L29" s="328"/>
      <c r="N29" s="328"/>
    </row>
    <row r="30" spans="1:14" ht="13" x14ac:dyDescent="0.3">
      <c r="A30" s="321"/>
      <c r="H30" s="319" t="str">
        <f>"L"&amp;A23&amp;"+L"&amp;A24&amp;"+L"&amp;A25&amp;"+L"&amp;A26&amp;"+L"&amp;A27&amp;""</f>
        <v>L13+L14+L15+L16+L17</v>
      </c>
      <c r="J30" s="328"/>
      <c r="L30" s="328"/>
      <c r="N30" s="328"/>
    </row>
    <row r="31" spans="1:14" ht="13" x14ac:dyDescent="0.3">
      <c r="A31" s="321"/>
      <c r="B31" s="318" t="s">
        <v>133</v>
      </c>
      <c r="J31" s="328"/>
      <c r="L31" s="328"/>
      <c r="N31" s="328"/>
    </row>
    <row r="32" spans="1:14" ht="13" x14ac:dyDescent="0.3">
      <c r="A32" s="323" t="s">
        <v>104</v>
      </c>
      <c r="C32" s="318"/>
      <c r="J32" s="328"/>
      <c r="L32" s="328"/>
      <c r="N32" s="328"/>
    </row>
    <row r="33" spans="1:14" ht="13" x14ac:dyDescent="0.3">
      <c r="A33" s="321">
        <f>A29+1</f>
        <v>19</v>
      </c>
      <c r="B33" s="329"/>
      <c r="C33" s="329" t="s">
        <v>134</v>
      </c>
      <c r="D33" s="329"/>
      <c r="E33" s="329"/>
      <c r="F33" s="329"/>
      <c r="G33" s="329" t="s">
        <v>135</v>
      </c>
      <c r="H33" s="329" t="str">
        <f>"Instruction 1, Line "&amp;B99&amp;""</f>
        <v>Instruction 1, Line j</v>
      </c>
      <c r="I33" s="329"/>
      <c r="J33" s="337">
        <f>E99</f>
        <v>7.7411713785852182E-2</v>
      </c>
      <c r="L33" s="338"/>
      <c r="M33" s="338"/>
      <c r="N33" s="338"/>
    </row>
    <row r="34" spans="1:14" ht="13" x14ac:dyDescent="0.3">
      <c r="A34" s="321">
        <f>A33+1</f>
        <v>20</v>
      </c>
      <c r="C34" s="329" t="s">
        <v>136</v>
      </c>
      <c r="D34" s="329"/>
      <c r="E34" s="329"/>
      <c r="F34" s="329"/>
      <c r="G34" s="329"/>
      <c r="H34" s="319" t="str">
        <f>"Line "&amp;A29&amp;" * Line "&amp;A33&amp;""</f>
        <v>Line 18 * Line 19</v>
      </c>
      <c r="J34" s="339">
        <f>J29*J33</f>
        <v>471200374.35985243</v>
      </c>
      <c r="L34" s="328"/>
      <c r="N34" s="328"/>
    </row>
    <row r="35" spans="1:14" ht="13" x14ac:dyDescent="0.3">
      <c r="A35" s="321"/>
      <c r="B35" s="324"/>
      <c r="L35" s="328"/>
      <c r="N35" s="328"/>
    </row>
    <row r="36" spans="1:14" ht="13" x14ac:dyDescent="0.3">
      <c r="A36" s="321"/>
      <c r="B36" s="318" t="s">
        <v>137</v>
      </c>
      <c r="L36" s="328"/>
      <c r="N36" s="328"/>
    </row>
    <row r="37" spans="1:14" ht="13" x14ac:dyDescent="0.3">
      <c r="A37" s="321"/>
      <c r="B37" s="324"/>
      <c r="L37" s="328"/>
      <c r="N37" s="328"/>
    </row>
    <row r="38" spans="1:14" ht="13" x14ac:dyDescent="0.3">
      <c r="A38" s="321">
        <f>A34+1</f>
        <v>21</v>
      </c>
      <c r="C38" s="329" t="s">
        <v>138</v>
      </c>
      <c r="J38" s="333">
        <f>(((J29*J42) + J45) *(J43/(1-J43)))+(J44/(1-J43))</f>
        <v>117309198.94726196</v>
      </c>
      <c r="L38" s="328"/>
      <c r="N38" s="328"/>
    </row>
    <row r="39" spans="1:14" ht="13" x14ac:dyDescent="0.3">
      <c r="A39" s="321"/>
      <c r="J39" s="329"/>
      <c r="L39" s="328"/>
      <c r="N39" s="328"/>
    </row>
    <row r="40" spans="1:14" ht="13" x14ac:dyDescent="0.3">
      <c r="A40" s="321"/>
      <c r="D40" s="319" t="s">
        <v>139</v>
      </c>
      <c r="L40" s="328"/>
      <c r="N40" s="328"/>
    </row>
    <row r="41" spans="1:14" ht="13" x14ac:dyDescent="0.3">
      <c r="A41" s="321">
        <f>A38+1</f>
        <v>22</v>
      </c>
      <c r="D41" s="324" t="s">
        <v>140</v>
      </c>
      <c r="H41" s="319" t="str">
        <f>"Line "&amp;A29&amp;""</f>
        <v>Line 18</v>
      </c>
      <c r="J41" s="333">
        <f>J29</f>
        <v>6086938931.0170441</v>
      </c>
      <c r="L41" s="328"/>
      <c r="N41" s="328"/>
    </row>
    <row r="42" spans="1:14" ht="13" x14ac:dyDescent="0.3">
      <c r="A42" s="321">
        <f>A41+1</f>
        <v>23</v>
      </c>
      <c r="D42" s="331" t="s">
        <v>141</v>
      </c>
      <c r="G42" s="329" t="s">
        <v>142</v>
      </c>
      <c r="H42" s="329" t="str">
        <f>"Instruction 1, Line "&amp;B104&amp;""</f>
        <v>Instruction 1, Line k</v>
      </c>
      <c r="J42" s="337">
        <f>E104</f>
        <v>5.6784747193324485E-2</v>
      </c>
      <c r="L42" s="338"/>
      <c r="M42" s="338"/>
      <c r="N42" s="338"/>
    </row>
    <row r="43" spans="1:14" ht="13" x14ac:dyDescent="0.3">
      <c r="A43" s="321">
        <f>A42+1</f>
        <v>24</v>
      </c>
      <c r="D43" s="324" t="s">
        <v>143</v>
      </c>
      <c r="H43" s="319" t="s">
        <v>781</v>
      </c>
      <c r="J43" s="338">
        <v>0.27983599999999997</v>
      </c>
      <c r="L43" s="338"/>
      <c r="M43" s="338"/>
      <c r="N43" s="338"/>
    </row>
    <row r="44" spans="1:14" ht="13" x14ac:dyDescent="0.3">
      <c r="A44" s="321">
        <f>A43+1</f>
        <v>25</v>
      </c>
      <c r="D44" s="324" t="s">
        <v>144</v>
      </c>
      <c r="H44" s="319" t="s">
        <v>782</v>
      </c>
      <c r="J44" s="333">
        <v>-13338285</v>
      </c>
      <c r="L44" s="328"/>
      <c r="N44" s="328"/>
    </row>
    <row r="45" spans="1:14" ht="13" x14ac:dyDescent="0.3">
      <c r="A45" s="321">
        <f>A44+1</f>
        <v>26</v>
      </c>
      <c r="D45" s="324" t="s">
        <v>145</v>
      </c>
      <c r="H45" s="319" t="s">
        <v>783</v>
      </c>
      <c r="J45" s="340">
        <v>3917123</v>
      </c>
      <c r="L45" s="328"/>
      <c r="N45" s="328"/>
    </row>
    <row r="46" spans="1:14" ht="13" x14ac:dyDescent="0.3">
      <c r="A46" s="321"/>
      <c r="B46" s="324"/>
      <c r="L46" s="328"/>
      <c r="N46" s="328"/>
    </row>
    <row r="47" spans="1:14" ht="13" x14ac:dyDescent="0.3">
      <c r="A47" s="321"/>
      <c r="B47" s="318" t="s">
        <v>146</v>
      </c>
      <c r="L47" s="328"/>
      <c r="N47" s="328"/>
    </row>
    <row r="48" spans="1:14" ht="13" x14ac:dyDescent="0.3">
      <c r="A48" s="321">
        <f>A45+1</f>
        <v>27</v>
      </c>
      <c r="B48" s="324"/>
      <c r="C48" s="319" t="s">
        <v>147</v>
      </c>
      <c r="H48" s="319" t="s">
        <v>784</v>
      </c>
      <c r="J48" s="328">
        <v>110879588.38578117</v>
      </c>
      <c r="L48" s="328"/>
      <c r="N48" s="328"/>
    </row>
    <row r="49" spans="1:14" ht="13" x14ac:dyDescent="0.3">
      <c r="A49" s="321">
        <f t="shared" ref="A49:A59" si="1">A48+1</f>
        <v>28</v>
      </c>
      <c r="B49" s="324"/>
      <c r="C49" s="329" t="s">
        <v>148</v>
      </c>
      <c r="H49" s="319" t="s">
        <v>785</v>
      </c>
      <c r="J49" s="333">
        <v>81768778.323126107</v>
      </c>
      <c r="L49" s="328"/>
      <c r="N49" s="328"/>
    </row>
    <row r="50" spans="1:14" ht="13" x14ac:dyDescent="0.3">
      <c r="A50" s="321">
        <f>A49+1</f>
        <v>29</v>
      </c>
      <c r="B50" s="324"/>
      <c r="C50" s="319" t="s">
        <v>149</v>
      </c>
      <c r="H50" s="319" t="s">
        <v>786</v>
      </c>
      <c r="J50" s="328">
        <v>4075483.5901751588</v>
      </c>
      <c r="L50" s="328"/>
      <c r="N50" s="328"/>
    </row>
    <row r="51" spans="1:14" ht="13" x14ac:dyDescent="0.3">
      <c r="A51" s="321">
        <f t="shared" si="1"/>
        <v>30</v>
      </c>
      <c r="B51" s="324"/>
      <c r="C51" s="329" t="s">
        <v>150</v>
      </c>
      <c r="H51" s="319" t="s">
        <v>787</v>
      </c>
      <c r="J51" s="328">
        <v>255151988.45508885</v>
      </c>
      <c r="L51" s="328"/>
      <c r="N51" s="328"/>
    </row>
    <row r="52" spans="1:14" ht="13" x14ac:dyDescent="0.3">
      <c r="A52" s="321">
        <f t="shared" si="1"/>
        <v>31</v>
      </c>
      <c r="B52" s="324"/>
      <c r="C52" s="329" t="s">
        <v>151</v>
      </c>
      <c r="H52" s="319" t="s">
        <v>788</v>
      </c>
      <c r="J52" s="328">
        <v>0</v>
      </c>
      <c r="L52" s="328"/>
      <c r="N52" s="328"/>
    </row>
    <row r="53" spans="1:14" ht="13" x14ac:dyDescent="0.3">
      <c r="A53" s="321">
        <f t="shared" si="1"/>
        <v>32</v>
      </c>
      <c r="B53" s="324"/>
      <c r="C53" s="329" t="s">
        <v>152</v>
      </c>
      <c r="H53" s="319" t="s">
        <v>789</v>
      </c>
      <c r="J53" s="328">
        <v>66056888.527829707</v>
      </c>
      <c r="L53" s="328"/>
      <c r="N53" s="328"/>
    </row>
    <row r="54" spans="1:14" ht="13" x14ac:dyDescent="0.3">
      <c r="A54" s="321">
        <f t="shared" si="1"/>
        <v>33</v>
      </c>
      <c r="B54" s="324"/>
      <c r="C54" s="319" t="s">
        <v>153</v>
      </c>
      <c r="G54" s="329"/>
      <c r="H54" s="319" t="s">
        <v>790</v>
      </c>
      <c r="J54" s="328">
        <v>-54094032.244774804</v>
      </c>
      <c r="L54" s="328"/>
      <c r="N54" s="328"/>
    </row>
    <row r="55" spans="1:14" ht="13" x14ac:dyDescent="0.3">
      <c r="A55" s="321">
        <f t="shared" si="1"/>
        <v>34</v>
      </c>
      <c r="B55" s="324"/>
      <c r="C55" s="319" t="s">
        <v>154</v>
      </c>
      <c r="H55" s="319" t="str">
        <f>"Line "&amp;A34&amp;""</f>
        <v>Line 20</v>
      </c>
      <c r="J55" s="333">
        <f>J34</f>
        <v>471200374.35985243</v>
      </c>
      <c r="L55" s="328"/>
      <c r="N55" s="328"/>
    </row>
    <row r="56" spans="1:14" ht="13" x14ac:dyDescent="0.3">
      <c r="A56" s="321">
        <f t="shared" si="1"/>
        <v>35</v>
      </c>
      <c r="B56" s="324"/>
      <c r="C56" s="319" t="s">
        <v>155</v>
      </c>
      <c r="H56" s="319" t="str">
        <f>"Line "&amp;A38&amp;""</f>
        <v>Line 21</v>
      </c>
      <c r="J56" s="339">
        <f>J38</f>
        <v>117309198.94726196</v>
      </c>
      <c r="L56" s="328"/>
      <c r="N56" s="328"/>
    </row>
    <row r="57" spans="1:14" ht="13" x14ac:dyDescent="0.3">
      <c r="A57" s="321">
        <f t="shared" si="1"/>
        <v>36</v>
      </c>
      <c r="B57" s="324"/>
      <c r="C57" s="329" t="s">
        <v>156</v>
      </c>
      <c r="H57" s="319" t="s">
        <v>791</v>
      </c>
      <c r="J57" s="340">
        <v>0</v>
      </c>
      <c r="L57" s="328"/>
      <c r="N57" s="328"/>
    </row>
    <row r="58" spans="1:14" ht="13" x14ac:dyDescent="0.3">
      <c r="A58" s="321">
        <f t="shared" si="1"/>
        <v>37</v>
      </c>
      <c r="B58" s="324"/>
      <c r="C58" s="48" t="s">
        <v>157</v>
      </c>
      <c r="D58" s="48"/>
      <c r="H58" s="319" t="s">
        <v>792</v>
      </c>
      <c r="J58" s="335">
        <v>0</v>
      </c>
      <c r="L58" s="328"/>
      <c r="N58" s="328"/>
    </row>
    <row r="59" spans="1:14" ht="13" x14ac:dyDescent="0.3">
      <c r="A59" s="321">
        <f t="shared" si="1"/>
        <v>38</v>
      </c>
      <c r="B59" s="324"/>
      <c r="C59" s="329" t="s">
        <v>158</v>
      </c>
      <c r="H59" s="319" t="str">
        <f>"Sum Line "&amp;A48&amp;" to Line "&amp;A58&amp;""</f>
        <v>Sum Line 27 to Line 37</v>
      </c>
      <c r="J59" s="333">
        <f>SUM(J48:J58)</f>
        <v>1052348268.3443404</v>
      </c>
      <c r="L59" s="328"/>
      <c r="N59" s="328"/>
    </row>
    <row r="60" spans="1:14" ht="13" x14ac:dyDescent="0.3">
      <c r="A60" s="321"/>
      <c r="B60" s="324"/>
      <c r="J60" s="328"/>
      <c r="L60" s="328"/>
      <c r="N60" s="328"/>
    </row>
    <row r="61" spans="1:14" ht="12.75" customHeight="1" x14ac:dyDescent="0.3">
      <c r="A61" s="321">
        <f>A59+1</f>
        <v>39</v>
      </c>
      <c r="B61" s="324"/>
      <c r="C61" s="329" t="s">
        <v>159</v>
      </c>
      <c r="H61" s="319" t="s">
        <v>814</v>
      </c>
      <c r="J61" s="328">
        <v>26714525.602631234</v>
      </c>
      <c r="L61" s="328"/>
      <c r="N61" s="328"/>
    </row>
    <row r="62" spans="1:14" ht="12.75" customHeight="1" x14ac:dyDescent="0.3">
      <c r="A62" s="321" t="s">
        <v>160</v>
      </c>
      <c r="B62" s="324"/>
      <c r="C62" s="329" t="s">
        <v>161</v>
      </c>
      <c r="H62" s="329" t="s">
        <v>162</v>
      </c>
      <c r="J62" s="328">
        <f>-J61</f>
        <v>-26714525.602631234</v>
      </c>
      <c r="L62" s="328"/>
      <c r="N62" s="328"/>
    </row>
    <row r="63" spans="1:14" ht="13" x14ac:dyDescent="0.3">
      <c r="A63" s="321"/>
      <c r="B63" s="324"/>
      <c r="C63" s="329"/>
      <c r="J63" s="328"/>
      <c r="L63" s="328"/>
      <c r="N63" s="328"/>
    </row>
    <row r="64" spans="1:14" ht="13" x14ac:dyDescent="0.3">
      <c r="A64" s="321">
        <f>A61+1</f>
        <v>40</v>
      </c>
      <c r="B64" s="324"/>
      <c r="C64" s="329" t="s">
        <v>163</v>
      </c>
      <c r="H64" s="319" t="str">
        <f>"Sum of Lines "&amp;A59&amp;" to "&amp;A62&amp;""</f>
        <v>Sum of Lines 38 to 39a</v>
      </c>
      <c r="J64" s="333">
        <f>J59+J61+J62</f>
        <v>1052348268.3443404</v>
      </c>
      <c r="L64" s="328"/>
      <c r="N64" s="328"/>
    </row>
    <row r="65" spans="1:14" ht="13" x14ac:dyDescent="0.3">
      <c r="A65" s="321"/>
      <c r="B65" s="324"/>
      <c r="C65" s="329"/>
      <c r="J65" s="328"/>
    </row>
    <row r="66" spans="1:14" ht="13" x14ac:dyDescent="0.3">
      <c r="A66" s="321"/>
      <c r="B66" s="320" t="s">
        <v>165</v>
      </c>
      <c r="C66" s="329"/>
      <c r="J66" s="328"/>
      <c r="N66" s="321"/>
    </row>
    <row r="67" spans="1:14" ht="13.5" thickBot="1" x14ac:dyDescent="0.35">
      <c r="A67" s="323" t="s">
        <v>104</v>
      </c>
      <c r="B67" s="336"/>
      <c r="G67" s="325" t="s">
        <v>166</v>
      </c>
      <c r="N67" s="326"/>
    </row>
    <row r="68" spans="1:14" ht="13" x14ac:dyDescent="0.3">
      <c r="A68" s="321">
        <f>A64+1</f>
        <v>41</v>
      </c>
      <c r="B68" s="336"/>
      <c r="D68" s="341" t="s">
        <v>167</v>
      </c>
      <c r="E68" s="333">
        <f>J64</f>
        <v>1052348268.3443404</v>
      </c>
      <c r="G68" s="319" t="str">
        <f>"Line "&amp;A64&amp;""</f>
        <v>Line 40</v>
      </c>
      <c r="J68" s="342" t="s">
        <v>168</v>
      </c>
      <c r="L68" s="328"/>
      <c r="N68" s="328"/>
    </row>
    <row r="69" spans="1:14" ht="13" x14ac:dyDescent="0.3">
      <c r="A69" s="321">
        <f>A68+1</f>
        <v>42</v>
      </c>
      <c r="B69" s="336"/>
      <c r="D69" s="341" t="s">
        <v>169</v>
      </c>
      <c r="E69" s="343">
        <v>9.2480778683301876E-3</v>
      </c>
      <c r="G69" s="319" t="s">
        <v>816</v>
      </c>
      <c r="J69" s="344" t="s">
        <v>170</v>
      </c>
      <c r="L69" s="338"/>
      <c r="N69" s="338"/>
    </row>
    <row r="70" spans="1:14" ht="13" x14ac:dyDescent="0.3">
      <c r="A70" s="321">
        <f>A69+1</f>
        <v>43</v>
      </c>
      <c r="B70" s="336"/>
      <c r="D70" s="345" t="s">
        <v>171</v>
      </c>
      <c r="E70" s="333">
        <f>E68*E69</f>
        <v>9732198.7302508932</v>
      </c>
      <c r="G70" s="319" t="str">
        <f>"Line "&amp;A68&amp;" * Line "&amp;A69&amp;""</f>
        <v>Line 41 * Line 42</v>
      </c>
      <c r="J70" s="346">
        <f>E73</f>
        <v>1064326186.2616522</v>
      </c>
      <c r="L70" s="328"/>
      <c r="N70" s="328"/>
    </row>
    <row r="71" spans="1:14" ht="44.5" customHeight="1" x14ac:dyDescent="0.3">
      <c r="A71" s="321">
        <f>A70+1</f>
        <v>44</v>
      </c>
      <c r="B71" s="336"/>
      <c r="D71" s="341" t="s">
        <v>172</v>
      </c>
      <c r="E71" s="343">
        <v>2.134007585335019E-3</v>
      </c>
      <c r="G71" s="319" t="s">
        <v>816</v>
      </c>
      <c r="J71" s="347">
        <v>1045077006.6261117</v>
      </c>
      <c r="L71" s="409" t="s">
        <v>923</v>
      </c>
      <c r="N71" s="338"/>
    </row>
    <row r="72" spans="1:14" ht="13.5" thickBot="1" x14ac:dyDescent="0.35">
      <c r="A72" s="321">
        <f>A71+1</f>
        <v>45</v>
      </c>
      <c r="B72" s="336"/>
      <c r="D72" s="341" t="s">
        <v>173</v>
      </c>
      <c r="E72" s="333">
        <f>E68*E71</f>
        <v>2245719.1870609946</v>
      </c>
      <c r="G72" s="319" t="str">
        <f>"Line "&amp;A68&amp;" * Line "&amp;A71&amp;""</f>
        <v>Line 41 * Line 44</v>
      </c>
      <c r="J72" s="349">
        <f>J70-J71</f>
        <v>19249179.635540485</v>
      </c>
      <c r="L72" s="328"/>
      <c r="N72" s="328"/>
    </row>
    <row r="73" spans="1:14" ht="13" x14ac:dyDescent="0.3">
      <c r="A73" s="321">
        <f>A72+1</f>
        <v>46</v>
      </c>
      <c r="B73" s="336"/>
      <c r="D73" s="341" t="s">
        <v>174</v>
      </c>
      <c r="E73" s="333">
        <f>E68+E70+E72</f>
        <v>1064326186.2616522</v>
      </c>
      <c r="G73" s="319" t="str">
        <f>"L "&amp;A68&amp;" + L "&amp;A70&amp;" + L "&amp;A72&amp;""</f>
        <v>L 41 + L 43 + L 45</v>
      </c>
      <c r="L73" s="328"/>
      <c r="M73" s="329"/>
    </row>
    <row r="74" spans="1:14" ht="13" x14ac:dyDescent="0.3">
      <c r="B74" s="320" t="s">
        <v>175</v>
      </c>
      <c r="D74" s="345"/>
      <c r="E74" s="328"/>
      <c r="H74" s="50"/>
    </row>
    <row r="75" spans="1:14" ht="13" x14ac:dyDescent="0.3">
      <c r="A75" s="321"/>
      <c r="B75" s="329" t="s">
        <v>176</v>
      </c>
      <c r="C75" s="320"/>
      <c r="D75" s="345"/>
      <c r="E75" s="328"/>
    </row>
    <row r="76" spans="1:14" ht="13" x14ac:dyDescent="0.3">
      <c r="A76" s="321"/>
      <c r="B76" s="329" t="s">
        <v>177</v>
      </c>
      <c r="C76" s="320"/>
      <c r="D76" s="345"/>
      <c r="E76" s="328"/>
    </row>
    <row r="77" spans="1:14" ht="13" x14ac:dyDescent="0.3">
      <c r="A77" s="321"/>
      <c r="B77" s="327" t="s">
        <v>178</v>
      </c>
      <c r="C77" s="329"/>
      <c r="D77" s="345"/>
      <c r="E77" s="328"/>
    </row>
    <row r="78" spans="1:14" ht="13" x14ac:dyDescent="0.3">
      <c r="A78" s="321"/>
      <c r="B78" s="327" t="s">
        <v>179</v>
      </c>
      <c r="D78" s="345"/>
      <c r="E78" s="328"/>
      <c r="L78" s="328"/>
      <c r="M78" s="329"/>
    </row>
    <row r="79" spans="1:14" ht="13" x14ac:dyDescent="0.3">
      <c r="A79" s="321"/>
      <c r="L79" s="328"/>
      <c r="M79" s="329"/>
    </row>
    <row r="80" spans="1:14" ht="13" x14ac:dyDescent="0.3">
      <c r="A80" s="321"/>
      <c r="L80" s="328"/>
      <c r="M80" s="329"/>
    </row>
    <row r="81" spans="1:14" ht="13" x14ac:dyDescent="0.3">
      <c r="A81" s="321"/>
      <c r="B81" s="329" t="s">
        <v>180</v>
      </c>
      <c r="L81" s="328"/>
      <c r="M81" s="329"/>
    </row>
    <row r="82" spans="1:14" ht="13" x14ac:dyDescent="0.3">
      <c r="A82" s="321"/>
      <c r="B82" s="329"/>
      <c r="C82" s="329" t="s">
        <v>181</v>
      </c>
      <c r="L82" s="335"/>
      <c r="M82" s="350"/>
      <c r="N82" s="330"/>
    </row>
    <row r="83" spans="1:14" ht="13" x14ac:dyDescent="0.3">
      <c r="A83" s="321"/>
      <c r="B83" s="329"/>
      <c r="J83" s="321" t="s">
        <v>182</v>
      </c>
      <c r="L83" s="328"/>
      <c r="M83" s="329"/>
    </row>
    <row r="84" spans="1:14" ht="13" x14ac:dyDescent="0.3">
      <c r="A84" s="321"/>
      <c r="E84" s="326" t="s">
        <v>183</v>
      </c>
      <c r="F84" s="325" t="s">
        <v>166</v>
      </c>
      <c r="G84" s="326" t="s">
        <v>184</v>
      </c>
      <c r="H84" s="326" t="s">
        <v>185</v>
      </c>
      <c r="J84" s="326" t="s">
        <v>186</v>
      </c>
    </row>
    <row r="85" spans="1:14" ht="13" x14ac:dyDescent="0.3">
      <c r="B85" s="351" t="s">
        <v>187</v>
      </c>
      <c r="C85" s="329" t="s">
        <v>188</v>
      </c>
      <c r="E85" s="352">
        <v>0.10299999999999999</v>
      </c>
      <c r="F85" s="329" t="s">
        <v>189</v>
      </c>
      <c r="G85" s="353">
        <v>43781</v>
      </c>
      <c r="H85" s="353">
        <v>43830</v>
      </c>
      <c r="I85" s="329"/>
      <c r="J85" s="354">
        <v>50</v>
      </c>
      <c r="K85" s="329"/>
    </row>
    <row r="86" spans="1:14" ht="13" x14ac:dyDescent="0.3">
      <c r="B86" s="351" t="s">
        <v>190</v>
      </c>
      <c r="C86" s="329" t="s">
        <v>191</v>
      </c>
      <c r="E86" s="352">
        <v>0.112</v>
      </c>
      <c r="F86" s="329" t="s">
        <v>192</v>
      </c>
      <c r="G86" s="353">
        <v>43466</v>
      </c>
      <c r="H86" s="353">
        <v>43780</v>
      </c>
      <c r="I86" s="329"/>
      <c r="J86" s="354">
        <v>315</v>
      </c>
      <c r="K86" s="329"/>
    </row>
    <row r="87" spans="1:14" ht="13" x14ac:dyDescent="0.3">
      <c r="B87" s="351" t="s">
        <v>193</v>
      </c>
      <c r="C87" s="329"/>
      <c r="E87" s="355"/>
      <c r="F87" s="329"/>
      <c r="G87" s="356"/>
      <c r="H87" s="356"/>
      <c r="I87" s="341" t="s">
        <v>194</v>
      </c>
      <c r="J87" s="329">
        <f>SUM(J85:J86)</f>
        <v>365</v>
      </c>
      <c r="K87" s="329"/>
      <c r="L87" s="329"/>
    </row>
    <row r="88" spans="1:14" ht="13" x14ac:dyDescent="0.3">
      <c r="B88" s="351" t="s">
        <v>195</v>
      </c>
      <c r="C88" s="329" t="s">
        <v>196</v>
      </c>
      <c r="E88" s="357">
        <f>((E85*J85) + (E86* J86)) / J87</f>
        <v>0.11076712328767123</v>
      </c>
      <c r="F88" s="329" t="s">
        <v>197</v>
      </c>
      <c r="H88" s="329"/>
      <c r="I88" s="329"/>
      <c r="J88" s="329"/>
      <c r="K88" s="329"/>
      <c r="L88" s="329"/>
    </row>
    <row r="89" spans="1:14" ht="13" x14ac:dyDescent="0.3">
      <c r="A89" s="321"/>
      <c r="B89" s="329"/>
      <c r="H89" s="329"/>
      <c r="I89" s="329"/>
      <c r="J89" s="329"/>
      <c r="K89" s="329"/>
      <c r="L89" s="329"/>
    </row>
    <row r="90" spans="1:14" ht="13" x14ac:dyDescent="0.3">
      <c r="A90" s="321"/>
      <c r="B90" s="329" t="s">
        <v>198</v>
      </c>
      <c r="H90" s="329"/>
      <c r="I90" s="329"/>
      <c r="J90" s="329"/>
      <c r="K90" s="329"/>
      <c r="L90" s="329"/>
    </row>
    <row r="91" spans="1:14" ht="13" x14ac:dyDescent="0.3">
      <c r="A91" s="321"/>
      <c r="B91" s="329"/>
      <c r="E91" s="325" t="s">
        <v>166</v>
      </c>
      <c r="H91" s="329"/>
      <c r="I91" s="329"/>
      <c r="J91" s="329"/>
      <c r="K91" s="329"/>
      <c r="L91" s="329"/>
    </row>
    <row r="92" spans="1:14" ht="13" x14ac:dyDescent="0.3">
      <c r="B92" s="351" t="s">
        <v>199</v>
      </c>
      <c r="C92" s="329" t="s">
        <v>200</v>
      </c>
      <c r="E92" s="358" t="s">
        <v>201</v>
      </c>
      <c r="F92" s="359"/>
      <c r="G92" s="359"/>
      <c r="H92" s="354"/>
      <c r="I92" s="354"/>
      <c r="J92" s="354"/>
      <c r="K92" s="329"/>
      <c r="L92" s="329"/>
    </row>
    <row r="93" spans="1:14" ht="13" x14ac:dyDescent="0.3">
      <c r="B93" s="351" t="s">
        <v>202</v>
      </c>
      <c r="C93" s="329" t="s">
        <v>203</v>
      </c>
      <c r="E93" s="358" t="s">
        <v>204</v>
      </c>
      <c r="F93" s="359"/>
      <c r="G93" s="359"/>
      <c r="H93" s="354"/>
      <c r="I93" s="354"/>
      <c r="J93" s="354"/>
      <c r="K93" s="329"/>
      <c r="L93" s="329"/>
    </row>
    <row r="94" spans="1:14" x14ac:dyDescent="0.25">
      <c r="C94" s="329"/>
      <c r="E94" s="356"/>
      <c r="I94" s="329"/>
      <c r="J94" s="329"/>
      <c r="K94" s="329"/>
      <c r="L94" s="329"/>
    </row>
    <row r="95" spans="1:14" ht="13" x14ac:dyDescent="0.3">
      <c r="E95" s="326" t="s">
        <v>183</v>
      </c>
      <c r="F95" s="325" t="s">
        <v>166</v>
      </c>
      <c r="H95" s="329"/>
      <c r="I95" s="329"/>
      <c r="L95" s="329"/>
    </row>
    <row r="96" spans="1:14" ht="13" x14ac:dyDescent="0.3">
      <c r="B96" s="351" t="s">
        <v>205</v>
      </c>
      <c r="C96" s="329" t="s">
        <v>206</v>
      </c>
      <c r="D96" s="329"/>
      <c r="E96" s="402">
        <v>2.0626966592527701E-2</v>
      </c>
      <c r="F96" s="319" t="s">
        <v>793</v>
      </c>
      <c r="H96" s="329"/>
      <c r="I96" s="329"/>
      <c r="L96" s="329"/>
    </row>
    <row r="97" spans="1:10" ht="13" x14ac:dyDescent="0.3">
      <c r="B97" s="351" t="s">
        <v>207</v>
      </c>
      <c r="C97" s="329" t="s">
        <v>208</v>
      </c>
      <c r="E97" s="402">
        <v>4.1703636316806555E-3</v>
      </c>
      <c r="F97" s="319" t="s">
        <v>794</v>
      </c>
      <c r="H97" s="329"/>
      <c r="I97" s="329"/>
    </row>
    <row r="98" spans="1:10" ht="13" x14ac:dyDescent="0.3">
      <c r="B98" s="351" t="s">
        <v>209</v>
      </c>
      <c r="C98" s="329" t="s">
        <v>210</v>
      </c>
      <c r="E98" s="350">
        <v>5.2614383561643829E-2</v>
      </c>
      <c r="F98" s="319" t="s">
        <v>795</v>
      </c>
      <c r="G98" s="329"/>
      <c r="H98" s="329"/>
    </row>
    <row r="99" spans="1:10" ht="13" x14ac:dyDescent="0.3">
      <c r="B99" s="321" t="s">
        <v>211</v>
      </c>
      <c r="C99" s="331" t="s">
        <v>134</v>
      </c>
      <c r="E99" s="337">
        <f>SUM(E96:E98)</f>
        <v>7.7411713785852182E-2</v>
      </c>
      <c r="F99" s="328" t="str">
        <f>"Sum of Lines "&amp;B96&amp;" to "&amp;B98&amp;""</f>
        <v>Sum of Lines g to i</v>
      </c>
      <c r="G99" s="361"/>
      <c r="J99" s="362"/>
    </row>
    <row r="100" spans="1:10" ht="13" x14ac:dyDescent="0.3">
      <c r="A100" s="321"/>
      <c r="C100" s="45"/>
      <c r="D100" s="51"/>
      <c r="E100" s="328"/>
      <c r="F100" s="328"/>
      <c r="G100" s="361"/>
      <c r="H100" s="328"/>
      <c r="J100" s="362"/>
    </row>
    <row r="101" spans="1:10" ht="13" x14ac:dyDescent="0.3">
      <c r="A101" s="321"/>
      <c r="B101" s="329" t="s">
        <v>212</v>
      </c>
    </row>
    <row r="102" spans="1:10" ht="13" x14ac:dyDescent="0.3">
      <c r="A102" s="321"/>
    </row>
    <row r="103" spans="1:10" ht="13" x14ac:dyDescent="0.3">
      <c r="A103" s="321"/>
      <c r="E103" s="326" t="s">
        <v>183</v>
      </c>
      <c r="F103" s="325" t="s">
        <v>166</v>
      </c>
    </row>
    <row r="104" spans="1:10" ht="13" x14ac:dyDescent="0.3">
      <c r="B104" s="351" t="s">
        <v>213</v>
      </c>
      <c r="E104" s="402">
        <f>E97+E98</f>
        <v>5.6784747193324485E-2</v>
      </c>
      <c r="F104" s="328" t="str">
        <f>"Sum of Lines "&amp;B97&amp;" to "&amp;B98&amp;""</f>
        <v>Sum of Lines h to i</v>
      </c>
    </row>
    <row r="105" spans="1:10" ht="13" x14ac:dyDescent="0.3">
      <c r="A105" s="321"/>
      <c r="E105" s="338"/>
      <c r="F105" s="328"/>
    </row>
    <row r="106" spans="1:10" ht="13" x14ac:dyDescent="0.3">
      <c r="A106" s="321"/>
      <c r="B106" s="323" t="s">
        <v>87</v>
      </c>
      <c r="E106" s="361"/>
      <c r="F106" s="361"/>
      <c r="G106" s="361"/>
      <c r="H106" s="328"/>
    </row>
    <row r="107" spans="1:10" ht="13" x14ac:dyDescent="0.3">
      <c r="A107" s="321"/>
      <c r="B107" s="329" t="s">
        <v>214</v>
      </c>
    </row>
    <row r="108" spans="1:10" ht="13" x14ac:dyDescent="0.3">
      <c r="A108" s="321"/>
      <c r="B108" s="331" t="s">
        <v>654</v>
      </c>
      <c r="D108" s="321"/>
      <c r="E108" s="321"/>
      <c r="F108" s="321"/>
      <c r="G108" s="321"/>
      <c r="H108" s="321"/>
    </row>
    <row r="109" spans="1:10" ht="13" x14ac:dyDescent="0.3">
      <c r="A109" s="321"/>
      <c r="B109" s="327"/>
      <c r="D109" s="321"/>
      <c r="E109" s="321"/>
      <c r="F109" s="321"/>
      <c r="G109" s="321"/>
      <c r="H109" s="321"/>
    </row>
    <row r="110" spans="1:10" ht="13" x14ac:dyDescent="0.3">
      <c r="A110" s="321"/>
      <c r="C110" s="44"/>
      <c r="D110" s="44"/>
      <c r="E110" s="326"/>
      <c r="F110" s="326"/>
      <c r="G110" s="326"/>
      <c r="H110" s="326"/>
    </row>
    <row r="111" spans="1:10" ht="13" x14ac:dyDescent="0.3">
      <c r="A111" s="321"/>
    </row>
    <row r="112" spans="1:10" ht="13" x14ac:dyDescent="0.3">
      <c r="A112" s="321"/>
    </row>
    <row r="113" spans="1:10" ht="13" x14ac:dyDescent="0.3">
      <c r="A113" s="321"/>
    </row>
    <row r="114" spans="1:10" ht="13" x14ac:dyDescent="0.3">
      <c r="A114" s="321"/>
      <c r="C114" s="45"/>
      <c r="E114" s="328"/>
      <c r="F114" s="328"/>
      <c r="H114" s="328"/>
      <c r="J114" s="362"/>
    </row>
    <row r="115" spans="1:10" ht="13" x14ac:dyDescent="0.3">
      <c r="A115" s="321"/>
      <c r="C115" s="45"/>
      <c r="E115" s="328"/>
      <c r="F115" s="328"/>
      <c r="H115" s="328"/>
      <c r="J115" s="362"/>
    </row>
    <row r="116" spans="1:10" ht="13" x14ac:dyDescent="0.3">
      <c r="A116" s="323"/>
      <c r="C116" s="45"/>
      <c r="E116" s="328"/>
      <c r="F116" s="328"/>
      <c r="H116" s="328"/>
      <c r="J116" s="362"/>
    </row>
    <row r="117" spans="1:10" ht="13" x14ac:dyDescent="0.3">
      <c r="A117" s="321"/>
      <c r="D117" s="49"/>
      <c r="E117" s="328"/>
      <c r="F117" s="328"/>
      <c r="G117" s="329"/>
      <c r="H117" s="328"/>
      <c r="J117" s="362"/>
    </row>
    <row r="118" spans="1:10" ht="13" x14ac:dyDescent="0.3">
      <c r="A118" s="321"/>
      <c r="C118" s="45"/>
      <c r="D118" s="341"/>
      <c r="E118" s="335"/>
      <c r="F118" s="328"/>
      <c r="G118" s="329"/>
      <c r="H118" s="328"/>
      <c r="J118" s="362"/>
    </row>
    <row r="119" spans="1:10" ht="13" x14ac:dyDescent="0.3">
      <c r="A119" s="321"/>
      <c r="C119" s="45"/>
      <c r="D119" s="341"/>
      <c r="E119" s="328"/>
      <c r="F119" s="328"/>
      <c r="G119" s="329"/>
      <c r="H119" s="328"/>
      <c r="J119" s="362"/>
    </row>
    <row r="120" spans="1:10" ht="13" x14ac:dyDescent="0.3">
      <c r="A120" s="321"/>
    </row>
    <row r="121" spans="1:10" ht="13" x14ac:dyDescent="0.3">
      <c r="A121" s="321"/>
      <c r="B121" s="318"/>
    </row>
    <row r="122" spans="1:10" ht="13" x14ac:dyDescent="0.3">
      <c r="A122" s="321"/>
    </row>
    <row r="123" spans="1:10" ht="13" x14ac:dyDescent="0.3">
      <c r="A123" s="321"/>
    </row>
    <row r="124" spans="1:10" ht="13" x14ac:dyDescent="0.3">
      <c r="A124" s="321"/>
      <c r="F124" s="321"/>
    </row>
    <row r="125" spans="1:10" ht="13" x14ac:dyDescent="0.3">
      <c r="A125" s="321"/>
      <c r="F125" s="321"/>
    </row>
    <row r="126" spans="1:10" ht="13" x14ac:dyDescent="0.3">
      <c r="A126" s="321"/>
      <c r="D126" s="321"/>
      <c r="E126" s="321"/>
      <c r="F126" s="321"/>
      <c r="H126" s="321"/>
    </row>
    <row r="127" spans="1:10" ht="13" x14ac:dyDescent="0.3">
      <c r="A127" s="321"/>
      <c r="D127" s="321"/>
      <c r="E127" s="321"/>
      <c r="F127" s="321"/>
      <c r="G127" s="321"/>
      <c r="H127" s="351"/>
    </row>
    <row r="128" spans="1:10" ht="13" x14ac:dyDescent="0.3">
      <c r="A128" s="323"/>
      <c r="C128" s="44"/>
      <c r="D128" s="44"/>
      <c r="E128" s="326"/>
      <c r="F128" s="363"/>
      <c r="G128" s="326"/>
      <c r="H128" s="351"/>
    </row>
    <row r="129" spans="1:8" ht="13" x14ac:dyDescent="0.3">
      <c r="A129" s="321"/>
      <c r="C129" s="45"/>
      <c r="D129" s="51"/>
      <c r="E129" s="328"/>
      <c r="F129" s="328"/>
      <c r="G129" s="357"/>
      <c r="H129" s="328"/>
    </row>
    <row r="130" spans="1:8" ht="13" x14ac:dyDescent="0.3">
      <c r="A130" s="321"/>
      <c r="C130" s="45"/>
      <c r="D130" s="51"/>
      <c r="E130" s="328"/>
      <c r="F130" s="328"/>
      <c r="G130" s="357"/>
      <c r="H130" s="328"/>
    </row>
    <row r="131" spans="1:8" ht="13" x14ac:dyDescent="0.3">
      <c r="A131" s="321"/>
      <c r="C131" s="45"/>
      <c r="D131" s="51"/>
      <c r="E131" s="328"/>
      <c r="F131" s="328"/>
      <c r="G131" s="357"/>
      <c r="H131" s="328"/>
    </row>
    <row r="132" spans="1:8" ht="13" x14ac:dyDescent="0.3">
      <c r="A132" s="321"/>
      <c r="C132" s="45"/>
      <c r="D132" s="51"/>
      <c r="E132" s="328"/>
      <c r="F132" s="328"/>
      <c r="G132" s="357"/>
      <c r="H132" s="328"/>
    </row>
    <row r="133" spans="1:8" ht="13" x14ac:dyDescent="0.3">
      <c r="A133" s="321"/>
      <c r="C133" s="45"/>
      <c r="D133" s="51"/>
      <c r="E133" s="328"/>
      <c r="F133" s="328"/>
      <c r="G133" s="357"/>
      <c r="H133" s="328"/>
    </row>
    <row r="134" spans="1:8" ht="13" x14ac:dyDescent="0.3">
      <c r="A134" s="321"/>
      <c r="C134" s="45"/>
      <c r="D134" s="51"/>
      <c r="E134" s="328"/>
      <c r="F134" s="328"/>
      <c r="G134" s="357"/>
      <c r="H134" s="328"/>
    </row>
    <row r="135" spans="1:8" ht="13" x14ac:dyDescent="0.3">
      <c r="A135" s="321"/>
      <c r="C135" s="45"/>
      <c r="D135" s="51"/>
      <c r="E135" s="328"/>
      <c r="F135" s="328"/>
      <c r="G135" s="357"/>
      <c r="H135" s="328"/>
    </row>
    <row r="136" spans="1:8" ht="13" x14ac:dyDescent="0.3">
      <c r="A136" s="321"/>
      <c r="C136" s="45"/>
      <c r="D136" s="51"/>
      <c r="E136" s="328"/>
      <c r="F136" s="328"/>
      <c r="G136" s="357"/>
      <c r="H136" s="328"/>
    </row>
    <row r="137" spans="1:8" ht="13" x14ac:dyDescent="0.3">
      <c r="A137" s="321"/>
      <c r="C137" s="45"/>
      <c r="D137" s="51"/>
      <c r="E137" s="328"/>
      <c r="F137" s="328"/>
      <c r="G137" s="357"/>
      <c r="H137" s="328"/>
    </row>
    <row r="138" spans="1:8" ht="13" x14ac:dyDescent="0.3">
      <c r="A138" s="321"/>
      <c r="C138" s="45"/>
      <c r="D138" s="51"/>
      <c r="E138" s="328"/>
      <c r="F138" s="328"/>
      <c r="G138" s="357"/>
      <c r="H138" s="328"/>
    </row>
    <row r="139" spans="1:8" ht="13" x14ac:dyDescent="0.3">
      <c r="A139" s="321"/>
      <c r="C139" s="45"/>
      <c r="D139" s="51"/>
      <c r="E139" s="328"/>
      <c r="F139" s="328"/>
      <c r="G139" s="357"/>
      <c r="H139" s="328"/>
    </row>
    <row r="140" spans="1:8" ht="13" x14ac:dyDescent="0.3">
      <c r="A140" s="321"/>
      <c r="C140" s="45"/>
      <c r="D140" s="51"/>
      <c r="E140" s="328"/>
      <c r="F140" s="328"/>
      <c r="G140" s="357"/>
      <c r="H140" s="335"/>
    </row>
    <row r="141" spans="1:8" ht="13" x14ac:dyDescent="0.3">
      <c r="A141" s="321"/>
      <c r="H141" s="328"/>
    </row>
    <row r="142" spans="1:8" ht="13" x14ac:dyDescent="0.3">
      <c r="A142" s="321"/>
      <c r="C142" s="45"/>
      <c r="D142" s="51"/>
      <c r="F142" s="364"/>
      <c r="G142" s="357"/>
      <c r="H142" s="364"/>
    </row>
    <row r="143" spans="1:8" ht="13" x14ac:dyDescent="0.3">
      <c r="A143" s="321"/>
      <c r="B143" s="318"/>
      <c r="C143" s="45"/>
      <c r="D143" s="51"/>
      <c r="F143" s="364"/>
      <c r="G143" s="357"/>
      <c r="H143" s="364"/>
    </row>
    <row r="144" spans="1:8" ht="13" x14ac:dyDescent="0.3">
      <c r="A144" s="323"/>
      <c r="B144" s="318"/>
      <c r="C144" s="45"/>
      <c r="D144" s="51"/>
      <c r="F144" s="364"/>
      <c r="G144" s="357"/>
      <c r="H144" s="364"/>
    </row>
    <row r="145" spans="1:8" ht="13" x14ac:dyDescent="0.3">
      <c r="A145" s="321"/>
      <c r="C145" s="45"/>
      <c r="D145" s="52"/>
      <c r="E145" s="328"/>
      <c r="F145" s="365"/>
      <c r="G145" s="357"/>
      <c r="H145" s="364"/>
    </row>
    <row r="146" spans="1:8" ht="13" x14ac:dyDescent="0.3">
      <c r="A146" s="321"/>
      <c r="C146" s="45"/>
      <c r="D146" s="345"/>
      <c r="E146" s="328"/>
      <c r="F146" s="365"/>
      <c r="G146" s="357"/>
      <c r="H146" s="364"/>
    </row>
    <row r="147" spans="1:8" ht="13" x14ac:dyDescent="0.3">
      <c r="A147" s="321"/>
      <c r="C147" s="45"/>
      <c r="D147" s="345"/>
      <c r="E147" s="335"/>
      <c r="F147" s="365"/>
      <c r="G147" s="357"/>
      <c r="H147" s="364"/>
    </row>
    <row r="148" spans="1:8" ht="13" x14ac:dyDescent="0.3">
      <c r="A148" s="321"/>
      <c r="C148" s="45"/>
      <c r="D148" s="52"/>
      <c r="E148" s="328"/>
      <c r="F148" s="364"/>
      <c r="G148" s="357"/>
      <c r="H148" s="364"/>
    </row>
    <row r="149" spans="1:8" ht="13" x14ac:dyDescent="0.3">
      <c r="A149" s="321"/>
      <c r="C149" s="45"/>
      <c r="D149" s="51"/>
      <c r="F149" s="364"/>
      <c r="G149" s="357"/>
      <c r="H149" s="364"/>
    </row>
    <row r="150" spans="1:8" ht="13" x14ac:dyDescent="0.3">
      <c r="A150" s="321"/>
    </row>
    <row r="151" spans="1:8" ht="13" x14ac:dyDescent="0.3">
      <c r="A151" s="321"/>
    </row>
    <row r="152" spans="1:8" ht="13" x14ac:dyDescent="0.3">
      <c r="A152" s="321"/>
    </row>
    <row r="153" spans="1:8" ht="13" x14ac:dyDescent="0.3">
      <c r="A153" s="321"/>
      <c r="B153" s="318"/>
    </row>
    <row r="154" spans="1:8" ht="13" x14ac:dyDescent="0.3">
      <c r="A154" s="321"/>
      <c r="B154" s="329"/>
    </row>
    <row r="155" spans="1:8" ht="13" x14ac:dyDescent="0.3">
      <c r="A155" s="321"/>
      <c r="B155" s="329"/>
    </row>
    <row r="156" spans="1:8" ht="13" x14ac:dyDescent="0.3">
      <c r="A156" s="321"/>
      <c r="B156" s="329"/>
    </row>
    <row r="157" spans="1:8" ht="13" x14ac:dyDescent="0.3">
      <c r="A157" s="321"/>
    </row>
    <row r="158" spans="1:8" ht="13" x14ac:dyDescent="0.3">
      <c r="A158" s="321"/>
      <c r="B158" s="318"/>
    </row>
    <row r="159" spans="1:8" ht="13" x14ac:dyDescent="0.3">
      <c r="A159" s="321"/>
    </row>
    <row r="160" spans="1:8" ht="13" x14ac:dyDescent="0.3">
      <c r="A160" s="323"/>
      <c r="C160" s="44"/>
      <c r="D160" s="326"/>
    </row>
    <row r="161" spans="1:6" ht="13" x14ac:dyDescent="0.3">
      <c r="A161" s="321"/>
      <c r="C161" s="45"/>
      <c r="D161" s="366"/>
      <c r="F161" s="338"/>
    </row>
    <row r="162" spans="1:6" ht="13" x14ac:dyDescent="0.3">
      <c r="A162" s="321"/>
      <c r="C162" s="45"/>
      <c r="D162" s="366"/>
      <c r="F162" s="338"/>
    </row>
    <row r="163" spans="1:6" ht="13" x14ac:dyDescent="0.3">
      <c r="A163" s="321"/>
      <c r="C163" s="45"/>
      <c r="D163" s="366"/>
      <c r="F163" s="338"/>
    </row>
    <row r="164" spans="1:6" ht="13" x14ac:dyDescent="0.3">
      <c r="A164" s="321"/>
      <c r="C164" s="45"/>
      <c r="D164" s="366"/>
      <c r="F164" s="338"/>
    </row>
    <row r="165" spans="1:6" ht="13" x14ac:dyDescent="0.3">
      <c r="A165" s="321"/>
      <c r="C165" s="45"/>
      <c r="D165" s="366"/>
      <c r="F165" s="338"/>
    </row>
    <row r="166" spans="1:6" ht="13" x14ac:dyDescent="0.3">
      <c r="A166" s="321"/>
      <c r="C166" s="45"/>
      <c r="D166" s="366"/>
      <c r="F166" s="338"/>
    </row>
    <row r="167" spans="1:6" ht="13" x14ac:dyDescent="0.3">
      <c r="A167" s="321"/>
      <c r="C167" s="45"/>
      <c r="D167" s="366"/>
      <c r="F167" s="338"/>
    </row>
    <row r="168" spans="1:6" ht="13" x14ac:dyDescent="0.3">
      <c r="A168" s="321"/>
      <c r="C168" s="45"/>
      <c r="D168" s="366"/>
      <c r="F168" s="338"/>
    </row>
    <row r="169" spans="1:6" ht="13" x14ac:dyDescent="0.3">
      <c r="A169" s="321"/>
      <c r="C169" s="45"/>
      <c r="D169" s="366"/>
      <c r="F169" s="338"/>
    </row>
    <row r="170" spans="1:6" ht="13" x14ac:dyDescent="0.3">
      <c r="A170" s="321"/>
      <c r="C170" s="45"/>
      <c r="D170" s="366"/>
      <c r="F170" s="338"/>
    </row>
    <row r="171" spans="1:6" ht="13" x14ac:dyDescent="0.3">
      <c r="A171" s="321"/>
      <c r="C171" s="45"/>
      <c r="D171" s="366"/>
      <c r="F171" s="338"/>
    </row>
    <row r="172" spans="1:6" ht="13" x14ac:dyDescent="0.3">
      <c r="A172" s="321"/>
      <c r="C172" s="45"/>
      <c r="D172" s="367"/>
      <c r="F172" s="350"/>
    </row>
    <row r="173" spans="1:6" ht="13" x14ac:dyDescent="0.3">
      <c r="A173" s="321"/>
      <c r="C173" s="49"/>
      <c r="D173" s="366"/>
    </row>
  </sheetData>
  <pageMargins left="0.75" right="0.75" top="1" bottom="1" header="0.5" footer="0.5"/>
  <pageSetup scale="80" orientation="landscape" cellComments="asDisplayed" r:id="rId1"/>
  <headerFooter alignWithMargins="0">
    <oddHeader xml:space="preserve">&amp;CSchedule 4
True Up TRR
(TO2021 EDIT Adj)&amp;RTO2021 Annual Update
Attachment 4
WP-Schedule 3-One Time Adjustment Transition
Page &amp;P of &amp;N
</oddHeader>
    <oddFooter>&amp;R&amp;A</oddFooter>
  </headerFooter>
  <rowBreaks count="4" manualBreakCount="4">
    <brk id="45" max="16383" man="1"/>
    <brk id="73" max="16383" man="1"/>
    <brk id="120" max="9" man="1"/>
    <brk id="15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10D1C-FD45-410A-B702-A2D619BEA645}">
  <sheetPr codeName="Sheet21">
    <tabColor rgb="FFCCFFCC"/>
  </sheetPr>
  <dimension ref="A1:L173"/>
  <sheetViews>
    <sheetView zoomScaleNormal="100" zoomScalePageLayoutView="85" workbookViewId="0"/>
  </sheetViews>
  <sheetFormatPr defaultRowHeight="12.5" x14ac:dyDescent="0.25"/>
  <cols>
    <col min="1" max="1" width="4.54296875" style="238" customWidth="1"/>
    <col min="2" max="6" width="8.7265625" style="238"/>
    <col min="7" max="7" width="13.54296875" style="238" customWidth="1"/>
    <col min="8" max="8" width="24.54296875" style="238" customWidth="1"/>
    <col min="9" max="9" width="29.453125" style="238" customWidth="1"/>
    <col min="10" max="10" width="2.54296875" style="238" customWidth="1"/>
    <col min="11" max="11" width="21.54296875" style="238" bestFit="1" customWidth="1"/>
    <col min="12" max="12" width="12.453125" style="238" bestFit="1" customWidth="1"/>
    <col min="13" max="16384" width="8.7265625" style="238"/>
  </cols>
  <sheetData>
    <row r="1" spans="1:11" ht="13" x14ac:dyDescent="0.3">
      <c r="A1" s="237" t="s">
        <v>216</v>
      </c>
    </row>
    <row r="2" spans="1:11" x14ac:dyDescent="0.25">
      <c r="I2" s="73" t="s">
        <v>217</v>
      </c>
      <c r="J2" s="73"/>
    </row>
    <row r="3" spans="1:11" ht="13" x14ac:dyDescent="0.3">
      <c r="A3" s="237" t="s">
        <v>218</v>
      </c>
    </row>
    <row r="4" spans="1:11" ht="13" x14ac:dyDescent="0.3">
      <c r="H4" s="242"/>
      <c r="I4" s="242" t="s">
        <v>103</v>
      </c>
      <c r="K4" s="271">
        <v>2019</v>
      </c>
    </row>
    <row r="5" spans="1:11" ht="13" x14ac:dyDescent="0.3">
      <c r="A5" s="243" t="s">
        <v>104</v>
      </c>
      <c r="H5" s="244" t="s">
        <v>107</v>
      </c>
      <c r="I5" s="244" t="s">
        <v>108</v>
      </c>
      <c r="K5" s="244" t="s">
        <v>219</v>
      </c>
    </row>
    <row r="7" spans="1:11" ht="13" x14ac:dyDescent="0.3">
      <c r="A7" s="272" t="s">
        <v>220</v>
      </c>
      <c r="B7" s="273"/>
      <c r="C7" s="273"/>
      <c r="D7" s="273"/>
      <c r="E7" s="273"/>
      <c r="F7" s="273"/>
      <c r="G7" s="273"/>
      <c r="H7" s="274"/>
      <c r="I7" s="274"/>
      <c r="J7" s="274"/>
      <c r="K7" s="274"/>
    </row>
    <row r="9" spans="1:11" ht="13" x14ac:dyDescent="0.3">
      <c r="A9" s="242">
        <v>1</v>
      </c>
      <c r="B9" s="264" t="s">
        <v>109</v>
      </c>
      <c r="I9" s="238" t="s">
        <v>768</v>
      </c>
      <c r="K9" s="247">
        <v>9285531120.7645969</v>
      </c>
    </row>
    <row r="10" spans="1:11" ht="13" x14ac:dyDescent="0.3">
      <c r="A10" s="242">
        <f>A9+1</f>
        <v>2</v>
      </c>
      <c r="B10" s="264" t="s">
        <v>221</v>
      </c>
      <c r="I10" s="238" t="s">
        <v>769</v>
      </c>
      <c r="K10" s="247">
        <v>295082246.65901393</v>
      </c>
    </row>
    <row r="11" spans="1:11" ht="13" x14ac:dyDescent="0.3">
      <c r="A11" s="242">
        <f>A10+1</f>
        <v>3</v>
      </c>
      <c r="B11" s="264" t="s">
        <v>113</v>
      </c>
      <c r="I11" s="238" t="s">
        <v>771</v>
      </c>
      <c r="K11" s="247">
        <v>9942155</v>
      </c>
    </row>
    <row r="12" spans="1:11" ht="13" x14ac:dyDescent="0.3">
      <c r="A12" s="242">
        <f>A11+1</f>
        <v>4</v>
      </c>
      <c r="B12" s="264" t="s">
        <v>114</v>
      </c>
      <c r="I12" s="238" t="s">
        <v>774</v>
      </c>
      <c r="K12" s="247">
        <v>0</v>
      </c>
    </row>
    <row r="13" spans="1:11" ht="13" x14ac:dyDescent="0.3">
      <c r="A13" s="242"/>
      <c r="B13" s="264"/>
      <c r="K13" s="247"/>
    </row>
    <row r="14" spans="1:11" ht="13" x14ac:dyDescent="0.3">
      <c r="A14" s="242"/>
      <c r="B14" s="265" t="s">
        <v>222</v>
      </c>
      <c r="K14" s="247"/>
    </row>
    <row r="15" spans="1:11" ht="13" x14ac:dyDescent="0.3">
      <c r="A15" s="242">
        <f>A12+1</f>
        <v>5</v>
      </c>
      <c r="B15" s="248" t="s">
        <v>116</v>
      </c>
      <c r="I15" s="238" t="s">
        <v>778</v>
      </c>
      <c r="K15" s="247">
        <v>23767744.786795456</v>
      </c>
    </row>
    <row r="16" spans="1:11" ht="13" x14ac:dyDescent="0.3">
      <c r="A16" s="242">
        <f>A15+1</f>
        <v>6</v>
      </c>
      <c r="B16" s="248" t="s">
        <v>117</v>
      </c>
      <c r="I16" s="238" t="s">
        <v>779</v>
      </c>
      <c r="K16" s="247">
        <v>14002734.713142229</v>
      </c>
    </row>
    <row r="17" spans="1:11" ht="13" x14ac:dyDescent="0.3">
      <c r="A17" s="242">
        <f>A16+1</f>
        <v>7</v>
      </c>
      <c r="B17" s="248" t="s">
        <v>118</v>
      </c>
      <c r="I17" s="238" t="str">
        <f>"(Line "&amp;A126&amp;" + Line "&amp;A127&amp;") / 8"</f>
        <v>(Line 66 + Line 67) / 8</v>
      </c>
      <c r="K17" s="266">
        <f>(K126+K127)/8</f>
        <v>24081045.83861341</v>
      </c>
    </row>
    <row r="18" spans="1:11" ht="13" x14ac:dyDescent="0.3">
      <c r="A18" s="242">
        <f>A17+1</f>
        <v>8</v>
      </c>
      <c r="B18" s="248" t="s">
        <v>120</v>
      </c>
      <c r="I18" s="238" t="str">
        <f>"Line "&amp;A15&amp;" + Line "&amp;A16&amp;" + Line "&amp;A17&amp;""</f>
        <v>Line 5 + Line 6 + Line 7</v>
      </c>
      <c r="K18" s="246">
        <f>SUM(K15:K17)</f>
        <v>61851525.338551089</v>
      </c>
    </row>
    <row r="19" spans="1:11" ht="13" x14ac:dyDescent="0.3">
      <c r="A19" s="242"/>
      <c r="B19" s="248"/>
      <c r="K19" s="247"/>
    </row>
    <row r="20" spans="1:11" ht="13" x14ac:dyDescent="0.3">
      <c r="A20" s="242"/>
      <c r="B20" s="267" t="s">
        <v>223</v>
      </c>
      <c r="K20" s="247"/>
    </row>
    <row r="21" spans="1:11" ht="13" x14ac:dyDescent="0.3">
      <c r="A21" s="242">
        <f>A18+1</f>
        <v>9</v>
      </c>
      <c r="B21" s="248" t="s">
        <v>224</v>
      </c>
      <c r="H21" s="238" t="s">
        <v>123</v>
      </c>
      <c r="I21" s="238" t="s">
        <v>799</v>
      </c>
      <c r="K21" s="247">
        <v>-1910452318.1000457</v>
      </c>
    </row>
    <row r="22" spans="1:11" ht="13" x14ac:dyDescent="0.3">
      <c r="A22" s="242">
        <f>A21+1</f>
        <v>10</v>
      </c>
      <c r="B22" s="248" t="s">
        <v>225</v>
      </c>
      <c r="H22" s="238" t="s">
        <v>123</v>
      </c>
      <c r="I22" s="238" t="s">
        <v>800</v>
      </c>
      <c r="K22" s="247">
        <v>0</v>
      </c>
    </row>
    <row r="23" spans="1:11" ht="13" x14ac:dyDescent="0.3">
      <c r="A23" s="242">
        <f>A22+1</f>
        <v>11</v>
      </c>
      <c r="B23" s="248" t="s">
        <v>226</v>
      </c>
      <c r="C23" s="47"/>
      <c r="H23" s="238" t="s">
        <v>123</v>
      </c>
      <c r="I23" s="238" t="s">
        <v>801</v>
      </c>
      <c r="K23" s="250">
        <v>-105738760.6660711</v>
      </c>
    </row>
    <row r="24" spans="1:11" ht="13" x14ac:dyDescent="0.3">
      <c r="A24" s="242">
        <f>A23+1</f>
        <v>12</v>
      </c>
      <c r="B24" s="46" t="s">
        <v>126</v>
      </c>
      <c r="C24" s="47"/>
      <c r="I24" s="238" t="str">
        <f>"Line "&amp;A21&amp;" + Line "&amp;A22&amp;" + Line "&amp;A23&amp;""</f>
        <v>Line 9 + Line 10 + Line 11</v>
      </c>
      <c r="K24" s="247">
        <f>SUM(K21:K23)</f>
        <v>-2016191078.7661169</v>
      </c>
    </row>
    <row r="25" spans="1:11" x14ac:dyDescent="0.25">
      <c r="K25" s="247"/>
    </row>
    <row r="26" spans="1:11" ht="13" x14ac:dyDescent="0.3">
      <c r="A26" s="242">
        <f>A24+1</f>
        <v>13</v>
      </c>
      <c r="B26" s="264" t="s">
        <v>655</v>
      </c>
      <c r="I26" s="238" t="s">
        <v>831</v>
      </c>
      <c r="K26" s="247">
        <v>-1621359578.4244325</v>
      </c>
    </row>
    <row r="27" spans="1:11" ht="13" x14ac:dyDescent="0.3">
      <c r="A27" s="242"/>
      <c r="B27" s="264"/>
    </row>
    <row r="28" spans="1:11" ht="13" x14ac:dyDescent="0.3">
      <c r="A28" s="242">
        <f>A26+1</f>
        <v>14</v>
      </c>
      <c r="B28" s="264" t="s">
        <v>128</v>
      </c>
      <c r="I28" s="238" t="s">
        <v>805</v>
      </c>
      <c r="K28" s="246">
        <v>647763205.16651607</v>
      </c>
    </row>
    <row r="29" spans="1:11" ht="13" x14ac:dyDescent="0.3">
      <c r="A29" s="242"/>
      <c r="B29" s="264"/>
      <c r="K29" s="247"/>
    </row>
    <row r="30" spans="1:11" ht="13" x14ac:dyDescent="0.3">
      <c r="A30" s="242">
        <f>A28+1</f>
        <v>15</v>
      </c>
      <c r="B30" s="264" t="s">
        <v>131</v>
      </c>
      <c r="I30" s="238" t="s">
        <v>812</v>
      </c>
      <c r="K30" s="247">
        <v>0</v>
      </c>
    </row>
    <row r="31" spans="1:11" ht="13" x14ac:dyDescent="0.3">
      <c r="A31" s="242">
        <f t="shared" ref="A31:A32" si="0">A30+1</f>
        <v>16</v>
      </c>
      <c r="B31" s="264" t="s">
        <v>130</v>
      </c>
      <c r="I31" s="238" t="s">
        <v>810</v>
      </c>
      <c r="K31" s="247">
        <v>-197765197.51234144</v>
      </c>
    </row>
    <row r="32" spans="1:11" ht="13" x14ac:dyDescent="0.3">
      <c r="A32" s="242">
        <f t="shared" si="0"/>
        <v>17</v>
      </c>
      <c r="B32" s="264" t="s">
        <v>129</v>
      </c>
      <c r="H32" s="238" t="s">
        <v>123</v>
      </c>
      <c r="I32" s="238" t="s">
        <v>807</v>
      </c>
      <c r="K32" s="247">
        <v>-36762569.307422847</v>
      </c>
    </row>
    <row r="33" spans="1:11" ht="13" x14ac:dyDescent="0.3">
      <c r="A33" s="242"/>
      <c r="B33" s="264"/>
    </row>
    <row r="34" spans="1:11" ht="13" x14ac:dyDescent="0.3">
      <c r="A34" s="242">
        <f>A32+1</f>
        <v>18</v>
      </c>
      <c r="B34" s="238" t="s">
        <v>132</v>
      </c>
      <c r="I34" s="238" t="str">
        <f>"L"&amp;A9&amp;" + L"&amp;A10&amp;" + L"&amp;A11&amp;" + L"&amp;A12&amp;" + L"&amp;A18&amp;" + L"&amp;A24&amp;" +"</f>
        <v>L1 + L2 + L3 + L4 + L8 + L12 +</v>
      </c>
      <c r="K34" s="246">
        <f>K9+K10+K11+K12+K18+K24+K26+K28+K30+K31+K32</f>
        <v>6428091828.9183636</v>
      </c>
    </row>
    <row r="35" spans="1:11" ht="13" x14ac:dyDescent="0.3">
      <c r="A35" s="242"/>
      <c r="I35" s="264" t="str">
        <f>"L"&amp;A26&amp;" + L"&amp;A28&amp;"+ L"&amp;A30&amp;"+ L"&amp;A31&amp;" + L"&amp;A32&amp;""</f>
        <v>L13 + L14+ L15+ L16 + L17</v>
      </c>
      <c r="K35" s="247"/>
    </row>
    <row r="37" spans="1:11" ht="13" x14ac:dyDescent="0.3">
      <c r="A37" s="272" t="s">
        <v>227</v>
      </c>
      <c r="B37" s="273"/>
      <c r="C37" s="273"/>
      <c r="D37" s="273"/>
      <c r="E37" s="273"/>
      <c r="F37" s="273"/>
      <c r="G37" s="273"/>
      <c r="H37" s="274"/>
      <c r="I37" s="274"/>
      <c r="J37" s="274"/>
      <c r="K37" s="274"/>
    </row>
    <row r="39" spans="1:11" ht="13" x14ac:dyDescent="0.3">
      <c r="A39" s="242">
        <f>A34+1</f>
        <v>19</v>
      </c>
      <c r="B39" s="238" t="s">
        <v>228</v>
      </c>
      <c r="H39" s="73" t="s">
        <v>229</v>
      </c>
      <c r="I39" s="238" t="s">
        <v>230</v>
      </c>
      <c r="K39" s="245">
        <v>329452981</v>
      </c>
    </row>
    <row r="40" spans="1:11" ht="13" x14ac:dyDescent="0.3">
      <c r="A40" s="242">
        <f>A39+1</f>
        <v>20</v>
      </c>
      <c r="B40" s="248" t="s">
        <v>231</v>
      </c>
      <c r="I40" s="238" t="s">
        <v>682</v>
      </c>
      <c r="K40" s="253">
        <v>0.18668038449535004</v>
      </c>
    </row>
    <row r="41" spans="1:11" ht="13" x14ac:dyDescent="0.3">
      <c r="A41" s="242">
        <f>A40+1</f>
        <v>21</v>
      </c>
      <c r="B41" s="238" t="s">
        <v>232</v>
      </c>
      <c r="I41" s="238" t="str">
        <f>"Line "&amp;A39&amp;" * Line "&amp;A40&amp;""</f>
        <v>Line 19 * Line 20</v>
      </c>
      <c r="K41" s="247">
        <f>K39*K40</f>
        <v>61502409.166219249</v>
      </c>
    </row>
    <row r="42" spans="1:11" ht="13" x14ac:dyDescent="0.3">
      <c r="A42" s="242" t="s">
        <v>233</v>
      </c>
      <c r="K42" s="253"/>
    </row>
    <row r="43" spans="1:11" ht="13" x14ac:dyDescent="0.3">
      <c r="A43" s="242">
        <f>A41+1</f>
        <v>22</v>
      </c>
      <c r="B43" s="238" t="s">
        <v>234</v>
      </c>
      <c r="K43" s="253"/>
    </row>
    <row r="44" spans="1:11" ht="13" x14ac:dyDescent="0.3">
      <c r="A44" s="242">
        <f t="shared" ref="A44:A56" si="1">A43+1</f>
        <v>23</v>
      </c>
      <c r="B44" s="248" t="s">
        <v>235</v>
      </c>
      <c r="E44" s="237"/>
      <c r="F44" s="237"/>
      <c r="G44" s="237"/>
      <c r="I44" s="238" t="str">
        <f>"Line "&amp;A45&amp;" + Line "&amp;A46&amp;"+ Line "&amp;A47&amp;""</f>
        <v>Line 24 + Line 25+ Line 26</v>
      </c>
      <c r="K44" s="247">
        <f>SUM(K45:K47)</f>
        <v>117647986</v>
      </c>
    </row>
    <row r="45" spans="1:11" ht="13" x14ac:dyDescent="0.3">
      <c r="A45" s="242">
        <f t="shared" si="1"/>
        <v>24</v>
      </c>
      <c r="B45" s="262" t="s">
        <v>236</v>
      </c>
      <c r="E45" s="237"/>
      <c r="F45" s="237"/>
      <c r="G45" s="237"/>
      <c r="H45" s="73" t="s">
        <v>237</v>
      </c>
      <c r="I45" s="238" t="s">
        <v>230</v>
      </c>
      <c r="K45" s="245">
        <v>116228864</v>
      </c>
    </row>
    <row r="46" spans="1:11" ht="13" x14ac:dyDescent="0.3">
      <c r="A46" s="242">
        <f t="shared" si="1"/>
        <v>25</v>
      </c>
      <c r="B46" s="262" t="s">
        <v>238</v>
      </c>
      <c r="E46" s="237"/>
      <c r="F46" s="237"/>
      <c r="G46" s="237"/>
      <c r="H46" s="73" t="s">
        <v>239</v>
      </c>
      <c r="I46" s="238" t="s">
        <v>230</v>
      </c>
      <c r="K46" s="245">
        <v>1175852</v>
      </c>
    </row>
    <row r="47" spans="1:11" ht="13" x14ac:dyDescent="0.3">
      <c r="A47" s="242">
        <f t="shared" si="1"/>
        <v>26</v>
      </c>
      <c r="B47" s="262" t="s">
        <v>240</v>
      </c>
      <c r="E47" s="237"/>
      <c r="F47" s="237"/>
      <c r="G47" s="237"/>
      <c r="H47" s="73" t="s">
        <v>241</v>
      </c>
      <c r="I47" s="238" t="s">
        <v>230</v>
      </c>
      <c r="K47" s="245">
        <v>243270</v>
      </c>
    </row>
    <row r="48" spans="1:11" ht="13" x14ac:dyDescent="0.3">
      <c r="A48" s="242">
        <f t="shared" si="1"/>
        <v>27</v>
      </c>
      <c r="B48" s="248" t="s">
        <v>242</v>
      </c>
      <c r="H48" s="73" t="s">
        <v>243</v>
      </c>
      <c r="I48" s="238" t="s">
        <v>230</v>
      </c>
      <c r="K48" s="245">
        <v>5948364</v>
      </c>
    </row>
    <row r="49" spans="1:11" ht="13" x14ac:dyDescent="0.3">
      <c r="A49" s="242">
        <f t="shared" si="1"/>
        <v>28</v>
      </c>
      <c r="B49" s="248" t="s">
        <v>244</v>
      </c>
      <c r="H49" s="73" t="s">
        <v>245</v>
      </c>
      <c r="I49" s="238" t="s">
        <v>230</v>
      </c>
      <c r="K49" s="245">
        <v>1718978</v>
      </c>
    </row>
    <row r="50" spans="1:11" ht="13" x14ac:dyDescent="0.3">
      <c r="A50" s="242">
        <f t="shared" si="1"/>
        <v>29</v>
      </c>
      <c r="B50" s="248" t="s">
        <v>246</v>
      </c>
      <c r="H50" s="73" t="s">
        <v>247</v>
      </c>
      <c r="I50" s="238" t="s">
        <v>230</v>
      </c>
      <c r="K50" s="245">
        <v>1879323</v>
      </c>
    </row>
    <row r="51" spans="1:11" ht="13" x14ac:dyDescent="0.3">
      <c r="A51" s="242">
        <f t="shared" si="1"/>
        <v>30</v>
      </c>
      <c r="B51" s="248" t="s">
        <v>248</v>
      </c>
      <c r="H51" s="73" t="s">
        <v>249</v>
      </c>
      <c r="I51" s="238" t="s">
        <v>230</v>
      </c>
      <c r="K51" s="245">
        <v>39927</v>
      </c>
    </row>
    <row r="52" spans="1:11" ht="13" x14ac:dyDescent="0.3">
      <c r="A52" s="242">
        <f t="shared" si="1"/>
        <v>31</v>
      </c>
      <c r="B52" s="238" t="s">
        <v>250</v>
      </c>
      <c r="I52" s="238" t="str">
        <f>"Line "&amp;A44&amp;" + (Line "&amp;A48&amp;" to Line "&amp;A51&amp;")"</f>
        <v>Line 23 + (Line 27 to Line 30)</v>
      </c>
      <c r="K52" s="247">
        <f>K44+K48+K49+K50+K51</f>
        <v>127234578</v>
      </c>
    </row>
    <row r="53" spans="1:11" ht="13" x14ac:dyDescent="0.3">
      <c r="A53" s="242">
        <f t="shared" si="1"/>
        <v>32</v>
      </c>
      <c r="B53" s="238" t="s">
        <v>251</v>
      </c>
      <c r="I53" s="238" t="s">
        <v>819</v>
      </c>
      <c r="K53" s="275">
        <v>57891732.990000002</v>
      </c>
    </row>
    <row r="54" spans="1:11" ht="13" x14ac:dyDescent="0.3">
      <c r="A54" s="242">
        <f t="shared" si="1"/>
        <v>33</v>
      </c>
      <c r="B54" s="238" t="s">
        <v>252</v>
      </c>
      <c r="I54" s="238" t="str">
        <f>"Line "&amp;A52&amp;" - Line "&amp;A53&amp;""</f>
        <v>Line 31 - Line 32</v>
      </c>
      <c r="K54" s="247">
        <f>K52-K53</f>
        <v>69342845.00999999</v>
      </c>
    </row>
    <row r="55" spans="1:11" ht="13" x14ac:dyDescent="0.3">
      <c r="A55" s="242">
        <f t="shared" si="1"/>
        <v>34</v>
      </c>
      <c r="B55" s="248" t="s">
        <v>253</v>
      </c>
      <c r="I55" s="238" t="s">
        <v>681</v>
      </c>
      <c r="K55" s="253">
        <v>6.5680595610890333E-2</v>
      </c>
    </row>
    <row r="56" spans="1:11" ht="13" x14ac:dyDescent="0.3">
      <c r="A56" s="242">
        <f t="shared" si="1"/>
        <v>35</v>
      </c>
      <c r="B56" s="264" t="s">
        <v>234</v>
      </c>
      <c r="I56" s="238" t="str">
        <f>"Line "&amp;A54&amp;" * Line "&amp;A55&amp;""</f>
        <v>Line 33 * Line 34</v>
      </c>
      <c r="K56" s="247">
        <f>K54*K55</f>
        <v>4554479.3616104536</v>
      </c>
    </row>
    <row r="57" spans="1:11" ht="13" x14ac:dyDescent="0.3">
      <c r="A57" s="242"/>
      <c r="K57" s="247"/>
    </row>
    <row r="58" spans="1:11" ht="13" x14ac:dyDescent="0.3">
      <c r="A58" s="242">
        <f>A56+1</f>
        <v>36</v>
      </c>
      <c r="B58" s="238" t="s">
        <v>152</v>
      </c>
      <c r="H58" s="238" t="s">
        <v>254</v>
      </c>
      <c r="I58" s="238" t="str">
        <f>"Line "&amp;A41&amp;" + Line "&amp;A56&amp;""</f>
        <v>Line 21 + Line 35</v>
      </c>
      <c r="K58" s="247">
        <f>K41+K56</f>
        <v>66056888.527829707</v>
      </c>
    </row>
    <row r="60" spans="1:11" ht="13" x14ac:dyDescent="0.3">
      <c r="A60" s="272" t="s">
        <v>255</v>
      </c>
      <c r="B60" s="273"/>
      <c r="C60" s="273"/>
      <c r="D60" s="273"/>
      <c r="E60" s="273"/>
      <c r="F60" s="273"/>
      <c r="G60" s="273"/>
      <c r="H60" s="274"/>
      <c r="I60" s="274"/>
      <c r="J60" s="274"/>
      <c r="K60" s="274"/>
    </row>
    <row r="61" spans="1:11" ht="13" x14ac:dyDescent="0.3">
      <c r="A61" s="237"/>
    </row>
    <row r="62" spans="1:11" x14ac:dyDescent="0.25">
      <c r="A62" s="240"/>
      <c r="B62" s="265" t="s">
        <v>256</v>
      </c>
    </row>
    <row r="63" spans="1:11" ht="13" x14ac:dyDescent="0.3">
      <c r="A63" s="242">
        <f>A58+1</f>
        <v>37</v>
      </c>
      <c r="B63" s="238" t="s">
        <v>257</v>
      </c>
      <c r="I63" s="238" t="s">
        <v>832</v>
      </c>
      <c r="K63" s="247">
        <v>14367696054.361542</v>
      </c>
    </row>
    <row r="64" spans="1:11" ht="13" x14ac:dyDescent="0.3">
      <c r="A64" s="242">
        <f>A63+1</f>
        <v>38</v>
      </c>
      <c r="B64" s="238" t="s">
        <v>259</v>
      </c>
      <c r="I64" s="238" t="s">
        <v>833</v>
      </c>
      <c r="K64" s="247">
        <v>655538361</v>
      </c>
    </row>
    <row r="65" spans="1:11" ht="13" x14ac:dyDescent="0.3">
      <c r="A65" s="242">
        <f>A64+1</f>
        <v>39</v>
      </c>
      <c r="B65" s="238" t="s">
        <v>261</v>
      </c>
      <c r="I65" s="238" t="s">
        <v>834</v>
      </c>
      <c r="K65" s="253">
        <v>4.5625851112085641E-2</v>
      </c>
    </row>
    <row r="66" spans="1:11" ht="13" x14ac:dyDescent="0.3">
      <c r="A66" s="242"/>
      <c r="K66" s="253"/>
    </row>
    <row r="67" spans="1:11" ht="13" x14ac:dyDescent="0.3">
      <c r="A67" s="242"/>
      <c r="B67" s="265" t="s">
        <v>263</v>
      </c>
    </row>
    <row r="68" spans="1:11" ht="13" x14ac:dyDescent="0.3">
      <c r="A68" s="242">
        <f>A65+1</f>
        <v>40</v>
      </c>
      <c r="B68" s="238" t="s">
        <v>264</v>
      </c>
      <c r="I68" s="238" t="s">
        <v>260</v>
      </c>
      <c r="K68" s="247">
        <v>2192067551.2041321</v>
      </c>
    </row>
    <row r="69" spans="1:11" ht="13" x14ac:dyDescent="0.3">
      <c r="A69" s="242">
        <f>A68+1</f>
        <v>41</v>
      </c>
      <c r="B69" s="238" t="s">
        <v>266</v>
      </c>
      <c r="I69" s="238" t="s">
        <v>835</v>
      </c>
      <c r="K69" s="247">
        <v>125382686.05206428</v>
      </c>
    </row>
    <row r="70" spans="1:11" ht="13" x14ac:dyDescent="0.3">
      <c r="A70" s="242">
        <f>A69+1</f>
        <v>42</v>
      </c>
      <c r="B70" s="238" t="s">
        <v>268</v>
      </c>
      <c r="I70" s="238" t="s">
        <v>265</v>
      </c>
      <c r="K70" s="253">
        <v>5.719836780722834E-2</v>
      </c>
    </row>
    <row r="71" spans="1:11" ht="13" x14ac:dyDescent="0.3">
      <c r="A71" s="242"/>
      <c r="K71" s="253"/>
    </row>
    <row r="72" spans="1:11" ht="13" x14ac:dyDescent="0.3">
      <c r="A72" s="242"/>
      <c r="B72" s="265" t="s">
        <v>270</v>
      </c>
    </row>
    <row r="73" spans="1:11" ht="13" x14ac:dyDescent="0.3">
      <c r="A73" s="242">
        <f>A70+1</f>
        <v>43</v>
      </c>
      <c r="B73" s="238" t="s">
        <v>271</v>
      </c>
      <c r="I73" s="238" t="s">
        <v>836</v>
      </c>
      <c r="K73" s="246">
        <v>13505405076.508003</v>
      </c>
    </row>
    <row r="74" spans="1:11" ht="13" x14ac:dyDescent="0.3">
      <c r="A74" s="242"/>
      <c r="I74" s="277"/>
    </row>
    <row r="75" spans="1:11" ht="13" x14ac:dyDescent="0.3">
      <c r="A75" s="242">
        <f>A73+1</f>
        <v>44</v>
      </c>
      <c r="B75" s="238" t="s">
        <v>272</v>
      </c>
      <c r="I75" s="238" t="str">
        <f>"Line "&amp;A63&amp;" + Line "&amp;A68&amp;" + Line "&amp;A73&amp;""</f>
        <v>Line 37 + Line 40 + Line 43</v>
      </c>
      <c r="K75" s="246">
        <f>K63+K68+K73</f>
        <v>30065168682.073677</v>
      </c>
    </row>
    <row r="76" spans="1:11" ht="13" x14ac:dyDescent="0.3">
      <c r="A76" s="242"/>
      <c r="K76" s="247"/>
    </row>
    <row r="77" spans="1:11" ht="13" x14ac:dyDescent="0.3">
      <c r="A77" s="242" t="s">
        <v>656</v>
      </c>
      <c r="B77" s="238" t="s">
        <v>657</v>
      </c>
      <c r="K77" s="270">
        <v>0.47499999999999998</v>
      </c>
    </row>
    <row r="78" spans="1:11" ht="13" x14ac:dyDescent="0.3">
      <c r="A78" s="242"/>
      <c r="B78" s="248"/>
      <c r="K78" s="247"/>
    </row>
    <row r="79" spans="1:11" ht="13" x14ac:dyDescent="0.3">
      <c r="A79" s="242"/>
      <c r="B79" s="265" t="s">
        <v>273</v>
      </c>
    </row>
    <row r="80" spans="1:11" ht="13" x14ac:dyDescent="0.3">
      <c r="A80" s="242">
        <f>A75+1</f>
        <v>45</v>
      </c>
      <c r="B80" s="238" t="s">
        <v>274</v>
      </c>
      <c r="I80" s="238" t="str">
        <f>"100% - (Line "&amp;A81&amp;" + Line "&amp;A82&amp;")"</f>
        <v>100% - (Line 46 + Line 47)</v>
      </c>
      <c r="K80" s="309">
        <f>1-(K81+K82)</f>
        <v>0.45208946441031783</v>
      </c>
    </row>
    <row r="81" spans="1:11" ht="13" x14ac:dyDescent="0.3">
      <c r="A81" s="242">
        <f>A80+1</f>
        <v>46</v>
      </c>
      <c r="B81" s="238" t="s">
        <v>275</v>
      </c>
      <c r="I81" s="238" t="str">
        <f>"Line "&amp;A68&amp;" / Line "&amp;A75&amp;""</f>
        <v>Line 40 / Line 44</v>
      </c>
      <c r="K81" s="309">
        <f>K68/K75</f>
        <v>7.2910535589682218E-2</v>
      </c>
    </row>
    <row r="82" spans="1:11" ht="13" x14ac:dyDescent="0.3">
      <c r="A82" s="242">
        <f>A81+1</f>
        <v>47</v>
      </c>
      <c r="B82" s="238" t="s">
        <v>276</v>
      </c>
      <c r="I82" s="238" t="str">
        <f>"Max Line "&amp;A77&amp;" or (Line "&amp;A73&amp;" / Line "&amp;A75&amp;")"</f>
        <v>Max Line 44a or (Line 43 / Line 44)</v>
      </c>
      <c r="K82" s="252">
        <f>MAX((K73/K75),K77)</f>
        <v>0.47499999999999998</v>
      </c>
    </row>
    <row r="83" spans="1:11" ht="13" x14ac:dyDescent="0.3">
      <c r="A83" s="242"/>
      <c r="I83" s="238" t="str">
        <f>"Line "&amp;A80&amp;" + Line "&amp;A81&amp;"+ Line "&amp;A82&amp;""</f>
        <v>Line 45 + Line 46+ Line 47</v>
      </c>
      <c r="K83" s="253">
        <f>SUM(K80:K82)</f>
        <v>1</v>
      </c>
    </row>
    <row r="84" spans="1:11" ht="13" x14ac:dyDescent="0.3">
      <c r="A84" s="242"/>
      <c r="B84" s="265" t="s">
        <v>277</v>
      </c>
      <c r="K84" s="253"/>
    </row>
    <row r="85" spans="1:11" ht="13" x14ac:dyDescent="0.3">
      <c r="A85" s="242">
        <f>A82+1</f>
        <v>48</v>
      </c>
      <c r="B85" s="238" t="s">
        <v>261</v>
      </c>
      <c r="I85" s="238" t="str">
        <f>"Line "&amp;A65&amp;""</f>
        <v>Line 39</v>
      </c>
      <c r="K85" s="253">
        <f>K65</f>
        <v>4.5625851112085641E-2</v>
      </c>
    </row>
    <row r="86" spans="1:11" ht="13" x14ac:dyDescent="0.3">
      <c r="A86" s="242">
        <f>A85+1</f>
        <v>49</v>
      </c>
      <c r="B86" s="238" t="s">
        <v>268</v>
      </c>
      <c r="I86" s="238" t="str">
        <f>"Line "&amp;A70&amp;""</f>
        <v>Line 42</v>
      </c>
      <c r="K86" s="253">
        <f>K70</f>
        <v>5.719836780722834E-2</v>
      </c>
    </row>
    <row r="87" spans="1:11" ht="13" x14ac:dyDescent="0.3">
      <c r="A87" s="242">
        <f>A86+1</f>
        <v>50</v>
      </c>
      <c r="B87" s="238" t="s">
        <v>278</v>
      </c>
      <c r="H87" s="238" t="s">
        <v>279</v>
      </c>
      <c r="I87" s="238" t="s">
        <v>280</v>
      </c>
      <c r="K87" s="286">
        <v>0.10299999999999999</v>
      </c>
    </row>
    <row r="88" spans="1:11" ht="13" x14ac:dyDescent="0.3">
      <c r="A88" s="242"/>
      <c r="I88" s="279"/>
      <c r="K88" s="253"/>
    </row>
    <row r="89" spans="1:11" ht="13" x14ac:dyDescent="0.3">
      <c r="A89" s="242"/>
      <c r="B89" s="265" t="s">
        <v>281</v>
      </c>
    </row>
    <row r="90" spans="1:11" ht="13" x14ac:dyDescent="0.3">
      <c r="A90" s="242">
        <f>A87+1</f>
        <v>51</v>
      </c>
      <c r="B90" s="238" t="s">
        <v>282</v>
      </c>
      <c r="I90" s="238" t="str">
        <f>"Line "&amp;A65&amp;" * Line "&amp;A80&amp;""</f>
        <v>Line 39 * Line 45</v>
      </c>
      <c r="K90" s="309">
        <f>K65*K80</f>
        <v>2.0626966592527701E-2</v>
      </c>
    </row>
    <row r="91" spans="1:11" ht="13" x14ac:dyDescent="0.3">
      <c r="A91" s="242">
        <f>A90+1</f>
        <v>52</v>
      </c>
      <c r="B91" s="238" t="s">
        <v>283</v>
      </c>
      <c r="I91" s="238" t="str">
        <f>"Line "&amp;A70&amp;" * Line "&amp;A81&amp;""</f>
        <v>Line 42 * Line 46</v>
      </c>
      <c r="K91" s="309">
        <f>K70*K81</f>
        <v>4.1703636316806555E-3</v>
      </c>
    </row>
    <row r="92" spans="1:11" ht="13" x14ac:dyDescent="0.3">
      <c r="A92" s="242">
        <f>A91+1</f>
        <v>53</v>
      </c>
      <c r="B92" s="238" t="s">
        <v>284</v>
      </c>
      <c r="I92" s="238" t="str">
        <f>"Line "&amp;A82&amp;" * Line "&amp;A87&amp;""</f>
        <v>Line 47 * Line 50</v>
      </c>
      <c r="K92" s="310">
        <f>K82*K87</f>
        <v>4.8924999999999996E-2</v>
      </c>
    </row>
    <row r="93" spans="1:11" ht="13" x14ac:dyDescent="0.3">
      <c r="A93" s="242">
        <f>A92+1</f>
        <v>54</v>
      </c>
      <c r="B93" s="248" t="s">
        <v>134</v>
      </c>
      <c r="I93" s="238" t="str">
        <f>"Line "&amp;A90&amp;" + Line "&amp;A91&amp;" + Line "&amp;A92&amp;""</f>
        <v>Line 51 + Line 52 + Line 53</v>
      </c>
      <c r="K93" s="309">
        <f>SUM(K90:K92)</f>
        <v>7.3722330224208349E-2</v>
      </c>
    </row>
    <row r="94" spans="1:11" ht="13" x14ac:dyDescent="0.3">
      <c r="A94" s="242"/>
      <c r="B94" s="248"/>
      <c r="K94" s="280"/>
    </row>
    <row r="95" spans="1:11" ht="13" x14ac:dyDescent="0.3">
      <c r="A95" s="242">
        <f>A93+1</f>
        <v>55</v>
      </c>
      <c r="B95" s="264" t="s">
        <v>285</v>
      </c>
      <c r="H95" s="238" t="s">
        <v>286</v>
      </c>
      <c r="I95" s="238" t="str">
        <f>"Line "&amp;A91&amp;" + Line "&amp;A92&amp;""</f>
        <v>Line 52 + Line 53</v>
      </c>
      <c r="K95" s="309">
        <f>K91+K92</f>
        <v>5.3095363631680652E-2</v>
      </c>
    </row>
    <row r="96" spans="1:11" ht="13" x14ac:dyDescent="0.3">
      <c r="A96" s="242"/>
      <c r="K96" s="280"/>
    </row>
    <row r="97" spans="1:11" ht="13" x14ac:dyDescent="0.3">
      <c r="A97" s="242">
        <f>A95+1</f>
        <v>56</v>
      </c>
      <c r="B97" s="238" t="s">
        <v>136</v>
      </c>
      <c r="I97" s="238" t="str">
        <f>"Line "&amp;A34&amp;" * Line "&amp;A93&amp;""</f>
        <v>Line 18 * Line 54</v>
      </c>
      <c r="K97" s="246">
        <f>K34*K93</f>
        <v>473893908.52305502</v>
      </c>
    </row>
    <row r="98" spans="1:11" x14ac:dyDescent="0.25">
      <c r="A98" s="240"/>
    </row>
    <row r="100" spans="1:11" ht="13" x14ac:dyDescent="0.3">
      <c r="A100" s="285" t="s">
        <v>287</v>
      </c>
      <c r="B100" s="273"/>
      <c r="C100" s="273"/>
      <c r="D100" s="273"/>
      <c r="E100" s="273"/>
      <c r="F100" s="273"/>
      <c r="G100" s="273"/>
      <c r="H100" s="274"/>
      <c r="I100" s="274"/>
      <c r="J100" s="274"/>
      <c r="K100" s="274"/>
    </row>
    <row r="102" spans="1:11" ht="13" x14ac:dyDescent="0.3">
      <c r="A102" s="242">
        <f>A97+1</f>
        <v>57</v>
      </c>
      <c r="B102" s="238" t="s">
        <v>288</v>
      </c>
      <c r="I102" s="238" t="s">
        <v>820</v>
      </c>
      <c r="K102" s="253">
        <v>0.21</v>
      </c>
    </row>
    <row r="103" spans="1:11" ht="13" x14ac:dyDescent="0.3">
      <c r="A103" s="242">
        <f>A102+1</f>
        <v>58</v>
      </c>
      <c r="B103" s="238" t="s">
        <v>289</v>
      </c>
      <c r="I103" s="238" t="s">
        <v>821</v>
      </c>
      <c r="K103" s="253">
        <v>8.8400000000000006E-2</v>
      </c>
    </row>
    <row r="104" spans="1:11" ht="13" x14ac:dyDescent="0.3">
      <c r="A104" s="242">
        <f>A103+1</f>
        <v>59</v>
      </c>
      <c r="B104" s="238" t="s">
        <v>290</v>
      </c>
      <c r="H104" s="281" t="s">
        <v>291</v>
      </c>
      <c r="I104" s="238" t="str">
        <f>"(L"&amp;A102&amp;" + L"&amp;A103&amp;") - (L"&amp;A102&amp;" * L"&amp;A103&amp;")"</f>
        <v>(L57 + L58) - (L57 * L58)</v>
      </c>
      <c r="K104" s="253">
        <f>(K102+K103)-(K102*K103)</f>
        <v>0.27983599999999997</v>
      </c>
    </row>
    <row r="105" spans="1:11" ht="13" x14ac:dyDescent="0.3">
      <c r="A105" s="242"/>
      <c r="K105" s="253"/>
    </row>
    <row r="106" spans="1:11" ht="13.5" thickBot="1" x14ac:dyDescent="0.35">
      <c r="A106" s="242"/>
      <c r="B106" s="265" t="s">
        <v>292</v>
      </c>
      <c r="K106" s="253"/>
    </row>
    <row r="107" spans="1:11" ht="13.5" thickBot="1" x14ac:dyDescent="0.35">
      <c r="A107" s="242">
        <f>A104+1</f>
        <v>60</v>
      </c>
      <c r="B107" s="264" t="s">
        <v>658</v>
      </c>
      <c r="I107" s="264" t="s">
        <v>659</v>
      </c>
      <c r="K107" s="255">
        <v>-15761285</v>
      </c>
    </row>
    <row r="108" spans="1:11" ht="13" x14ac:dyDescent="0.3">
      <c r="A108" s="242">
        <f>A107+1</f>
        <v>61</v>
      </c>
      <c r="B108" s="264" t="s">
        <v>295</v>
      </c>
      <c r="H108" s="238" t="s">
        <v>294</v>
      </c>
      <c r="K108" s="57">
        <v>-183000</v>
      </c>
    </row>
    <row r="109" spans="1:11" ht="13" x14ac:dyDescent="0.3">
      <c r="A109" s="242">
        <f t="shared" ref="A109:A110" si="2">A108+1</f>
        <v>62</v>
      </c>
      <c r="B109" s="264" t="s">
        <v>296</v>
      </c>
      <c r="H109" s="238" t="s">
        <v>294</v>
      </c>
      <c r="K109" s="250">
        <v>2606000</v>
      </c>
    </row>
    <row r="110" spans="1:11" ht="13" x14ac:dyDescent="0.3">
      <c r="A110" s="242">
        <f t="shared" si="2"/>
        <v>63</v>
      </c>
      <c r="B110" s="248" t="s">
        <v>297</v>
      </c>
      <c r="I110" s="238" t="str">
        <f>"Line "&amp;A107&amp;" + Line "&amp;A108&amp;"+ Line "&amp;A109&amp;""</f>
        <v>Line 60 + Line 61+ Line 62</v>
      </c>
      <c r="K110" s="246">
        <f>SUM(K107:K109)</f>
        <v>-13338285</v>
      </c>
    </row>
    <row r="111" spans="1:11" ht="13" x14ac:dyDescent="0.3">
      <c r="A111" s="282"/>
    </row>
    <row r="112" spans="1:11" ht="13" x14ac:dyDescent="0.3">
      <c r="A112" s="242">
        <f>A110+1</f>
        <v>64</v>
      </c>
      <c r="B112" s="238" t="s">
        <v>298</v>
      </c>
      <c r="I112" s="238" t="str">
        <f>"Formula on Line "&amp;A114&amp;""</f>
        <v>Formula on Line 65</v>
      </c>
      <c r="K112" s="246">
        <f>(((K34*K95) + K121)*(K104/(1-K104)))+(K110/(1-K104))</f>
        <v>115621466.77233079</v>
      </c>
    </row>
    <row r="113" spans="1:11" ht="13" x14ac:dyDescent="0.3">
      <c r="A113" s="242"/>
    </row>
    <row r="114" spans="1:11" ht="13" x14ac:dyDescent="0.3">
      <c r="A114" s="242">
        <f>A112+1</f>
        <v>65</v>
      </c>
      <c r="B114" s="238" t="s">
        <v>138</v>
      </c>
    </row>
    <row r="115" spans="1:11" x14ac:dyDescent="0.25">
      <c r="A115" s="240"/>
    </row>
    <row r="116" spans="1:11" x14ac:dyDescent="0.25">
      <c r="A116" s="240"/>
      <c r="C116" s="238" t="s">
        <v>139</v>
      </c>
    </row>
    <row r="117" spans="1:11" x14ac:dyDescent="0.25">
      <c r="A117" s="240"/>
      <c r="C117" s="248" t="s">
        <v>140</v>
      </c>
      <c r="I117" s="238" t="str">
        <f>"Line "&amp;A34&amp;""</f>
        <v>Line 18</v>
      </c>
    </row>
    <row r="118" spans="1:11" x14ac:dyDescent="0.25">
      <c r="A118" s="240"/>
      <c r="C118" s="248" t="s">
        <v>299</v>
      </c>
      <c r="I118" s="238" t="str">
        <f>"Line "&amp;A95&amp;""</f>
        <v>Line 55</v>
      </c>
    </row>
    <row r="119" spans="1:11" x14ac:dyDescent="0.25">
      <c r="A119" s="240"/>
      <c r="C119" s="248" t="s">
        <v>143</v>
      </c>
      <c r="I119" s="238" t="str">
        <f>"Line "&amp;A104&amp;""</f>
        <v>Line 59</v>
      </c>
    </row>
    <row r="120" spans="1:11" x14ac:dyDescent="0.25">
      <c r="A120" s="240"/>
      <c r="C120" s="248" t="s">
        <v>144</v>
      </c>
      <c r="I120" s="238" t="str">
        <f>"Line "&amp;A110&amp;""</f>
        <v>Line 63</v>
      </c>
    </row>
    <row r="121" spans="1:11" x14ac:dyDescent="0.25">
      <c r="A121" s="240"/>
      <c r="C121" s="248" t="s">
        <v>145</v>
      </c>
      <c r="H121" s="251" t="s">
        <v>660</v>
      </c>
      <c r="I121" s="73" t="s">
        <v>661</v>
      </c>
      <c r="K121" s="57">
        <v>3917123</v>
      </c>
    </row>
    <row r="122" spans="1:11" x14ac:dyDescent="0.25">
      <c r="H122" s="251"/>
    </row>
    <row r="123" spans="1:11" ht="13" x14ac:dyDescent="0.3">
      <c r="A123" s="285" t="s">
        <v>301</v>
      </c>
      <c r="B123" s="273"/>
      <c r="C123" s="273"/>
      <c r="D123" s="273"/>
      <c r="E123" s="273"/>
      <c r="F123" s="273"/>
      <c r="G123" s="273"/>
      <c r="H123" s="274"/>
      <c r="I123" s="274"/>
      <c r="J123" s="274"/>
      <c r="K123" s="274"/>
    </row>
    <row r="125" spans="1:11" x14ac:dyDescent="0.25">
      <c r="B125" s="265" t="s">
        <v>302</v>
      </c>
    </row>
    <row r="126" spans="1:11" ht="13" x14ac:dyDescent="0.3">
      <c r="A126" s="242">
        <f>A114+1</f>
        <v>66</v>
      </c>
      <c r="B126" s="238" t="s">
        <v>147</v>
      </c>
      <c r="H126" s="248"/>
      <c r="I126" s="238" t="s">
        <v>823</v>
      </c>
      <c r="K126" s="247">
        <v>110879588.38578117</v>
      </c>
    </row>
    <row r="127" spans="1:11" ht="13" x14ac:dyDescent="0.3">
      <c r="A127" s="242">
        <f t="shared" ref="A127:A142" si="3">A126+1</f>
        <v>67</v>
      </c>
      <c r="B127" s="238" t="s">
        <v>148</v>
      </c>
      <c r="H127" s="248"/>
      <c r="I127" s="238" t="s">
        <v>824</v>
      </c>
      <c r="K127" s="246">
        <v>81768778.323126107</v>
      </c>
    </row>
    <row r="128" spans="1:11" ht="13" x14ac:dyDescent="0.3">
      <c r="A128" s="242">
        <f t="shared" si="3"/>
        <v>68</v>
      </c>
      <c r="B128" s="238" t="s">
        <v>149</v>
      </c>
      <c r="H128" s="248"/>
      <c r="I128" s="238" t="s">
        <v>808</v>
      </c>
      <c r="K128" s="247">
        <v>4075483.5901751588</v>
      </c>
    </row>
    <row r="129" spans="1:11" ht="13" x14ac:dyDescent="0.3">
      <c r="A129" s="242">
        <f t="shared" si="3"/>
        <v>69</v>
      </c>
      <c r="B129" s="238" t="s">
        <v>150</v>
      </c>
      <c r="H129" s="248"/>
      <c r="I129" s="238" t="s">
        <v>825</v>
      </c>
      <c r="K129" s="247">
        <v>255151988.45508885</v>
      </c>
    </row>
    <row r="130" spans="1:11" ht="13" x14ac:dyDescent="0.3">
      <c r="A130" s="242">
        <f t="shared" si="3"/>
        <v>70</v>
      </c>
      <c r="B130" s="238" t="s">
        <v>151</v>
      </c>
      <c r="H130" s="248"/>
      <c r="I130" s="238" t="s">
        <v>775</v>
      </c>
      <c r="K130" s="247">
        <v>0</v>
      </c>
    </row>
    <row r="131" spans="1:11" ht="13" x14ac:dyDescent="0.3">
      <c r="A131" s="242">
        <f t="shared" si="3"/>
        <v>71</v>
      </c>
      <c r="B131" s="238" t="s">
        <v>152</v>
      </c>
      <c r="H131" s="248"/>
      <c r="I131" s="238" t="str">
        <f>"Line "&amp;A58&amp;""</f>
        <v>Line 36</v>
      </c>
      <c r="K131" s="247">
        <f>K58</f>
        <v>66056888.527829707</v>
      </c>
    </row>
    <row r="132" spans="1:11" ht="13" x14ac:dyDescent="0.3">
      <c r="A132" s="242">
        <f t="shared" si="3"/>
        <v>72</v>
      </c>
      <c r="B132" s="238" t="s">
        <v>153</v>
      </c>
      <c r="H132" s="248" t="s">
        <v>123</v>
      </c>
      <c r="I132" s="238" t="s">
        <v>826</v>
      </c>
      <c r="K132" s="247">
        <v>-54094032.244774804</v>
      </c>
    </row>
    <row r="133" spans="1:11" ht="13" x14ac:dyDescent="0.3">
      <c r="A133" s="242">
        <f t="shared" si="3"/>
        <v>73</v>
      </c>
      <c r="B133" s="238" t="s">
        <v>154</v>
      </c>
      <c r="H133" s="248"/>
      <c r="I133" s="238" t="str">
        <f>"Line "&amp;A97&amp;""</f>
        <v>Line 56</v>
      </c>
      <c r="K133" s="246">
        <f>K97</f>
        <v>473893908.52305502</v>
      </c>
    </row>
    <row r="134" spans="1:11" ht="13" x14ac:dyDescent="0.3">
      <c r="A134" s="242">
        <f t="shared" si="3"/>
        <v>74</v>
      </c>
      <c r="B134" s="238" t="s">
        <v>155</v>
      </c>
      <c r="H134" s="248"/>
      <c r="I134" s="238" t="str">
        <f>"Line "&amp;A112&amp;""</f>
        <v>Line 64</v>
      </c>
      <c r="K134" s="246">
        <f>K112</f>
        <v>115621466.77233079</v>
      </c>
    </row>
    <row r="135" spans="1:11" ht="13" x14ac:dyDescent="0.3">
      <c r="A135" s="242">
        <f t="shared" si="3"/>
        <v>75</v>
      </c>
      <c r="B135" s="238" t="s">
        <v>303</v>
      </c>
      <c r="H135" s="248" t="s">
        <v>304</v>
      </c>
      <c r="I135" s="238" t="s">
        <v>772</v>
      </c>
      <c r="K135" s="247">
        <v>0</v>
      </c>
    </row>
    <row r="136" spans="1:11" ht="13" x14ac:dyDescent="0.3">
      <c r="A136" s="242">
        <f t="shared" si="3"/>
        <v>76</v>
      </c>
      <c r="B136" s="48" t="s">
        <v>157</v>
      </c>
      <c r="C136" s="48"/>
      <c r="H136" s="248"/>
      <c r="I136" s="238" t="s">
        <v>813</v>
      </c>
      <c r="K136" s="247">
        <v>0</v>
      </c>
    </row>
    <row r="137" spans="1:11" ht="13" x14ac:dyDescent="0.3">
      <c r="A137" s="242">
        <f t="shared" si="3"/>
        <v>77</v>
      </c>
      <c r="B137" s="238" t="s">
        <v>305</v>
      </c>
      <c r="H137" s="248"/>
      <c r="I137" s="238" t="s">
        <v>815</v>
      </c>
      <c r="K137" s="247">
        <v>26352647.066676423</v>
      </c>
    </row>
    <row r="138" spans="1:11" ht="13" x14ac:dyDescent="0.3">
      <c r="A138" s="242" t="s">
        <v>306</v>
      </c>
      <c r="B138" s="238" t="s">
        <v>307</v>
      </c>
      <c r="H138" s="248" t="s">
        <v>308</v>
      </c>
      <c r="I138" s="238" t="s">
        <v>309</v>
      </c>
      <c r="K138" s="250">
        <f>-K137</f>
        <v>-26352647.066676423</v>
      </c>
    </row>
    <row r="139" spans="1:11" ht="13" x14ac:dyDescent="0.3">
      <c r="A139" s="242">
        <f>A137+1</f>
        <v>78</v>
      </c>
      <c r="B139" s="238" t="s">
        <v>310</v>
      </c>
      <c r="H139" s="248"/>
      <c r="I139" s="238" t="str">
        <f>"Sum of Lines "&amp;A126&amp;" to "&amp;A138&amp;""</f>
        <v>Sum of Lines 66 to 77a</v>
      </c>
      <c r="K139" s="246">
        <f>SUM(K126:K138)</f>
        <v>1053354070.332612</v>
      </c>
    </row>
    <row r="140" spans="1:11" ht="13" x14ac:dyDescent="0.3">
      <c r="A140" s="282"/>
      <c r="H140" s="248"/>
      <c r="K140" s="247"/>
    </row>
    <row r="141" spans="1:11" ht="13" x14ac:dyDescent="0.3">
      <c r="A141" s="242">
        <f>A139+1</f>
        <v>79</v>
      </c>
      <c r="B141" s="238" t="s">
        <v>311</v>
      </c>
      <c r="I141" s="238" t="s">
        <v>817</v>
      </c>
      <c r="K141" s="246">
        <v>9741500.4653585497</v>
      </c>
    </row>
    <row r="142" spans="1:11" ht="13" x14ac:dyDescent="0.3">
      <c r="A142" s="242">
        <f t="shared" si="3"/>
        <v>80</v>
      </c>
      <c r="B142" s="238" t="s">
        <v>312</v>
      </c>
      <c r="I142" s="238" t="s">
        <v>818</v>
      </c>
      <c r="K142" s="246">
        <v>2247865.5761333113</v>
      </c>
    </row>
    <row r="143" spans="1:11" ht="13" x14ac:dyDescent="0.3">
      <c r="A143" s="242"/>
      <c r="K143" s="247"/>
    </row>
    <row r="144" spans="1:11" ht="13" x14ac:dyDescent="0.3">
      <c r="A144" s="242">
        <f>A142+1</f>
        <v>81</v>
      </c>
      <c r="B144" s="238" t="s">
        <v>313</v>
      </c>
      <c r="I144" s="238" t="str">
        <f>"Line "&amp;A139&amp;" + Line "&amp;A141&amp;"+ Line "&amp;A142&amp;""</f>
        <v>Line 78 + Line 79+ Line 80</v>
      </c>
      <c r="K144" s="246">
        <f>K139+K141+K142</f>
        <v>1065343436.3741039</v>
      </c>
    </row>
    <row r="146" spans="1:12" ht="13" x14ac:dyDescent="0.3">
      <c r="A146" s="272" t="s">
        <v>314</v>
      </c>
      <c r="B146" s="273"/>
      <c r="C146" s="273"/>
      <c r="D146" s="273"/>
      <c r="E146" s="273"/>
      <c r="F146" s="273"/>
      <c r="G146" s="273"/>
      <c r="H146" s="274"/>
      <c r="I146" s="274"/>
      <c r="J146" s="274"/>
      <c r="K146" s="274"/>
    </row>
    <row r="148" spans="1:12" x14ac:dyDescent="0.25">
      <c r="B148" s="265" t="s">
        <v>315</v>
      </c>
    </row>
    <row r="149" spans="1:12" ht="13" x14ac:dyDescent="0.3">
      <c r="A149" s="242">
        <f>A144+1</f>
        <v>82</v>
      </c>
      <c r="B149" s="238" t="s">
        <v>313</v>
      </c>
      <c r="I149" s="238" t="str">
        <f>"Line "&amp;A144&amp;""</f>
        <v>Line 81</v>
      </c>
      <c r="K149" s="246">
        <f>K144</f>
        <v>1065343436.3741039</v>
      </c>
    </row>
    <row r="150" spans="1:12" ht="13" x14ac:dyDescent="0.3">
      <c r="A150" s="242">
        <f>A149+1</f>
        <v>83</v>
      </c>
      <c r="B150" s="238" t="s">
        <v>316</v>
      </c>
      <c r="I150" s="238" t="s">
        <v>827</v>
      </c>
      <c r="K150" s="246">
        <v>102321080.23478211</v>
      </c>
    </row>
    <row r="151" spans="1:12" ht="13" x14ac:dyDescent="0.3">
      <c r="A151" s="242">
        <f>A150+1</f>
        <v>84</v>
      </c>
      <c r="B151" s="238" t="s">
        <v>317</v>
      </c>
      <c r="I151" s="238" t="s">
        <v>828</v>
      </c>
      <c r="K151" s="246">
        <v>-37797326.530348197</v>
      </c>
    </row>
    <row r="152" spans="1:12" ht="13" x14ac:dyDescent="0.3">
      <c r="A152" s="242">
        <f>A151+1</f>
        <v>85</v>
      </c>
      <c r="B152" s="238" t="s">
        <v>318</v>
      </c>
      <c r="H152" s="238" t="s">
        <v>319</v>
      </c>
      <c r="K152" s="284">
        <v>0</v>
      </c>
    </row>
    <row r="153" spans="1:12" ht="13" x14ac:dyDescent="0.3">
      <c r="A153" s="242"/>
      <c r="K153" s="247"/>
    </row>
    <row r="154" spans="1:12" ht="13" x14ac:dyDescent="0.3">
      <c r="A154" s="242">
        <f>A152+1</f>
        <v>86</v>
      </c>
      <c r="B154" s="238" t="s">
        <v>320</v>
      </c>
      <c r="H154" s="238" t="s">
        <v>321</v>
      </c>
      <c r="I154" s="238" t="str">
        <f>"L "&amp;A149&amp;" + L "&amp;A150&amp;" + L "&amp;A151&amp;" + L "&amp;A152&amp;""</f>
        <v>L 82 + L 83 + L 84 + L 85</v>
      </c>
      <c r="K154" s="246">
        <f>K149+K150+K151+K152</f>
        <v>1129867190.0785377</v>
      </c>
      <c r="L154" s="247"/>
    </row>
    <row r="155" spans="1:12" ht="13" x14ac:dyDescent="0.3">
      <c r="A155" s="242"/>
      <c r="K155" s="247"/>
    </row>
    <row r="156" spans="1:12" ht="13" x14ac:dyDescent="0.3">
      <c r="A156" s="242"/>
      <c r="B156" s="265" t="s">
        <v>322</v>
      </c>
      <c r="K156" s="247"/>
    </row>
    <row r="157" spans="1:12" ht="13" x14ac:dyDescent="0.3">
      <c r="A157" s="242">
        <f>A154+1</f>
        <v>87</v>
      </c>
      <c r="B157" s="238" t="s">
        <v>323</v>
      </c>
      <c r="I157" s="238" t="str">
        <f>"Line "&amp;A154&amp;""</f>
        <v>Line 86</v>
      </c>
      <c r="K157" s="246">
        <f>K154</f>
        <v>1129867190.0785377</v>
      </c>
    </row>
    <row r="158" spans="1:12" ht="13" x14ac:dyDescent="0.3">
      <c r="A158" s="242">
        <f>A157+1</f>
        <v>88</v>
      </c>
      <c r="B158" s="238" t="s">
        <v>324</v>
      </c>
      <c r="I158" s="238" t="s">
        <v>829</v>
      </c>
      <c r="K158" s="266">
        <v>-4694965.5538077038</v>
      </c>
    </row>
    <row r="159" spans="1:12" ht="13" x14ac:dyDescent="0.3">
      <c r="A159" s="242">
        <f>A158+1</f>
        <v>89</v>
      </c>
      <c r="B159" s="238" t="s">
        <v>322</v>
      </c>
      <c r="I159" s="238" t="str">
        <f>"Line "&amp;A157&amp;" + Line "&amp;A158&amp;""</f>
        <v>Line 87 + Line 88</v>
      </c>
      <c r="K159" s="246">
        <f>K157+K158</f>
        <v>1125172224.52473</v>
      </c>
    </row>
    <row r="161" spans="2:9" ht="13" x14ac:dyDescent="0.3">
      <c r="B161" s="257" t="s">
        <v>87</v>
      </c>
    </row>
    <row r="162" spans="2:9" x14ac:dyDescent="0.25">
      <c r="B162" s="238" t="s">
        <v>325</v>
      </c>
    </row>
    <row r="163" spans="2:9" x14ac:dyDescent="0.25">
      <c r="B163" s="248" t="s">
        <v>326</v>
      </c>
    </row>
    <row r="164" spans="2:9" x14ac:dyDescent="0.25">
      <c r="B164" s="238" t="s">
        <v>662</v>
      </c>
    </row>
    <row r="165" spans="2:9" x14ac:dyDescent="0.25">
      <c r="B165" s="238" t="s">
        <v>663</v>
      </c>
    </row>
    <row r="166" spans="2:9" x14ac:dyDescent="0.25">
      <c r="B166" s="238" t="s">
        <v>664</v>
      </c>
    </row>
    <row r="167" spans="2:9" x14ac:dyDescent="0.25">
      <c r="C167" s="238" t="s">
        <v>665</v>
      </c>
      <c r="F167" s="73" t="s">
        <v>666</v>
      </c>
      <c r="G167" s="73"/>
      <c r="H167" s="73"/>
      <c r="I167" s="73"/>
    </row>
    <row r="168" spans="2:9" x14ac:dyDescent="0.25">
      <c r="B168" s="238" t="s">
        <v>667</v>
      </c>
    </row>
    <row r="169" spans="2:9" x14ac:dyDescent="0.25">
      <c r="B169" s="248" t="s">
        <v>333</v>
      </c>
    </row>
    <row r="170" spans="2:9" x14ac:dyDescent="0.25">
      <c r="B170" s="248" t="s">
        <v>668</v>
      </c>
    </row>
    <row r="171" spans="2:9" x14ac:dyDescent="0.25">
      <c r="B171" s="238" t="s">
        <v>337</v>
      </c>
    </row>
    <row r="172" spans="2:9" x14ac:dyDescent="0.25">
      <c r="B172" s="238" t="s">
        <v>669</v>
      </c>
    </row>
    <row r="173" spans="2:9" x14ac:dyDescent="0.25">
      <c r="B173" s="248" t="s">
        <v>670</v>
      </c>
    </row>
  </sheetData>
  <pageMargins left="0.75" right="0.75" top="1" bottom="1" header="0.5" footer="0.5"/>
  <pageSetup scale="63" orientation="portrait" cellComments="asDisplayed" r:id="rId1"/>
  <headerFooter alignWithMargins="0">
    <oddHeader xml:space="preserve">&amp;CSchedule 1
Base TRR
(TO2021 EDIT Adj)&amp;RTO2021 Annual Update
Attachment 4
WP-Schedule 3-One Time Adjustment Transition
Page &amp;P of &amp;N
</oddHeader>
    <oddFooter>&amp;R&amp;A</oddFooter>
  </headerFooter>
  <rowBreaks count="2" manualBreakCount="2">
    <brk id="59" max="16383" man="1"/>
    <brk id="122" max="16383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7743-6343-492B-8633-FA513F927A79}">
  <sheetPr codeName="Sheet18">
    <tabColor rgb="FFCCFFCC"/>
  </sheetPr>
  <dimension ref="A1:P68"/>
  <sheetViews>
    <sheetView zoomScaleNormal="100" zoomScaleSheetLayoutView="80" zoomScalePageLayoutView="80" workbookViewId="0"/>
  </sheetViews>
  <sheetFormatPr defaultColWidth="8.54296875" defaultRowHeight="12.5" x14ac:dyDescent="0.25"/>
  <cols>
    <col min="1" max="1" width="4.54296875" style="238" customWidth="1"/>
    <col min="2" max="2" width="6.453125" style="238" customWidth="1"/>
    <col min="3" max="3" width="15.54296875" style="238" customWidth="1"/>
    <col min="4" max="4" width="16.453125" style="238" customWidth="1"/>
    <col min="5" max="15" width="14.54296875" style="238" customWidth="1"/>
    <col min="16" max="16" width="15.453125" style="238" bestFit="1" customWidth="1"/>
    <col min="17" max="16384" width="8.54296875" style="238"/>
  </cols>
  <sheetData>
    <row r="1" spans="1:16" ht="13" x14ac:dyDescent="0.3">
      <c r="A1" s="237" t="s">
        <v>683</v>
      </c>
      <c r="B1" s="237"/>
    </row>
    <row r="2" spans="1:16" ht="13" x14ac:dyDescent="0.3">
      <c r="A2" s="242" t="s">
        <v>684</v>
      </c>
      <c r="B2" s="292">
        <v>2019</v>
      </c>
      <c r="D2" s="287" t="s">
        <v>660</v>
      </c>
      <c r="E2" s="288" t="s">
        <v>752</v>
      </c>
      <c r="F2" s="288"/>
    </row>
    <row r="3" spans="1:16" ht="13" x14ac:dyDescent="0.3">
      <c r="C3" s="241" t="s">
        <v>12</v>
      </c>
      <c r="D3" s="241" t="s">
        <v>343</v>
      </c>
      <c r="E3" s="241" t="s">
        <v>361</v>
      </c>
      <c r="F3" s="241" t="s">
        <v>13</v>
      </c>
      <c r="G3" s="241" t="s">
        <v>362</v>
      </c>
      <c r="H3" s="241" t="s">
        <v>363</v>
      </c>
      <c r="I3" s="241" t="s">
        <v>364</v>
      </c>
      <c r="J3" s="241" t="s">
        <v>451</v>
      </c>
      <c r="K3" s="241" t="s">
        <v>685</v>
      </c>
      <c r="L3" s="241" t="s">
        <v>686</v>
      </c>
      <c r="M3" s="241" t="s">
        <v>687</v>
      </c>
      <c r="N3" s="241" t="s">
        <v>688</v>
      </c>
      <c r="O3" s="241" t="s">
        <v>689</v>
      </c>
      <c r="P3" s="241" t="s">
        <v>690</v>
      </c>
    </row>
    <row r="4" spans="1:16" ht="13" x14ac:dyDescent="0.3">
      <c r="A4" s="244" t="s">
        <v>104</v>
      </c>
      <c r="B4" s="244" t="s">
        <v>691</v>
      </c>
      <c r="C4" s="251" t="s">
        <v>110</v>
      </c>
      <c r="D4" s="293" t="s">
        <v>27</v>
      </c>
      <c r="E4" s="269" t="s">
        <v>30</v>
      </c>
      <c r="F4" s="269" t="s">
        <v>32</v>
      </c>
      <c r="G4" s="269" t="s">
        <v>34</v>
      </c>
      <c r="H4" s="269" t="s">
        <v>36</v>
      </c>
      <c r="I4" s="269" t="s">
        <v>37</v>
      </c>
      <c r="J4" s="269" t="s">
        <v>471</v>
      </c>
      <c r="K4" s="269" t="s">
        <v>39</v>
      </c>
      <c r="L4" s="269" t="s">
        <v>40</v>
      </c>
      <c r="M4" s="269" t="s">
        <v>41</v>
      </c>
      <c r="N4" s="269" t="s">
        <v>42</v>
      </c>
      <c r="O4" s="269" t="s">
        <v>43</v>
      </c>
      <c r="P4" s="269" t="s">
        <v>27</v>
      </c>
    </row>
    <row r="5" spans="1:16" ht="13" x14ac:dyDescent="0.3">
      <c r="A5" s="244"/>
      <c r="B5" s="244"/>
      <c r="C5" s="269" t="s">
        <v>692</v>
      </c>
      <c r="D5" s="293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</row>
    <row r="6" spans="1:16" ht="13" x14ac:dyDescent="0.3">
      <c r="A6" s="243"/>
      <c r="B6" s="243"/>
      <c r="C6" s="251"/>
      <c r="D6" s="293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</row>
    <row r="7" spans="1:16" ht="13" x14ac:dyDescent="0.3">
      <c r="B7" s="237" t="s">
        <v>693</v>
      </c>
      <c r="D7" s="293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</row>
    <row r="8" spans="1:16" ht="13" x14ac:dyDescent="0.3">
      <c r="A8" s="242">
        <v>1</v>
      </c>
      <c r="B8" s="242"/>
      <c r="C8" s="247">
        <f>SUM(D8:P8)/13</f>
        <v>14061240659.305387</v>
      </c>
      <c r="D8" s="245">
        <v>12801899999.969999</v>
      </c>
      <c r="E8" s="245">
        <v>12801899999.969999</v>
      </c>
      <c r="F8" s="245">
        <v>12762614285.68</v>
      </c>
      <c r="G8" s="245">
        <v>13862614285.68</v>
      </c>
      <c r="H8" s="245">
        <v>13862614285.68</v>
      </c>
      <c r="I8" s="245">
        <v>13862614285.68</v>
      </c>
      <c r="J8" s="245">
        <v>13862614285.68</v>
      </c>
      <c r="K8" s="245">
        <v>13862614285.68</v>
      </c>
      <c r="L8" s="245">
        <v>15023328571.389999</v>
      </c>
      <c r="M8" s="245">
        <v>15023328571.389999</v>
      </c>
      <c r="N8" s="245">
        <v>15023328571.389999</v>
      </c>
      <c r="O8" s="245">
        <v>15023328571.389999</v>
      </c>
      <c r="P8" s="245">
        <v>15023328571.389999</v>
      </c>
    </row>
    <row r="9" spans="1:16" ht="13" x14ac:dyDescent="0.3">
      <c r="A9" s="242"/>
      <c r="B9" s="237" t="s">
        <v>694</v>
      </c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</row>
    <row r="10" spans="1:16" ht="13" x14ac:dyDescent="0.3">
      <c r="A10" s="242">
        <f>A8+1</f>
        <v>2</v>
      </c>
      <c r="B10" s="242"/>
      <c r="C10" s="247">
        <f t="shared" ref="C10:C14" si="0">SUM(D10:P10)/13</f>
        <v>0</v>
      </c>
      <c r="D10" s="245">
        <v>0</v>
      </c>
      <c r="E10" s="245">
        <v>0</v>
      </c>
      <c r="F10" s="245">
        <v>0</v>
      </c>
      <c r="G10" s="245">
        <v>0</v>
      </c>
      <c r="H10" s="245">
        <v>0</v>
      </c>
      <c r="I10" s="245">
        <v>0</v>
      </c>
      <c r="J10" s="245">
        <v>0</v>
      </c>
      <c r="K10" s="245">
        <v>0</v>
      </c>
      <c r="L10" s="245">
        <v>0</v>
      </c>
      <c r="M10" s="245">
        <v>0</v>
      </c>
      <c r="N10" s="245">
        <v>0</v>
      </c>
      <c r="O10" s="245">
        <v>0</v>
      </c>
      <c r="P10" s="245">
        <v>0</v>
      </c>
    </row>
    <row r="11" spans="1:16" ht="13" x14ac:dyDescent="0.3">
      <c r="A11" s="242"/>
      <c r="B11" s="237" t="s">
        <v>695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</row>
    <row r="12" spans="1:16" ht="13" x14ac:dyDescent="0.3">
      <c r="A12" s="242" t="s">
        <v>696</v>
      </c>
      <c r="B12" s="237"/>
      <c r="C12" s="247">
        <f>SUM(D12:P12)/13</f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</row>
    <row r="13" spans="1:16" ht="13" x14ac:dyDescent="0.3">
      <c r="A13" s="242"/>
      <c r="B13" s="237" t="s">
        <v>697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</row>
    <row r="14" spans="1:16" ht="13" x14ac:dyDescent="0.3">
      <c r="A14" s="242">
        <f>A10+1</f>
        <v>3</v>
      </c>
      <c r="B14" s="242"/>
      <c r="C14" s="247">
        <f t="shared" si="0"/>
        <v>306455395.05615389</v>
      </c>
      <c r="D14" s="245">
        <v>306490452.56999999</v>
      </c>
      <c r="E14" s="245">
        <v>306484699.54000002</v>
      </c>
      <c r="F14" s="245">
        <v>306478922.25999999</v>
      </c>
      <c r="G14" s="245">
        <v>306473120.62</v>
      </c>
      <c r="H14" s="245">
        <v>306467294.50999999</v>
      </c>
      <c r="I14" s="245">
        <v>306461443.82999998</v>
      </c>
      <c r="J14" s="245">
        <v>306455568.48000002</v>
      </c>
      <c r="K14" s="245">
        <v>306449668.36000001</v>
      </c>
      <c r="L14" s="245">
        <v>306443743.36000001</v>
      </c>
      <c r="M14" s="245">
        <v>306437793.38</v>
      </c>
      <c r="N14" s="245">
        <v>306431818.31</v>
      </c>
      <c r="O14" s="245">
        <v>306425818.04000002</v>
      </c>
      <c r="P14" s="245">
        <v>306419792.47000003</v>
      </c>
    </row>
    <row r="15" spans="1:16" ht="13" x14ac:dyDescent="0.3">
      <c r="B15" s="237" t="s">
        <v>753</v>
      </c>
    </row>
    <row r="16" spans="1:16" ht="13" x14ac:dyDescent="0.3">
      <c r="A16" s="242">
        <v>4</v>
      </c>
      <c r="B16" s="242"/>
      <c r="C16" s="247">
        <f t="shared" ref="C16:C22" si="1">SUM(D16:P16)/13</f>
        <v>2245054950</v>
      </c>
      <c r="D16" s="245">
        <v>2245054950</v>
      </c>
      <c r="E16" s="245">
        <v>2245054950</v>
      </c>
      <c r="F16" s="245">
        <v>2245054950</v>
      </c>
      <c r="G16" s="245">
        <v>2245054950</v>
      </c>
      <c r="H16" s="245">
        <v>2245054950</v>
      </c>
      <c r="I16" s="245">
        <v>2245054950</v>
      </c>
      <c r="J16" s="245">
        <v>2245054950</v>
      </c>
      <c r="K16" s="245">
        <v>2245054950</v>
      </c>
      <c r="L16" s="245">
        <v>2245054950</v>
      </c>
      <c r="M16" s="245">
        <v>2245054950</v>
      </c>
      <c r="N16" s="245">
        <v>2245054950</v>
      </c>
      <c r="O16" s="245">
        <v>2245054950</v>
      </c>
      <c r="P16" s="245">
        <v>2245054950</v>
      </c>
    </row>
    <row r="17" spans="1:16" ht="13" x14ac:dyDescent="0.3">
      <c r="A17" s="242"/>
      <c r="B17" s="237" t="s">
        <v>754</v>
      </c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16" ht="13" x14ac:dyDescent="0.3">
      <c r="A18" s="242">
        <f>A16+1</f>
        <v>5</v>
      </c>
      <c r="B18" s="242"/>
      <c r="C18" s="247">
        <f t="shared" si="1"/>
        <v>-35163418.50555554</v>
      </c>
      <c r="D18" s="57">
        <v>-36870625.247222207</v>
      </c>
      <c r="E18" s="57">
        <v>-36586090.790277764</v>
      </c>
      <c r="F18" s="57">
        <v>-36301556.333333321</v>
      </c>
      <c r="G18" s="57">
        <v>-36017021.876388878</v>
      </c>
      <c r="H18" s="57">
        <v>-35732487.419444434</v>
      </c>
      <c r="I18" s="57">
        <v>-35447952.962499984</v>
      </c>
      <c r="J18" s="57">
        <v>-35163418.50555554</v>
      </c>
      <c r="K18" s="57">
        <v>-34878884.048611097</v>
      </c>
      <c r="L18" s="57">
        <v>-34594349.591666661</v>
      </c>
      <c r="M18" s="57">
        <v>-34309815.13472221</v>
      </c>
      <c r="N18" s="57">
        <v>-34025280.677777767</v>
      </c>
      <c r="O18" s="57">
        <v>-33740746.220833324</v>
      </c>
      <c r="P18" s="57">
        <v>-33456211.763888881</v>
      </c>
    </row>
    <row r="19" spans="1:16" ht="13" x14ac:dyDescent="0.3">
      <c r="A19" s="242"/>
      <c r="B19" s="237" t="s">
        <v>755</v>
      </c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</row>
    <row r="20" spans="1:16" ht="13" x14ac:dyDescent="0.3">
      <c r="A20" s="242">
        <f>A18+1</f>
        <v>6</v>
      </c>
      <c r="B20" s="242"/>
      <c r="C20" s="247">
        <f t="shared" si="1"/>
        <v>-17823980.290312503</v>
      </c>
      <c r="D20" s="245">
        <v>-18337973.014893901</v>
      </c>
      <c r="E20" s="57">
        <v>-18252334.578202222</v>
      </c>
      <c r="F20" s="57">
        <v>-18166696.141510591</v>
      </c>
      <c r="G20" s="57">
        <v>-18081057.70481896</v>
      </c>
      <c r="H20" s="57">
        <v>-17995419.268127326</v>
      </c>
      <c r="I20" s="57">
        <v>-17909780.831435699</v>
      </c>
      <c r="J20" s="57">
        <v>-17824142.394744068</v>
      </c>
      <c r="K20" s="57">
        <v>-17738503.958052438</v>
      </c>
      <c r="L20" s="57">
        <v>-17652865.521360807</v>
      </c>
      <c r="M20" s="57">
        <v>-17567227.079999998</v>
      </c>
      <c r="N20" s="57">
        <v>-17481588.647977501</v>
      </c>
      <c r="O20" s="57">
        <v>-17395247.760305524</v>
      </c>
      <c r="P20" s="57">
        <v>-17308906.872633502</v>
      </c>
    </row>
    <row r="21" spans="1:16" ht="13" x14ac:dyDescent="0.3">
      <c r="B21" s="237" t="s">
        <v>756</v>
      </c>
    </row>
    <row r="22" spans="1:16" ht="13" x14ac:dyDescent="0.3">
      <c r="A22" s="242">
        <v>7</v>
      </c>
      <c r="B22" s="242"/>
      <c r="C22" s="247">
        <f t="shared" si="1"/>
        <v>15704168456.043846</v>
      </c>
      <c r="D22" s="245">
        <v>13785814465</v>
      </c>
      <c r="E22" s="57">
        <v>13895712474.389999</v>
      </c>
      <c r="F22" s="57">
        <v>13767842252.379999</v>
      </c>
      <c r="G22" s="57">
        <v>13870286066.51</v>
      </c>
      <c r="H22" s="57">
        <v>14697239347.15</v>
      </c>
      <c r="I22" s="57">
        <v>14816789369.77</v>
      </c>
      <c r="J22" s="57">
        <v>15492646758.120001</v>
      </c>
      <c r="K22" s="57">
        <v>15638828771.209999</v>
      </c>
      <c r="L22" s="57">
        <v>17040370051.540001</v>
      </c>
      <c r="M22" s="57">
        <v>17645554361.889999</v>
      </c>
      <c r="N22" s="57">
        <v>17790078831.189999</v>
      </c>
      <c r="O22" s="57">
        <v>17885756771.27</v>
      </c>
      <c r="P22" s="57">
        <v>17827270408.150002</v>
      </c>
    </row>
    <row r="23" spans="1:16" ht="13.5" thickBot="1" x14ac:dyDescent="0.35">
      <c r="A23" s="242"/>
      <c r="B23" s="237" t="s">
        <v>757</v>
      </c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</row>
    <row r="24" spans="1:16" ht="13.5" thickBot="1" x14ac:dyDescent="0.35">
      <c r="A24" s="242">
        <v>8</v>
      </c>
      <c r="B24" s="242"/>
      <c r="C24" s="246">
        <f t="shared" ref="C24:C26" si="2">SUM(D24:P24)/13</f>
        <v>2604739.0269230772</v>
      </c>
      <c r="D24" s="294">
        <v>2604107</v>
      </c>
      <c r="E24" s="294">
        <v>2604255.75</v>
      </c>
      <c r="F24" s="295">
        <v>2604255.75</v>
      </c>
      <c r="G24" s="295">
        <v>2604255.75</v>
      </c>
      <c r="H24" s="295">
        <v>2604255.75</v>
      </c>
      <c r="I24" s="295">
        <v>2604353.25</v>
      </c>
      <c r="J24" s="295">
        <v>2605065.75</v>
      </c>
      <c r="K24" s="295">
        <v>2605065.75</v>
      </c>
      <c r="L24" s="295">
        <v>2605206</v>
      </c>
      <c r="M24" s="295">
        <v>2605206</v>
      </c>
      <c r="N24" s="295">
        <v>2605206</v>
      </c>
      <c r="O24" s="295">
        <v>2605206</v>
      </c>
      <c r="P24" s="296">
        <v>2605168.6</v>
      </c>
    </row>
    <row r="25" spans="1:16" ht="13.5" thickBot="1" x14ac:dyDescent="0.35">
      <c r="A25" s="242"/>
      <c r="B25" s="237" t="s">
        <v>758</v>
      </c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</row>
    <row r="26" spans="1:16" ht="13.5" thickBot="1" x14ac:dyDescent="0.35">
      <c r="A26" s="242">
        <f>A24+1</f>
        <v>9</v>
      </c>
      <c r="B26" s="242"/>
      <c r="C26" s="246">
        <f t="shared" si="2"/>
        <v>25862851.14692308</v>
      </c>
      <c r="D26" s="294">
        <v>22574194.449999999</v>
      </c>
      <c r="E26" s="295">
        <v>22115036.120000001</v>
      </c>
      <c r="F26" s="295">
        <v>26679120.789999999</v>
      </c>
      <c r="G26" s="295">
        <v>26605429.539999999</v>
      </c>
      <c r="H26" s="295">
        <v>26146271.210000001</v>
      </c>
      <c r="I26" s="295">
        <v>25687112.879999999</v>
      </c>
      <c r="J26" s="295">
        <v>25613421.649999999</v>
      </c>
      <c r="K26" s="295">
        <v>25154263.32</v>
      </c>
      <c r="L26" s="295">
        <v>24695104.989999998</v>
      </c>
      <c r="M26" s="295">
        <v>24621413.75</v>
      </c>
      <c r="N26" s="295">
        <v>24162255.420000002</v>
      </c>
      <c r="O26" s="296">
        <v>23351570.789999999</v>
      </c>
      <c r="P26" s="297">
        <v>38811870</v>
      </c>
    </row>
    <row r="27" spans="1:16" ht="13" x14ac:dyDescent="0.3">
      <c r="A27" s="242"/>
      <c r="B27" s="242"/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</row>
    <row r="28" spans="1:16" ht="13" x14ac:dyDescent="0.3">
      <c r="A28" s="242"/>
      <c r="B28" s="257" t="s">
        <v>175</v>
      </c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</row>
    <row r="29" spans="1:16" ht="13" x14ac:dyDescent="0.3">
      <c r="A29" s="242"/>
      <c r="B29" s="238" t="s">
        <v>705</v>
      </c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</row>
    <row r="30" spans="1:16" ht="13" x14ac:dyDescent="0.3">
      <c r="A30" s="242"/>
      <c r="B30" s="248" t="s">
        <v>706</v>
      </c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</row>
    <row r="31" spans="1:16" x14ac:dyDescent="0.25">
      <c r="B31" s="238" t="s">
        <v>759</v>
      </c>
    </row>
    <row r="32" spans="1:16" x14ac:dyDescent="0.25">
      <c r="B32" s="248"/>
    </row>
    <row r="33" spans="2:13" ht="13" x14ac:dyDescent="0.3">
      <c r="B33" s="257" t="s">
        <v>87</v>
      </c>
    </row>
    <row r="34" spans="2:13" x14ac:dyDescent="0.25">
      <c r="B34" s="238" t="s">
        <v>709</v>
      </c>
    </row>
    <row r="35" spans="2:13" x14ac:dyDescent="0.25">
      <c r="B35" s="238" t="s">
        <v>710</v>
      </c>
    </row>
    <row r="36" spans="2:13" x14ac:dyDescent="0.25">
      <c r="B36" s="238" t="s">
        <v>711</v>
      </c>
    </row>
    <row r="37" spans="2:13" x14ac:dyDescent="0.25">
      <c r="B37" s="238" t="s">
        <v>712</v>
      </c>
    </row>
    <row r="38" spans="2:13" x14ac:dyDescent="0.25">
      <c r="B38" s="238" t="s">
        <v>760</v>
      </c>
    </row>
    <row r="39" spans="2:13" x14ac:dyDescent="0.25">
      <c r="B39" s="238" t="s">
        <v>761</v>
      </c>
    </row>
    <row r="40" spans="2:13" x14ac:dyDescent="0.25">
      <c r="B40" s="248" t="s">
        <v>719</v>
      </c>
    </row>
    <row r="41" spans="2:13" ht="13" x14ac:dyDescent="0.3">
      <c r="H41" s="242" t="s">
        <v>720</v>
      </c>
    </row>
    <row r="42" spans="2:13" ht="13" x14ac:dyDescent="0.3">
      <c r="C42" s="242"/>
      <c r="E42" s="242" t="s">
        <v>721</v>
      </c>
      <c r="F42" s="242" t="s">
        <v>722</v>
      </c>
      <c r="G42" s="242" t="s">
        <v>722</v>
      </c>
      <c r="H42" s="242" t="s">
        <v>723</v>
      </c>
      <c r="I42" s="242" t="s">
        <v>724</v>
      </c>
    </row>
    <row r="43" spans="2:13" ht="13.5" thickBot="1" x14ac:dyDescent="0.35">
      <c r="C43" s="244" t="s">
        <v>725</v>
      </c>
      <c r="E43" s="244" t="s">
        <v>96</v>
      </c>
      <c r="F43" s="244" t="s">
        <v>726</v>
      </c>
      <c r="G43" s="244" t="s">
        <v>727</v>
      </c>
      <c r="H43" s="241" t="s">
        <v>728</v>
      </c>
      <c r="I43" s="244" t="s">
        <v>720</v>
      </c>
      <c r="J43" s="244" t="s">
        <v>107</v>
      </c>
    </row>
    <row r="44" spans="2:13" ht="13" thickBot="1" x14ac:dyDescent="0.3">
      <c r="C44" s="312" t="s">
        <v>729</v>
      </c>
      <c r="D44" s="299"/>
      <c r="E44" s="57">
        <f>350000*1000</f>
        <v>350000000</v>
      </c>
      <c r="F44" s="300">
        <v>40925</v>
      </c>
      <c r="G44" s="255">
        <v>5957289</v>
      </c>
      <c r="H44" s="306">
        <v>10</v>
      </c>
      <c r="I44" s="313">
        <v>595728.9</v>
      </c>
      <c r="J44" s="73"/>
      <c r="K44" s="73"/>
      <c r="L44" s="73"/>
      <c r="M44" s="73"/>
    </row>
    <row r="45" spans="2:13" ht="13" thickBot="1" x14ac:dyDescent="0.3">
      <c r="C45" s="312" t="s">
        <v>730</v>
      </c>
      <c r="D45" s="299"/>
      <c r="E45" s="57">
        <v>400000000</v>
      </c>
      <c r="F45" s="300">
        <v>41303</v>
      </c>
      <c r="G45" s="255">
        <v>12972287</v>
      </c>
      <c r="H45" s="306">
        <v>30</v>
      </c>
      <c r="I45" s="313">
        <v>432409.566666667</v>
      </c>
      <c r="J45" s="73"/>
      <c r="K45" s="73"/>
      <c r="L45" s="73"/>
      <c r="M45" s="73"/>
    </row>
    <row r="46" spans="2:13" ht="13" thickBot="1" x14ac:dyDescent="0.3">
      <c r="C46" s="314" t="s">
        <v>731</v>
      </c>
      <c r="D46" s="299"/>
      <c r="E46" s="57">
        <v>275000000</v>
      </c>
      <c r="F46" s="300">
        <v>41704</v>
      </c>
      <c r="G46" s="255">
        <v>6272358</v>
      </c>
      <c r="H46" s="306">
        <v>10</v>
      </c>
      <c r="I46" s="313">
        <v>627235.80000000005</v>
      </c>
      <c r="J46" s="73"/>
      <c r="K46" s="73"/>
      <c r="L46" s="73"/>
      <c r="M46" s="73"/>
    </row>
    <row r="47" spans="2:13" ht="13" thickBot="1" x14ac:dyDescent="0.3">
      <c r="C47" s="315" t="s">
        <v>732</v>
      </c>
      <c r="D47" s="299"/>
      <c r="E47" s="57">
        <v>325000000</v>
      </c>
      <c r="F47" s="300">
        <v>42240</v>
      </c>
      <c r="G47" s="255">
        <v>6419578</v>
      </c>
      <c r="H47" s="306">
        <v>10</v>
      </c>
      <c r="I47" s="313">
        <v>641957.80000000005</v>
      </c>
      <c r="J47" s="73"/>
      <c r="K47" s="73"/>
      <c r="L47" s="73"/>
      <c r="M47" s="73"/>
    </row>
    <row r="48" spans="2:13" ht="13" thickBot="1" x14ac:dyDescent="0.3">
      <c r="C48" s="315" t="s">
        <v>733</v>
      </c>
      <c r="D48" s="299"/>
      <c r="E48" s="57">
        <v>300000000</v>
      </c>
      <c r="F48" s="300">
        <v>42437</v>
      </c>
      <c r="G48" s="255">
        <v>6959810</v>
      </c>
      <c r="H48" s="306">
        <v>10</v>
      </c>
      <c r="I48" s="313">
        <v>695981</v>
      </c>
      <c r="J48" s="73"/>
      <c r="K48" s="73"/>
      <c r="L48" s="73"/>
      <c r="M48" s="73"/>
    </row>
    <row r="49" spans="2:13" ht="13" thickBot="1" x14ac:dyDescent="0.3">
      <c r="C49" s="316" t="s">
        <v>734</v>
      </c>
      <c r="D49" s="299"/>
      <c r="E49" s="57">
        <v>475000000</v>
      </c>
      <c r="F49" s="300">
        <v>42912</v>
      </c>
      <c r="G49" s="255">
        <v>12800620</v>
      </c>
      <c r="H49" s="306">
        <v>30</v>
      </c>
      <c r="I49" s="311">
        <v>426687.33333333302</v>
      </c>
      <c r="J49" s="302" t="s">
        <v>735</v>
      </c>
      <c r="K49" s="73"/>
      <c r="L49" s="73"/>
      <c r="M49" s="73"/>
    </row>
    <row r="50" spans="2:13" x14ac:dyDescent="0.25">
      <c r="C50" s="281"/>
      <c r="D50" s="281"/>
      <c r="I50" s="247">
        <f>SUM(I44:I49)</f>
        <v>3420000.4000000004</v>
      </c>
      <c r="J50" s="238" t="s">
        <v>736</v>
      </c>
    </row>
    <row r="51" spans="2:13" x14ac:dyDescent="0.25">
      <c r="B51" s="238" t="s">
        <v>762</v>
      </c>
    </row>
    <row r="52" spans="2:13" x14ac:dyDescent="0.25">
      <c r="B52" s="248" t="s">
        <v>738</v>
      </c>
    </row>
    <row r="53" spans="2:13" ht="13" x14ac:dyDescent="0.3">
      <c r="G53" s="242" t="s">
        <v>720</v>
      </c>
    </row>
    <row r="54" spans="2:13" ht="13" x14ac:dyDescent="0.3">
      <c r="C54" s="242"/>
      <c r="E54" s="242" t="s">
        <v>739</v>
      </c>
      <c r="F54" s="242" t="s">
        <v>720</v>
      </c>
      <c r="G54" s="242" t="s">
        <v>723</v>
      </c>
      <c r="H54" s="242" t="s">
        <v>724</v>
      </c>
      <c r="I54" s="242"/>
    </row>
    <row r="55" spans="2:13" ht="13" x14ac:dyDescent="0.3">
      <c r="C55" s="244" t="s">
        <v>740</v>
      </c>
      <c r="E55" s="244" t="s">
        <v>726</v>
      </c>
      <c r="F55" s="244" t="s">
        <v>96</v>
      </c>
      <c r="G55" s="241" t="s">
        <v>728</v>
      </c>
      <c r="H55" s="244" t="s">
        <v>720</v>
      </c>
      <c r="I55" s="244" t="s">
        <v>107</v>
      </c>
    </row>
    <row r="56" spans="2:13" ht="13" x14ac:dyDescent="0.3">
      <c r="C56" s="314" t="s">
        <v>741</v>
      </c>
      <c r="D56" s="305"/>
      <c r="E56" s="300">
        <v>31444</v>
      </c>
      <c r="F56" s="57">
        <v>15312.5</v>
      </c>
      <c r="G56" s="306">
        <v>34</v>
      </c>
      <c r="H56" s="311">
        <v>183750</v>
      </c>
      <c r="I56" s="307"/>
      <c r="J56" s="73"/>
      <c r="K56" s="73"/>
      <c r="L56" s="73"/>
      <c r="M56" s="73"/>
    </row>
    <row r="57" spans="2:13" ht="13.5" thickBot="1" x14ac:dyDescent="0.35">
      <c r="C57" s="314" t="s">
        <v>741</v>
      </c>
      <c r="D57" s="305"/>
      <c r="E57" s="300">
        <v>31444</v>
      </c>
      <c r="F57" s="57">
        <v>2512.25490196077</v>
      </c>
      <c r="G57" s="306">
        <v>34</v>
      </c>
      <c r="H57" s="311">
        <v>30147.058823529402</v>
      </c>
      <c r="I57" s="307"/>
      <c r="J57" s="73"/>
      <c r="K57" s="73"/>
      <c r="L57" s="73"/>
      <c r="M57" s="73"/>
    </row>
    <row r="58" spans="2:13" ht="13.5" thickBot="1" x14ac:dyDescent="0.35">
      <c r="C58" s="314" t="s">
        <v>742</v>
      </c>
      <c r="D58" s="305"/>
      <c r="E58" s="300">
        <v>41333</v>
      </c>
      <c r="F58" s="255">
        <v>7184</v>
      </c>
      <c r="G58" s="306">
        <v>30</v>
      </c>
      <c r="H58" s="311">
        <v>86211.699351851697</v>
      </c>
      <c r="I58" s="307" t="s">
        <v>743</v>
      </c>
      <c r="J58" s="307"/>
      <c r="K58" s="307"/>
      <c r="L58" s="73"/>
      <c r="M58" s="73"/>
    </row>
    <row r="59" spans="2:13" ht="13.5" thickBot="1" x14ac:dyDescent="0.35">
      <c r="C59" s="314" t="s">
        <v>744</v>
      </c>
      <c r="D59" s="305"/>
      <c r="E59" s="300">
        <v>41333</v>
      </c>
      <c r="F59" s="255">
        <v>8019</v>
      </c>
      <c r="G59" s="306">
        <v>30</v>
      </c>
      <c r="H59" s="311">
        <v>96228.865740741297</v>
      </c>
      <c r="I59" s="307" t="s">
        <v>743</v>
      </c>
      <c r="J59" s="307"/>
      <c r="K59" s="307"/>
      <c r="L59" s="73"/>
      <c r="M59" s="73"/>
    </row>
    <row r="60" spans="2:13" ht="13.5" thickBot="1" x14ac:dyDescent="0.35">
      <c r="C60" s="314" t="s">
        <v>745</v>
      </c>
      <c r="D60" s="305"/>
      <c r="E60" s="300">
        <v>42460</v>
      </c>
      <c r="F60" s="255">
        <v>17898</v>
      </c>
      <c r="G60" s="306">
        <v>10</v>
      </c>
      <c r="H60" s="311">
        <v>214780.25000000099</v>
      </c>
      <c r="I60" s="307" t="s">
        <v>746</v>
      </c>
      <c r="J60" s="307"/>
      <c r="K60" s="307"/>
      <c r="L60" s="73"/>
      <c r="M60" s="73"/>
    </row>
    <row r="61" spans="2:13" ht="13.5" thickBot="1" x14ac:dyDescent="0.35">
      <c r="C61" s="314" t="s">
        <v>747</v>
      </c>
      <c r="D61" s="305"/>
      <c r="E61" s="300">
        <v>42935</v>
      </c>
      <c r="F61" s="255">
        <v>35414</v>
      </c>
      <c r="G61" s="306">
        <v>30</v>
      </c>
      <c r="H61" s="311">
        <v>424972.77814815001</v>
      </c>
      <c r="I61" s="428"/>
      <c r="J61" s="428"/>
      <c r="K61" s="428"/>
      <c r="L61" s="73"/>
      <c r="M61" s="73"/>
    </row>
    <row r="62" spans="2:13" x14ac:dyDescent="0.25">
      <c r="C62" s="299"/>
      <c r="D62" s="299"/>
      <c r="E62" s="303"/>
      <c r="F62" s="57"/>
      <c r="G62" s="306"/>
      <c r="H62" s="57"/>
      <c r="I62" s="73"/>
      <c r="J62" s="73"/>
      <c r="K62" s="73"/>
      <c r="L62" s="73"/>
      <c r="M62" s="73"/>
    </row>
    <row r="63" spans="2:13" x14ac:dyDescent="0.25">
      <c r="C63" s="299"/>
      <c r="D63" s="299"/>
      <c r="E63" s="303"/>
      <c r="F63" s="57"/>
      <c r="G63" s="306"/>
      <c r="H63" s="57"/>
      <c r="I63" s="73"/>
      <c r="J63" s="73"/>
      <c r="K63" s="73"/>
      <c r="L63" s="73"/>
      <c r="M63" s="73"/>
    </row>
    <row r="64" spans="2:13" x14ac:dyDescent="0.25">
      <c r="C64" s="281"/>
      <c r="D64" s="281"/>
      <c r="H64" s="247">
        <f>SUM(H56:H63)</f>
        <v>1036090.6520642734</v>
      </c>
      <c r="I64" s="238" t="s">
        <v>748</v>
      </c>
    </row>
    <row r="66" spans="2:2" x14ac:dyDescent="0.25">
      <c r="B66" s="238" t="s">
        <v>763</v>
      </c>
    </row>
    <row r="67" spans="2:2" x14ac:dyDescent="0.25">
      <c r="B67" s="238" t="s">
        <v>764</v>
      </c>
    </row>
    <row r="68" spans="2:2" x14ac:dyDescent="0.25">
      <c r="B68" s="238" t="s">
        <v>765</v>
      </c>
    </row>
  </sheetData>
  <mergeCells count="1">
    <mergeCell ref="I61:K61"/>
  </mergeCells>
  <pageMargins left="0.7" right="0.7" top="0.75" bottom="0.75" header="0.3" footer="0.3"/>
  <pageSetup scale="54" fitToHeight="0" orientation="landscape" cellComments="asDisplayed" r:id="rId1"/>
  <headerFooter>
    <oddHeader xml:space="preserve">&amp;CSchedule 5 ROR-2
Return and Capitalization
(TO2021 EDIT Adj)&amp;RTO2021 Annual Update
Attachment 4
WP-Schedule 3-One Time Adjustment Transition
Page &amp;P of &amp;N
</oddHeader>
    <oddFooter>&amp;R5-ROR-2</oddFooter>
  </headerFooter>
  <rowBreaks count="1" manualBreakCount="1">
    <brk id="32" max="15" man="1"/>
  </row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08D11-002A-454E-8C46-13B7404CE9E8}">
  <sheetPr codeName="Sheet19">
    <tabColor rgb="FFCCFFCC"/>
  </sheetPr>
  <dimension ref="A1:M452"/>
  <sheetViews>
    <sheetView zoomScaleNormal="100" zoomScaleSheetLayoutView="100" zoomScalePageLayoutView="70" workbookViewId="0"/>
  </sheetViews>
  <sheetFormatPr defaultRowHeight="12.5" x14ac:dyDescent="0.25"/>
  <cols>
    <col min="1" max="1" width="4.54296875" style="319" customWidth="1"/>
    <col min="2" max="2" width="12.54296875" style="319" customWidth="1"/>
    <col min="3" max="3" width="8.54296875" style="319" customWidth="1"/>
    <col min="4" max="4" width="15.453125" style="319" bestFit="1" customWidth="1"/>
    <col min="5" max="5" width="18.54296875" style="319" customWidth="1"/>
    <col min="6" max="6" width="16.453125" style="319" customWidth="1"/>
    <col min="7" max="7" width="13.453125" style="319" customWidth="1"/>
    <col min="8" max="8" width="13.54296875" style="319" bestFit="1" customWidth="1"/>
    <col min="9" max="9" width="17.453125" style="319" customWidth="1"/>
    <col min="10" max="10" width="15.453125" style="319" customWidth="1"/>
    <col min="11" max="11" width="17.453125" style="319" customWidth="1"/>
    <col min="12" max="12" width="14.54296875" style="319" bestFit="1" customWidth="1"/>
    <col min="13" max="13" width="13.453125" style="319" bestFit="1" customWidth="1"/>
    <col min="14" max="16384" width="8.7265625" style="319"/>
  </cols>
  <sheetData>
    <row r="1" spans="1:12" ht="13" x14ac:dyDescent="0.3">
      <c r="A1" s="318" t="s">
        <v>838</v>
      </c>
      <c r="K1" s="318"/>
    </row>
    <row r="2" spans="1:12" ht="13" x14ac:dyDescent="0.3">
      <c r="A2" s="318"/>
      <c r="K2" s="318"/>
    </row>
    <row r="3" spans="1:12" ht="13" x14ac:dyDescent="0.3">
      <c r="A3" s="318"/>
      <c r="B3" s="329" t="s">
        <v>839</v>
      </c>
      <c r="K3" s="318"/>
    </row>
    <row r="4" spans="1:12" ht="13" x14ac:dyDescent="0.3">
      <c r="B4" s="329" t="s">
        <v>840</v>
      </c>
      <c r="K4" s="318"/>
      <c r="L4" s="329"/>
    </row>
    <row r="5" spans="1:12" ht="13" x14ac:dyDescent="0.3">
      <c r="B5" s="329"/>
      <c r="K5" s="318"/>
    </row>
    <row r="6" spans="1:12" ht="13" x14ac:dyDescent="0.3">
      <c r="A6" s="329"/>
      <c r="B6" s="318" t="s">
        <v>841</v>
      </c>
      <c r="E6" s="403" t="s">
        <v>660</v>
      </c>
      <c r="F6" s="404" t="s">
        <v>911</v>
      </c>
      <c r="G6" s="359"/>
      <c r="K6" s="318"/>
    </row>
    <row r="7" spans="1:12" ht="13" x14ac:dyDescent="0.3">
      <c r="A7" s="329"/>
      <c r="B7" s="405"/>
      <c r="D7" s="363" t="s">
        <v>12</v>
      </c>
      <c r="E7" s="363" t="s">
        <v>343</v>
      </c>
      <c r="F7" s="363" t="s">
        <v>361</v>
      </c>
      <c r="G7" s="363" t="s">
        <v>13</v>
      </c>
      <c r="H7" s="363" t="s">
        <v>362</v>
      </c>
      <c r="I7" s="363" t="s">
        <v>363</v>
      </c>
      <c r="J7" s="363"/>
      <c r="K7" s="318"/>
      <c r="L7" s="363"/>
    </row>
    <row r="8" spans="1:12" x14ac:dyDescent="0.25">
      <c r="D8" s="361" t="s">
        <v>842</v>
      </c>
    </row>
    <row r="9" spans="1:12" x14ac:dyDescent="0.25">
      <c r="D9" s="368" t="s">
        <v>843</v>
      </c>
    </row>
    <row r="10" spans="1:12" ht="13" x14ac:dyDescent="0.3">
      <c r="B10" s="321"/>
    </row>
    <row r="11" spans="1:12" ht="13" x14ac:dyDescent="0.3">
      <c r="B11" s="321"/>
      <c r="D11" s="321" t="s">
        <v>72</v>
      </c>
      <c r="F11" s="321" t="s">
        <v>844</v>
      </c>
      <c r="G11" s="369" t="s">
        <v>845</v>
      </c>
      <c r="H11" s="369" t="s">
        <v>846</v>
      </c>
      <c r="I11" s="321"/>
      <c r="J11" s="321"/>
      <c r="K11" s="329"/>
    </row>
    <row r="12" spans="1:12" ht="13" x14ac:dyDescent="0.3">
      <c r="A12" s="325" t="s">
        <v>22</v>
      </c>
      <c r="B12" s="94" t="s">
        <v>23</v>
      </c>
      <c r="C12" s="94" t="s">
        <v>24</v>
      </c>
      <c r="D12" s="326" t="s">
        <v>847</v>
      </c>
      <c r="E12" s="326" t="s">
        <v>848</v>
      </c>
      <c r="F12" s="326" t="s">
        <v>849</v>
      </c>
      <c r="G12" s="370" t="s">
        <v>850</v>
      </c>
      <c r="H12" s="370" t="s">
        <v>851</v>
      </c>
      <c r="I12" s="326" t="s">
        <v>852</v>
      </c>
      <c r="J12" s="326"/>
      <c r="K12" s="329"/>
    </row>
    <row r="13" spans="1:12" ht="13" x14ac:dyDescent="0.3">
      <c r="A13" s="321">
        <v>1</v>
      </c>
      <c r="B13" s="104" t="s">
        <v>27</v>
      </c>
      <c r="C13" s="371">
        <v>2018</v>
      </c>
      <c r="D13" s="333">
        <f t="shared" ref="D13:D25" si="0">SUM(E13:I13)+SUM(D33:H33)</f>
        <v>442829075.92005408</v>
      </c>
      <c r="E13" s="372">
        <v>156282.26999999999</v>
      </c>
      <c r="F13" s="373">
        <v>0</v>
      </c>
      <c r="G13" s="373">
        <v>5220451.6500000004</v>
      </c>
      <c r="H13" s="373">
        <v>228226372.41</v>
      </c>
      <c r="I13" s="373">
        <v>0</v>
      </c>
      <c r="J13" s="374"/>
    </row>
    <row r="14" spans="1:12" ht="13" x14ac:dyDescent="0.3">
      <c r="A14" s="321">
        <f>A13+1</f>
        <v>2</v>
      </c>
      <c r="B14" s="104" t="s">
        <v>30</v>
      </c>
      <c r="C14" s="371">
        <v>2019</v>
      </c>
      <c r="D14" s="333">
        <f t="shared" si="0"/>
        <v>472722393.05005413</v>
      </c>
      <c r="E14" s="372">
        <v>156282.26999999999</v>
      </c>
      <c r="F14" s="373">
        <v>0</v>
      </c>
      <c r="G14" s="373">
        <v>5266927.67</v>
      </c>
      <c r="H14" s="373">
        <v>253402514.80000001</v>
      </c>
      <c r="I14" s="373">
        <v>0</v>
      </c>
      <c r="J14" s="374"/>
    </row>
    <row r="15" spans="1:12" ht="13" x14ac:dyDescent="0.3">
      <c r="A15" s="321">
        <f t="shared" ref="A15:A26" si="1">A14+1</f>
        <v>3</v>
      </c>
      <c r="B15" s="104" t="s">
        <v>32</v>
      </c>
      <c r="C15" s="371">
        <v>2019</v>
      </c>
      <c r="D15" s="333">
        <f t="shared" si="0"/>
        <v>487765460.01005411</v>
      </c>
      <c r="E15" s="372">
        <v>156282.26999999999</v>
      </c>
      <c r="F15" s="373">
        <v>0</v>
      </c>
      <c r="G15" s="373">
        <v>5319581.3099999996</v>
      </c>
      <c r="H15" s="373">
        <v>266659186.94999999</v>
      </c>
      <c r="I15" s="373">
        <v>0</v>
      </c>
      <c r="J15" s="374"/>
    </row>
    <row r="16" spans="1:12" ht="13" x14ac:dyDescent="0.3">
      <c r="A16" s="321">
        <f t="shared" si="1"/>
        <v>4</v>
      </c>
      <c r="B16" s="104" t="s">
        <v>34</v>
      </c>
      <c r="C16" s="371">
        <v>2019</v>
      </c>
      <c r="D16" s="333">
        <f t="shared" si="0"/>
        <v>511877474.28005421</v>
      </c>
      <c r="E16" s="372">
        <v>156282.26999999999</v>
      </c>
      <c r="F16" s="373">
        <v>0</v>
      </c>
      <c r="G16" s="373">
        <v>5345711.95</v>
      </c>
      <c r="H16" s="373">
        <v>288804117.97000003</v>
      </c>
      <c r="I16" s="373">
        <v>0</v>
      </c>
      <c r="J16" s="374"/>
    </row>
    <row r="17" spans="1:11" ht="13" x14ac:dyDescent="0.3">
      <c r="A17" s="321">
        <f t="shared" si="1"/>
        <v>5</v>
      </c>
      <c r="B17" s="104" t="s">
        <v>36</v>
      </c>
      <c r="C17" s="371">
        <v>2019</v>
      </c>
      <c r="D17" s="333">
        <f t="shared" si="0"/>
        <v>552987154.63045406</v>
      </c>
      <c r="E17" s="372">
        <v>156915.20000000001</v>
      </c>
      <c r="F17" s="373">
        <v>0</v>
      </c>
      <c r="G17" s="373">
        <v>5406473.5</v>
      </c>
      <c r="H17" s="373">
        <v>317592590.81</v>
      </c>
      <c r="I17" s="373">
        <v>0</v>
      </c>
      <c r="J17" s="374"/>
    </row>
    <row r="18" spans="1:11" ht="13" x14ac:dyDescent="0.3">
      <c r="A18" s="321">
        <f t="shared" si="1"/>
        <v>6</v>
      </c>
      <c r="B18" s="104" t="s">
        <v>37</v>
      </c>
      <c r="C18" s="371">
        <v>2019</v>
      </c>
      <c r="D18" s="333">
        <f t="shared" si="0"/>
        <v>586610506.67005408</v>
      </c>
      <c r="E18" s="372">
        <v>156915.20000000001</v>
      </c>
      <c r="F18" s="373">
        <v>0</v>
      </c>
      <c r="G18" s="373">
        <v>5496940.6399999997</v>
      </c>
      <c r="H18" s="373">
        <v>340944316.75999999</v>
      </c>
      <c r="I18" s="373">
        <v>0</v>
      </c>
      <c r="J18" s="374"/>
    </row>
    <row r="19" spans="1:11" ht="13" x14ac:dyDescent="0.3">
      <c r="A19" s="321">
        <f t="shared" si="1"/>
        <v>7</v>
      </c>
      <c r="B19" s="104" t="s">
        <v>38</v>
      </c>
      <c r="C19" s="371">
        <v>2019</v>
      </c>
      <c r="D19" s="333">
        <f t="shared" si="0"/>
        <v>621571695.64005423</v>
      </c>
      <c r="E19" s="372">
        <v>156915.20000000001</v>
      </c>
      <c r="F19" s="373">
        <v>0</v>
      </c>
      <c r="G19" s="373">
        <v>5505966.71</v>
      </c>
      <c r="H19" s="373">
        <v>363648418.18000001</v>
      </c>
      <c r="I19" s="373">
        <v>0</v>
      </c>
      <c r="J19" s="374"/>
    </row>
    <row r="20" spans="1:11" ht="13" x14ac:dyDescent="0.3">
      <c r="A20" s="321">
        <f t="shared" si="1"/>
        <v>8</v>
      </c>
      <c r="B20" s="104" t="s">
        <v>39</v>
      </c>
      <c r="C20" s="371">
        <v>2019</v>
      </c>
      <c r="D20" s="333">
        <f t="shared" si="0"/>
        <v>644382967.01005423</v>
      </c>
      <c r="E20" s="372">
        <v>156915.20000000001</v>
      </c>
      <c r="F20" s="373">
        <v>0</v>
      </c>
      <c r="G20" s="373">
        <v>5545240.5199999996</v>
      </c>
      <c r="H20" s="373">
        <v>382091968.81</v>
      </c>
      <c r="I20" s="373">
        <v>0</v>
      </c>
      <c r="J20" s="374"/>
    </row>
    <row r="21" spans="1:11" ht="13" x14ac:dyDescent="0.3">
      <c r="A21" s="321">
        <f t="shared" si="1"/>
        <v>9</v>
      </c>
      <c r="B21" s="104" t="s">
        <v>40</v>
      </c>
      <c r="C21" s="371">
        <v>2019</v>
      </c>
      <c r="D21" s="333">
        <f t="shared" si="0"/>
        <v>667018299.47786617</v>
      </c>
      <c r="E21" s="372">
        <v>156915.20000000001</v>
      </c>
      <c r="F21" s="373">
        <v>0</v>
      </c>
      <c r="G21" s="373">
        <v>5551731.0199999996</v>
      </c>
      <c r="H21" s="373">
        <v>399965932.72000003</v>
      </c>
      <c r="I21" s="373">
        <v>0</v>
      </c>
      <c r="J21" s="374"/>
    </row>
    <row r="22" spans="1:11" ht="13" x14ac:dyDescent="0.3">
      <c r="A22" s="321">
        <f t="shared" si="1"/>
        <v>10</v>
      </c>
      <c r="B22" s="104" t="s">
        <v>41</v>
      </c>
      <c r="C22" s="371">
        <v>2019</v>
      </c>
      <c r="D22" s="333">
        <f t="shared" si="0"/>
        <v>705005373.29786611</v>
      </c>
      <c r="E22" s="372">
        <v>156915.20000000001</v>
      </c>
      <c r="F22" s="373">
        <v>0</v>
      </c>
      <c r="G22" s="373">
        <v>5551681.7000000002</v>
      </c>
      <c r="H22" s="373">
        <v>420281394.63</v>
      </c>
      <c r="I22" s="373">
        <v>0</v>
      </c>
      <c r="J22" s="374"/>
    </row>
    <row r="23" spans="1:11" ht="13" x14ac:dyDescent="0.3">
      <c r="A23" s="321">
        <f t="shared" si="1"/>
        <v>11</v>
      </c>
      <c r="B23" s="104" t="s">
        <v>853</v>
      </c>
      <c r="C23" s="371">
        <v>2019</v>
      </c>
      <c r="D23" s="333">
        <f t="shared" si="0"/>
        <v>734731437.8278662</v>
      </c>
      <c r="E23" s="372">
        <v>156915.20000000001</v>
      </c>
      <c r="F23" s="373">
        <v>0</v>
      </c>
      <c r="G23" s="373">
        <v>5553946.6500000004</v>
      </c>
      <c r="H23" s="373">
        <v>441271639.44</v>
      </c>
      <c r="I23" s="373">
        <v>0</v>
      </c>
      <c r="J23" s="374"/>
    </row>
    <row r="24" spans="1:11" ht="13" x14ac:dyDescent="0.3">
      <c r="A24" s="321">
        <f t="shared" si="1"/>
        <v>12</v>
      </c>
      <c r="B24" s="104" t="s">
        <v>43</v>
      </c>
      <c r="C24" s="371">
        <v>2019</v>
      </c>
      <c r="D24" s="333">
        <f t="shared" si="0"/>
        <v>753142415.20786619</v>
      </c>
      <c r="E24" s="372">
        <v>156915.20000000001</v>
      </c>
      <c r="F24" s="373">
        <v>0</v>
      </c>
      <c r="G24" s="373">
        <v>5555762.8799999999</v>
      </c>
      <c r="H24" s="373">
        <v>451949884.19</v>
      </c>
      <c r="I24" s="373">
        <v>0</v>
      </c>
      <c r="J24" s="374"/>
    </row>
    <row r="25" spans="1:11" ht="13" x14ac:dyDescent="0.3">
      <c r="A25" s="321">
        <f t="shared" si="1"/>
        <v>13</v>
      </c>
      <c r="B25" s="104" t="s">
        <v>27</v>
      </c>
      <c r="C25" s="371">
        <v>2019</v>
      </c>
      <c r="D25" s="332">
        <f t="shared" si="0"/>
        <v>647763205.16651607</v>
      </c>
      <c r="E25" s="375">
        <v>157682.99</v>
      </c>
      <c r="F25" s="376">
        <v>0</v>
      </c>
      <c r="G25" s="376">
        <v>5584199.04</v>
      </c>
      <c r="H25" s="376">
        <v>468121962.68000001</v>
      </c>
      <c r="I25" s="376">
        <v>0</v>
      </c>
      <c r="J25" s="374"/>
    </row>
    <row r="26" spans="1:11" ht="13" x14ac:dyDescent="0.3">
      <c r="A26" s="321">
        <f t="shared" si="1"/>
        <v>14</v>
      </c>
      <c r="B26" s="104"/>
      <c r="C26" s="377" t="s">
        <v>854</v>
      </c>
      <c r="D26" s="378">
        <f t="shared" ref="D26:I26" si="2">SUM(D13:D25)/13</f>
        <v>602185189.09144735</v>
      </c>
      <c r="E26" s="379">
        <f t="shared" si="2"/>
        <v>156779.51307692306</v>
      </c>
      <c r="F26" s="379">
        <f t="shared" si="2"/>
        <v>0</v>
      </c>
      <c r="G26" s="379">
        <f t="shared" si="2"/>
        <v>5454201.1723076934</v>
      </c>
      <c r="H26" s="379">
        <f t="shared" si="2"/>
        <v>355612330.7961539</v>
      </c>
      <c r="I26" s="379">
        <f t="shared" si="2"/>
        <v>0</v>
      </c>
      <c r="J26" s="374"/>
      <c r="K26" s="374"/>
    </row>
    <row r="27" spans="1:11" ht="13" x14ac:dyDescent="0.3">
      <c r="A27" s="321"/>
      <c r="B27" s="104"/>
      <c r="C27" s="377"/>
      <c r="D27" s="379"/>
      <c r="E27" s="379"/>
      <c r="F27" s="379"/>
      <c r="G27" s="379"/>
      <c r="H27" s="379"/>
      <c r="I27" s="374"/>
      <c r="J27" s="331"/>
      <c r="K27" s="374"/>
    </row>
    <row r="28" spans="1:11" ht="13" x14ac:dyDescent="0.3">
      <c r="A28" s="321"/>
      <c r="B28" s="104"/>
      <c r="C28" s="377"/>
      <c r="D28" s="363" t="s">
        <v>364</v>
      </c>
      <c r="E28" s="363" t="s">
        <v>451</v>
      </c>
      <c r="F28" s="363" t="s">
        <v>685</v>
      </c>
      <c r="G28" s="363" t="s">
        <v>686</v>
      </c>
      <c r="H28" s="363" t="s">
        <v>687</v>
      </c>
      <c r="I28" s="363" t="s">
        <v>688</v>
      </c>
      <c r="J28" s="331"/>
      <c r="K28" s="374"/>
    </row>
    <row r="29" spans="1:11" ht="13" x14ac:dyDescent="0.3">
      <c r="A29" s="321"/>
      <c r="B29" s="104"/>
      <c r="C29" s="377"/>
      <c r="E29" s="369" t="s">
        <v>855</v>
      </c>
      <c r="F29" s="369"/>
      <c r="G29" s="369"/>
      <c r="H29" s="379"/>
      <c r="I29" s="374"/>
      <c r="J29" s="331"/>
      <c r="K29" s="374"/>
    </row>
    <row r="30" spans="1:11" ht="13" x14ac:dyDescent="0.3">
      <c r="B30" s="321"/>
      <c r="D30" s="321" t="s">
        <v>856</v>
      </c>
      <c r="E30" s="321" t="s">
        <v>857</v>
      </c>
      <c r="F30" s="406"/>
      <c r="G30" s="406"/>
      <c r="H30" s="406"/>
      <c r="I30" s="380"/>
      <c r="J30" s="331"/>
      <c r="K30" s="374"/>
    </row>
    <row r="31" spans="1:11" ht="13" x14ac:dyDescent="0.3">
      <c r="B31" s="321"/>
      <c r="D31" s="321" t="s">
        <v>858</v>
      </c>
      <c r="E31" s="321" t="s">
        <v>858</v>
      </c>
      <c r="F31" s="407"/>
      <c r="G31" s="407"/>
      <c r="H31" s="408" t="s">
        <v>859</v>
      </c>
      <c r="I31" s="380"/>
      <c r="J31" s="374"/>
      <c r="K31" s="374"/>
    </row>
    <row r="32" spans="1:11" ht="13.5" thickBot="1" x14ac:dyDescent="0.35">
      <c r="A32" s="325" t="s">
        <v>22</v>
      </c>
      <c r="B32" s="94" t="s">
        <v>23</v>
      </c>
      <c r="C32" s="94" t="s">
        <v>24</v>
      </c>
      <c r="D32" s="326" t="s">
        <v>860</v>
      </c>
      <c r="E32" s="326" t="s">
        <v>860</v>
      </c>
      <c r="F32" s="407" t="s">
        <v>861</v>
      </c>
      <c r="G32" s="407" t="s">
        <v>862</v>
      </c>
      <c r="H32" s="407" t="s">
        <v>912</v>
      </c>
      <c r="I32" s="382"/>
      <c r="J32" s="374"/>
      <c r="K32" s="374"/>
    </row>
    <row r="33" spans="1:11" ht="13" x14ac:dyDescent="0.3">
      <c r="A33" s="321">
        <f>+A26+1</f>
        <v>15</v>
      </c>
      <c r="B33" s="104" t="s">
        <v>27</v>
      </c>
      <c r="C33" s="371">
        <v>2018</v>
      </c>
      <c r="D33" s="373">
        <v>0</v>
      </c>
      <c r="E33" s="373">
        <v>0</v>
      </c>
      <c r="F33" s="383">
        <f>123208373.91+456370.793538</f>
        <v>123664744.703538</v>
      </c>
      <c r="G33" s="383">
        <f>20101220.48+238526.030866624</f>
        <v>20339746.510866623</v>
      </c>
      <c r="H33" s="383">
        <f>65187846.76+33631.6156495245</f>
        <v>65221478.375649519</v>
      </c>
      <c r="I33" s="384"/>
      <c r="J33" s="374"/>
      <c r="K33" s="374"/>
    </row>
    <row r="34" spans="1:11" ht="13" x14ac:dyDescent="0.3">
      <c r="A34" s="321">
        <f>A33+1</f>
        <v>16</v>
      </c>
      <c r="B34" s="104" t="s">
        <v>30</v>
      </c>
      <c r="C34" s="371">
        <v>2019</v>
      </c>
      <c r="D34" s="373">
        <v>0</v>
      </c>
      <c r="E34" s="373">
        <v>0</v>
      </c>
      <c r="F34" s="385">
        <f>128092182.55+456370.793538</f>
        <v>128548553.343538</v>
      </c>
      <c r="G34" s="385">
        <f>20216360.84+238526.030866624</f>
        <v>20454886.870866623</v>
      </c>
      <c r="H34" s="385">
        <f>64859596.48+33631.6156495245</f>
        <v>64893228.095649518</v>
      </c>
      <c r="I34" s="384"/>
      <c r="J34" s="374"/>
      <c r="K34" s="374"/>
    </row>
    <row r="35" spans="1:11" ht="13" x14ac:dyDescent="0.3">
      <c r="A35" s="321">
        <f t="shared" ref="A35:A46" si="3">A34+1</f>
        <v>17</v>
      </c>
      <c r="B35" s="104" t="s">
        <v>32</v>
      </c>
      <c r="C35" s="371">
        <v>2019</v>
      </c>
      <c r="D35" s="373">
        <v>0</v>
      </c>
      <c r="E35" s="373">
        <v>0</v>
      </c>
      <c r="F35" s="385">
        <f>129020038.06+456370.793538</f>
        <v>129476408.85353801</v>
      </c>
      <c r="G35" s="385">
        <f>20299975.9+238526.030866624</f>
        <v>20538501.930866621</v>
      </c>
      <c r="H35" s="385">
        <f>65581867.08+33631.6156495245</f>
        <v>65615498.69564952</v>
      </c>
      <c r="I35" s="384"/>
      <c r="J35" s="374"/>
      <c r="K35" s="374"/>
    </row>
    <row r="36" spans="1:11" ht="13" x14ac:dyDescent="0.3">
      <c r="A36" s="321">
        <f t="shared" si="3"/>
        <v>18</v>
      </c>
      <c r="B36" s="104" t="s">
        <v>34</v>
      </c>
      <c r="C36" s="371">
        <v>2019</v>
      </c>
      <c r="D36" s="373">
        <v>0</v>
      </c>
      <c r="E36" s="373">
        <v>0</v>
      </c>
      <c r="F36" s="385">
        <f>129270522.58+456370.793538</f>
        <v>129726893.373538</v>
      </c>
      <c r="G36" s="385">
        <f>20340469.41+238526.030866624</f>
        <v>20578995.440866623</v>
      </c>
      <c r="H36" s="385">
        <f>67231841.66+33631.6156495245</f>
        <v>67265473.275649518</v>
      </c>
      <c r="I36" s="384"/>
      <c r="J36" s="374"/>
      <c r="K36" s="374"/>
    </row>
    <row r="37" spans="1:11" ht="13" x14ac:dyDescent="0.3">
      <c r="A37" s="321">
        <f t="shared" si="3"/>
        <v>19</v>
      </c>
      <c r="B37" s="104" t="s">
        <v>36</v>
      </c>
      <c r="C37" s="371">
        <v>2019</v>
      </c>
      <c r="D37" s="373">
        <v>0</v>
      </c>
      <c r="E37" s="373">
        <v>0</v>
      </c>
      <c r="F37" s="385">
        <f>140178321.44+456370.793538</f>
        <v>140634692.233538</v>
      </c>
      <c r="G37" s="385">
        <f>20568513.64+330922.741266624</f>
        <v>20899436.381266624</v>
      </c>
      <c r="H37" s="385">
        <f>68263414.89+33631.6156495245</f>
        <v>68297046.505649522</v>
      </c>
      <c r="I37" s="384"/>
      <c r="J37" s="374"/>
      <c r="K37" s="374"/>
    </row>
    <row r="38" spans="1:11" ht="13" x14ac:dyDescent="0.3">
      <c r="A38" s="321">
        <f t="shared" si="3"/>
        <v>20</v>
      </c>
      <c r="B38" s="104" t="s">
        <v>37</v>
      </c>
      <c r="C38" s="371">
        <v>2019</v>
      </c>
      <c r="D38" s="373">
        <v>0</v>
      </c>
      <c r="E38" s="373">
        <v>0</v>
      </c>
      <c r="F38" s="385">
        <f>148755309.84+456370.793538</f>
        <v>149211680.63353801</v>
      </c>
      <c r="G38" s="385">
        <f>20672615.48+238526.030866624</f>
        <v>20911141.510866623</v>
      </c>
      <c r="H38" s="385">
        <f>69855849.39+33662.5356495245</f>
        <v>69889511.925649524</v>
      </c>
      <c r="I38" s="384"/>
      <c r="J38" s="374"/>
      <c r="K38" s="374"/>
    </row>
    <row r="39" spans="1:11" ht="13" x14ac:dyDescent="0.3">
      <c r="A39" s="321">
        <f t="shared" si="3"/>
        <v>21</v>
      </c>
      <c r="B39" s="104" t="s">
        <v>38</v>
      </c>
      <c r="C39" s="371">
        <v>2019</v>
      </c>
      <c r="D39" s="373">
        <v>0</v>
      </c>
      <c r="E39" s="373">
        <v>87058.16</v>
      </c>
      <c r="F39" s="385">
        <f>158253219.63+456370.793538</f>
        <v>158709590.423538</v>
      </c>
      <c r="G39" s="385">
        <f>20786417.91+238526.030866624</f>
        <v>21024943.940866623</v>
      </c>
      <c r="H39" s="385">
        <f>72405171.41+33631.6156495245</f>
        <v>72438803.025649518</v>
      </c>
      <c r="I39" s="384"/>
      <c r="J39" s="374"/>
      <c r="K39" s="374"/>
    </row>
    <row r="40" spans="1:11" ht="13" x14ac:dyDescent="0.3">
      <c r="A40" s="321">
        <f t="shared" si="3"/>
        <v>22</v>
      </c>
      <c r="B40" s="104" t="s">
        <v>39</v>
      </c>
      <c r="C40" s="371">
        <v>2019</v>
      </c>
      <c r="D40" s="373">
        <v>0</v>
      </c>
      <c r="E40" s="373">
        <v>98390.36</v>
      </c>
      <c r="F40" s="385">
        <f>160897148.81+456370.793538</f>
        <v>161353519.60353801</v>
      </c>
      <c r="G40" s="385">
        <f>20870506.37+238526.030866624</f>
        <v>21109032.400866624</v>
      </c>
      <c r="H40" s="385">
        <f>73994268.5+33631.6156495245</f>
        <v>74027900.115649521</v>
      </c>
      <c r="I40" s="384"/>
      <c r="J40" s="374"/>
      <c r="K40" s="374"/>
    </row>
    <row r="41" spans="1:11" ht="13" x14ac:dyDescent="0.3">
      <c r="A41" s="321">
        <f t="shared" si="3"/>
        <v>23</v>
      </c>
      <c r="B41" s="104" t="s">
        <v>40</v>
      </c>
      <c r="C41" s="371">
        <v>2019</v>
      </c>
      <c r="D41" s="373">
        <v>0</v>
      </c>
      <c r="E41" s="373">
        <v>111924.3</v>
      </c>
      <c r="F41" s="385">
        <f>163331531.42+464831.88135</f>
        <v>163796363.30135</v>
      </c>
      <c r="G41" s="385">
        <f>21042056.66+238526.030866624</f>
        <v>21280582.690866623</v>
      </c>
      <c r="H41" s="385">
        <f>76121218.63+33631.6156495245</f>
        <v>76154850.245649517</v>
      </c>
      <c r="I41" s="384"/>
      <c r="J41" s="374"/>
      <c r="K41" s="374"/>
    </row>
    <row r="42" spans="1:11" ht="13" x14ac:dyDescent="0.3">
      <c r="A42" s="321">
        <f t="shared" si="3"/>
        <v>24</v>
      </c>
      <c r="B42" s="104" t="s">
        <v>41</v>
      </c>
      <c r="C42" s="371">
        <v>2019</v>
      </c>
      <c r="D42" s="373">
        <v>0</v>
      </c>
      <c r="E42" s="373">
        <v>122336.3</v>
      </c>
      <c r="F42" s="385">
        <f>172963345.62+464831.88135</f>
        <v>173428177.50135002</v>
      </c>
      <c r="G42" s="385">
        <f>21184791.1+238526.030866624</f>
        <v>21423317.130866624</v>
      </c>
      <c r="H42" s="385">
        <f>84007919.22+33631.6156495245</f>
        <v>84041550.83564952</v>
      </c>
      <c r="I42" s="384"/>
      <c r="J42" s="374"/>
      <c r="K42" s="374"/>
    </row>
    <row r="43" spans="1:11" ht="13" x14ac:dyDescent="0.3">
      <c r="A43" s="321">
        <f t="shared" si="3"/>
        <v>25</v>
      </c>
      <c r="B43" s="104" t="s">
        <v>853</v>
      </c>
      <c r="C43" s="371">
        <v>2019</v>
      </c>
      <c r="D43" s="373">
        <v>0</v>
      </c>
      <c r="E43" s="373">
        <v>148302.65</v>
      </c>
      <c r="F43" s="385">
        <f>180404574.19+464831.88135</f>
        <v>180869406.07135001</v>
      </c>
      <c r="G43" s="385">
        <f>21434293.42+238526.030866624</f>
        <v>21672819.450866625</v>
      </c>
      <c r="H43" s="385">
        <f>85024776.75+33631.6156495245</f>
        <v>85058408.365649521</v>
      </c>
      <c r="I43" s="384"/>
      <c r="J43" s="374"/>
      <c r="K43" s="374"/>
    </row>
    <row r="44" spans="1:11" ht="13" x14ac:dyDescent="0.3">
      <c r="A44" s="321">
        <f t="shared" si="3"/>
        <v>26</v>
      </c>
      <c r="B44" s="104" t="s">
        <v>43</v>
      </c>
      <c r="C44" s="371">
        <v>2019</v>
      </c>
      <c r="D44" s="373">
        <v>0</v>
      </c>
      <c r="E44" s="373">
        <v>284388.24</v>
      </c>
      <c r="F44" s="386">
        <f>184436998.32+464831.88135</f>
        <v>184901830.20135</v>
      </c>
      <c r="G44" s="386">
        <f>21570700.27+238526.030866624</f>
        <v>21809226.300866622</v>
      </c>
      <c r="H44" s="387">
        <f>88450776.58+33631.6156495245</f>
        <v>88484408.19564952</v>
      </c>
      <c r="I44" s="384"/>
      <c r="J44" s="374"/>
      <c r="K44" s="374"/>
    </row>
    <row r="45" spans="1:11" ht="13.5" thickBot="1" x14ac:dyDescent="0.35">
      <c r="A45" s="321">
        <f t="shared" si="3"/>
        <v>27</v>
      </c>
      <c r="B45" s="104" t="s">
        <v>27</v>
      </c>
      <c r="C45" s="371">
        <v>2019</v>
      </c>
      <c r="D45" s="376">
        <v>0</v>
      </c>
      <c r="E45" s="376">
        <v>301246.76</v>
      </c>
      <c r="F45" s="388">
        <f>49845413.41+9529.5</f>
        <v>49854942.909999996</v>
      </c>
      <c r="G45" s="388">
        <f>21762814.39+238526.030866624</f>
        <v>22001340.420866624</v>
      </c>
      <c r="H45" s="389">
        <f>101708198.75+33631.6156495245</f>
        <v>101741830.36564952</v>
      </c>
      <c r="I45" s="384"/>
      <c r="J45" s="374"/>
      <c r="K45" s="374"/>
    </row>
    <row r="46" spans="1:11" ht="13" x14ac:dyDescent="0.3">
      <c r="A46" s="321">
        <f t="shared" si="3"/>
        <v>28</v>
      </c>
      <c r="B46" s="104"/>
      <c r="C46" s="377" t="s">
        <v>854</v>
      </c>
      <c r="D46" s="379">
        <f>SUM(D33:D45)/13</f>
        <v>0</v>
      </c>
      <c r="E46" s="379">
        <f>SUM(E33:E45)/13</f>
        <v>88742.059230769228</v>
      </c>
      <c r="F46" s="378">
        <f>SUM(F33:F45)/13</f>
        <v>144167446.39643878</v>
      </c>
      <c r="G46" s="378">
        <f>SUM(G33:G45)/13</f>
        <v>21080305.460128166</v>
      </c>
      <c r="H46" s="378">
        <f>SUM(H33:H45)/13</f>
        <v>75625383.694111049</v>
      </c>
      <c r="I46" s="390" t="s">
        <v>28</v>
      </c>
      <c r="J46" s="374"/>
      <c r="K46" s="374"/>
    </row>
    <row r="48" spans="1:11" ht="13" x14ac:dyDescent="0.3">
      <c r="B48" s="391" t="s">
        <v>864</v>
      </c>
    </row>
    <row r="49" spans="1:13" ht="13" x14ac:dyDescent="0.3">
      <c r="B49" s="391"/>
      <c r="D49" s="326" t="s">
        <v>12</v>
      </c>
      <c r="E49" s="326" t="s">
        <v>343</v>
      </c>
      <c r="F49" s="326" t="s">
        <v>361</v>
      </c>
      <c r="G49" s="326" t="s">
        <v>13</v>
      </c>
      <c r="H49" s="326" t="s">
        <v>362</v>
      </c>
      <c r="I49" s="326" t="s">
        <v>363</v>
      </c>
      <c r="J49" s="326" t="s">
        <v>364</v>
      </c>
      <c r="K49" s="326" t="s">
        <v>451</v>
      </c>
    </row>
    <row r="50" spans="1:13" s="392" customFormat="1" x14ac:dyDescent="0.25">
      <c r="D50" s="361" t="s">
        <v>54</v>
      </c>
      <c r="E50" s="361" t="s">
        <v>54</v>
      </c>
      <c r="F50" s="361" t="s">
        <v>54</v>
      </c>
      <c r="G50" s="361" t="s">
        <v>54</v>
      </c>
      <c r="H50" s="361" t="s">
        <v>54</v>
      </c>
      <c r="I50" s="361" t="s">
        <v>54</v>
      </c>
      <c r="J50" s="361" t="s">
        <v>54</v>
      </c>
      <c r="K50" s="361" t="s">
        <v>54</v>
      </c>
    </row>
    <row r="51" spans="1:13" ht="13" x14ac:dyDescent="0.3">
      <c r="G51" s="321" t="s">
        <v>865</v>
      </c>
      <c r="K51" s="321"/>
    </row>
    <row r="52" spans="1:13" ht="13" x14ac:dyDescent="0.3">
      <c r="A52" s="321"/>
      <c r="B52" s="321"/>
      <c r="C52" s="321"/>
      <c r="D52" s="321" t="s">
        <v>866</v>
      </c>
      <c r="E52" s="321" t="s">
        <v>867</v>
      </c>
      <c r="F52" s="321" t="s">
        <v>868</v>
      </c>
      <c r="G52" s="321" t="s">
        <v>344</v>
      </c>
      <c r="H52" s="321" t="s">
        <v>869</v>
      </c>
      <c r="I52" s="393" t="s">
        <v>870</v>
      </c>
      <c r="J52" s="321" t="s">
        <v>866</v>
      </c>
      <c r="K52" s="321" t="s">
        <v>871</v>
      </c>
    </row>
    <row r="53" spans="1:13" ht="13" x14ac:dyDescent="0.3">
      <c r="A53" s="325" t="s">
        <v>22</v>
      </c>
      <c r="B53" s="94" t="s">
        <v>23</v>
      </c>
      <c r="C53" s="94" t="s">
        <v>24</v>
      </c>
      <c r="D53" s="326" t="s">
        <v>872</v>
      </c>
      <c r="E53" s="326" t="s">
        <v>873</v>
      </c>
      <c r="F53" s="326" t="s">
        <v>874</v>
      </c>
      <c r="G53" s="326" t="s">
        <v>875</v>
      </c>
      <c r="H53" s="326" t="s">
        <v>876</v>
      </c>
      <c r="I53" s="326" t="s">
        <v>877</v>
      </c>
      <c r="J53" s="326" t="s">
        <v>878</v>
      </c>
      <c r="K53" s="326" t="s">
        <v>879</v>
      </c>
    </row>
    <row r="54" spans="1:13" ht="13" x14ac:dyDescent="0.3">
      <c r="A54" s="321">
        <f>A46+1</f>
        <v>29</v>
      </c>
      <c r="B54" s="104" t="s">
        <v>27</v>
      </c>
      <c r="C54" s="371">
        <v>2019</v>
      </c>
      <c r="D54" s="356" t="s">
        <v>28</v>
      </c>
      <c r="E54" s="356" t="s">
        <v>28</v>
      </c>
      <c r="F54" s="356" t="s">
        <v>28</v>
      </c>
      <c r="G54" s="356" t="s">
        <v>28</v>
      </c>
      <c r="H54" s="356" t="s">
        <v>28</v>
      </c>
      <c r="I54" s="356" t="s">
        <v>28</v>
      </c>
      <c r="J54" s="328">
        <f>D25</f>
        <v>647763205.16651607</v>
      </c>
      <c r="K54" s="356" t="s">
        <v>28</v>
      </c>
    </row>
    <row r="55" spans="1:13" ht="13" x14ac:dyDescent="0.3">
      <c r="A55" s="321">
        <f>A54+1</f>
        <v>30</v>
      </c>
      <c r="B55" s="104" t="s">
        <v>30</v>
      </c>
      <c r="C55" s="371">
        <v>2020</v>
      </c>
      <c r="D55" s="328">
        <f t="shared" ref="D55:K70" si="4">D89+D122+D155+D188+D221+D254+D287+D320+D353+D386+D419</f>
        <v>19435447.518800002</v>
      </c>
      <c r="E55" s="328">
        <f t="shared" si="4"/>
        <v>1457658.56391</v>
      </c>
      <c r="F55" s="328">
        <f t="shared" si="4"/>
        <v>20893106.082710002</v>
      </c>
      <c r="G55" s="328">
        <f t="shared" si="4"/>
        <v>1653969.8068000001</v>
      </c>
      <c r="H55" s="328">
        <f t="shared" si="4"/>
        <v>0</v>
      </c>
      <c r="I55" s="328">
        <f t="shared" si="4"/>
        <v>124047.73551000001</v>
      </c>
      <c r="J55" s="328">
        <f t="shared" si="4"/>
        <v>666878293.70691621</v>
      </c>
      <c r="K55" s="328">
        <f t="shared" si="4"/>
        <v>19115088.540399987</v>
      </c>
      <c r="L55" s="394"/>
      <c r="M55" s="328"/>
    </row>
    <row r="56" spans="1:13" ht="13" x14ac:dyDescent="0.3">
      <c r="A56" s="321">
        <f t="shared" ref="A56:A79" si="5">A55+1</f>
        <v>31</v>
      </c>
      <c r="B56" s="104" t="s">
        <v>32</v>
      </c>
      <c r="C56" s="371">
        <v>2020</v>
      </c>
      <c r="D56" s="328">
        <f t="shared" si="4"/>
        <v>25334195.647</v>
      </c>
      <c r="E56" s="328">
        <f t="shared" si="4"/>
        <v>1900064.673525</v>
      </c>
      <c r="F56" s="328">
        <f t="shared" si="4"/>
        <v>27234260.320525002</v>
      </c>
      <c r="G56" s="328">
        <f t="shared" si="4"/>
        <v>1502677.0510000004</v>
      </c>
      <c r="H56" s="328">
        <f t="shared" si="4"/>
        <v>0</v>
      </c>
      <c r="I56" s="328">
        <f t="shared" si="4"/>
        <v>112700.77882500002</v>
      </c>
      <c r="J56" s="328">
        <f t="shared" si="4"/>
        <v>692497176.1976161</v>
      </c>
      <c r="K56" s="328">
        <f t="shared" si="4"/>
        <v>44733971.03109999</v>
      </c>
      <c r="L56" s="394"/>
      <c r="M56" s="328"/>
    </row>
    <row r="57" spans="1:13" ht="13" x14ac:dyDescent="0.3">
      <c r="A57" s="321">
        <f t="shared" si="5"/>
        <v>32</v>
      </c>
      <c r="B57" s="104" t="s">
        <v>34</v>
      </c>
      <c r="C57" s="371">
        <v>2020</v>
      </c>
      <c r="D57" s="328">
        <f t="shared" si="4"/>
        <v>17847111.862</v>
      </c>
      <c r="E57" s="328">
        <f t="shared" si="4"/>
        <v>1338533.38965</v>
      </c>
      <c r="F57" s="328">
        <f t="shared" si="4"/>
        <v>19185645.251650002</v>
      </c>
      <c r="G57" s="328">
        <f t="shared" si="4"/>
        <v>984871.10199999996</v>
      </c>
      <c r="H57" s="328">
        <f t="shared" si="4"/>
        <v>0</v>
      </c>
      <c r="I57" s="328">
        <f t="shared" si="4"/>
        <v>73865.332649999997</v>
      </c>
      <c r="J57" s="328">
        <f t="shared" si="4"/>
        <v>710624085.01461613</v>
      </c>
      <c r="K57" s="328">
        <f t="shared" si="4"/>
        <v>62860879.848099992</v>
      </c>
      <c r="L57" s="394"/>
      <c r="M57" s="328"/>
    </row>
    <row r="58" spans="1:13" ht="13" x14ac:dyDescent="0.3">
      <c r="A58" s="321">
        <f t="shared" si="5"/>
        <v>33</v>
      </c>
      <c r="B58" s="104" t="s">
        <v>36</v>
      </c>
      <c r="C58" s="371">
        <v>2020</v>
      </c>
      <c r="D58" s="328">
        <f t="shared" si="4"/>
        <v>27053200.310000002</v>
      </c>
      <c r="E58" s="328">
        <f t="shared" si="4"/>
        <v>2028990.0232500001</v>
      </c>
      <c r="F58" s="328">
        <f t="shared" si="4"/>
        <v>29082190.333250001</v>
      </c>
      <c r="G58" s="328">
        <f t="shared" si="4"/>
        <v>217331.31</v>
      </c>
      <c r="H58" s="328">
        <f t="shared" si="4"/>
        <v>0</v>
      </c>
      <c r="I58" s="328">
        <f t="shared" si="4"/>
        <v>16299.848249999999</v>
      </c>
      <c r="J58" s="328">
        <f t="shared" si="4"/>
        <v>739472644.1896162</v>
      </c>
      <c r="K58" s="328">
        <f t="shared" si="4"/>
        <v>91709439.023099959</v>
      </c>
      <c r="L58" s="394"/>
      <c r="M58" s="328"/>
    </row>
    <row r="59" spans="1:13" ht="13" x14ac:dyDescent="0.3">
      <c r="A59" s="321">
        <f t="shared" si="5"/>
        <v>34</v>
      </c>
      <c r="B59" s="104" t="s">
        <v>37</v>
      </c>
      <c r="C59" s="371">
        <v>2020</v>
      </c>
      <c r="D59" s="328">
        <f t="shared" si="4"/>
        <v>31518597.073999997</v>
      </c>
      <c r="E59" s="328">
        <f t="shared" si="4"/>
        <v>2363894.7805499993</v>
      </c>
      <c r="F59" s="328">
        <f t="shared" si="4"/>
        <v>33882491.854549997</v>
      </c>
      <c r="G59" s="328">
        <f t="shared" si="4"/>
        <v>486868.45000000007</v>
      </c>
      <c r="H59" s="328">
        <f t="shared" si="4"/>
        <v>344737.14</v>
      </c>
      <c r="I59" s="328">
        <f t="shared" si="4"/>
        <v>10659.848250000003</v>
      </c>
      <c r="J59" s="328">
        <f t="shared" si="4"/>
        <v>772857607.74591613</v>
      </c>
      <c r="K59" s="328">
        <f t="shared" si="4"/>
        <v>125094402.57939996</v>
      </c>
      <c r="L59" s="394"/>
      <c r="M59" s="328"/>
    </row>
    <row r="60" spans="1:13" ht="13" x14ac:dyDescent="0.3">
      <c r="A60" s="321">
        <f t="shared" si="5"/>
        <v>35</v>
      </c>
      <c r="B60" s="104" t="s">
        <v>471</v>
      </c>
      <c r="C60" s="371">
        <v>2020</v>
      </c>
      <c r="D60" s="328">
        <f t="shared" si="4"/>
        <v>25116078.349799998</v>
      </c>
      <c r="E60" s="328">
        <f t="shared" si="4"/>
        <v>1883705.8762349999</v>
      </c>
      <c r="F60" s="328">
        <f t="shared" si="4"/>
        <v>26999784.226034999</v>
      </c>
      <c r="G60" s="328">
        <f t="shared" si="4"/>
        <v>733106.59579999989</v>
      </c>
      <c r="H60" s="328">
        <f t="shared" si="4"/>
        <v>410800.01</v>
      </c>
      <c r="I60" s="328">
        <f t="shared" si="4"/>
        <v>24172.993934999991</v>
      </c>
      <c r="J60" s="328">
        <f t="shared" si="4"/>
        <v>799100112.3822161</v>
      </c>
      <c r="K60" s="328">
        <f t="shared" si="4"/>
        <v>151336907.21569997</v>
      </c>
      <c r="L60" s="394"/>
      <c r="M60" s="328"/>
    </row>
    <row r="61" spans="1:13" ht="13" x14ac:dyDescent="0.3">
      <c r="A61" s="321">
        <f t="shared" si="5"/>
        <v>36</v>
      </c>
      <c r="B61" s="104" t="s">
        <v>39</v>
      </c>
      <c r="C61" s="371">
        <v>2020</v>
      </c>
      <c r="D61" s="328">
        <f t="shared" si="4"/>
        <v>29486197.903999999</v>
      </c>
      <c r="E61" s="328">
        <f t="shared" si="4"/>
        <v>2211464.8428000002</v>
      </c>
      <c r="F61" s="328">
        <f t="shared" si="4"/>
        <v>31697662.746799998</v>
      </c>
      <c r="G61" s="328">
        <f t="shared" si="4"/>
        <v>21632.14</v>
      </c>
      <c r="H61" s="328">
        <f t="shared" si="4"/>
        <v>0</v>
      </c>
      <c r="I61" s="328">
        <f t="shared" si="4"/>
        <v>1622.4105</v>
      </c>
      <c r="J61" s="328">
        <f t="shared" si="4"/>
        <v>830774520.57851601</v>
      </c>
      <c r="K61" s="328">
        <f t="shared" si="4"/>
        <v>183011315.41199997</v>
      </c>
      <c r="L61" s="394"/>
      <c r="M61" s="328"/>
    </row>
    <row r="62" spans="1:13" ht="13" x14ac:dyDescent="0.3">
      <c r="A62" s="321">
        <f t="shared" si="5"/>
        <v>37</v>
      </c>
      <c r="B62" s="104" t="s">
        <v>40</v>
      </c>
      <c r="C62" s="371">
        <v>2020</v>
      </c>
      <c r="D62" s="328">
        <f t="shared" si="4"/>
        <v>26810024.675999999</v>
      </c>
      <c r="E62" s="328">
        <f t="shared" si="4"/>
        <v>2010751.8507000001</v>
      </c>
      <c r="F62" s="328">
        <f t="shared" si="4"/>
        <v>28820776.526700001</v>
      </c>
      <c r="G62" s="328">
        <f t="shared" si="4"/>
        <v>21632.14</v>
      </c>
      <c r="H62" s="328">
        <f t="shared" si="4"/>
        <v>0</v>
      </c>
      <c r="I62" s="328">
        <f t="shared" si="4"/>
        <v>1622.4105</v>
      </c>
      <c r="J62" s="328">
        <f t="shared" si="4"/>
        <v>859572042.55471611</v>
      </c>
      <c r="K62" s="328">
        <f t="shared" si="4"/>
        <v>211808837.38819996</v>
      </c>
      <c r="L62" s="394"/>
      <c r="M62" s="328"/>
    </row>
    <row r="63" spans="1:13" ht="13" x14ac:dyDescent="0.3">
      <c r="A63" s="321">
        <f t="shared" si="5"/>
        <v>38</v>
      </c>
      <c r="B63" s="104" t="s">
        <v>41</v>
      </c>
      <c r="C63" s="371">
        <v>2020</v>
      </c>
      <c r="D63" s="328">
        <f t="shared" si="4"/>
        <v>24474044.903999999</v>
      </c>
      <c r="E63" s="328">
        <f t="shared" si="4"/>
        <v>1835553.3677999999</v>
      </c>
      <c r="F63" s="328">
        <f t="shared" si="4"/>
        <v>26309598.2718</v>
      </c>
      <c r="G63" s="328">
        <f t="shared" si="4"/>
        <v>21632.14</v>
      </c>
      <c r="H63" s="328">
        <f t="shared" si="4"/>
        <v>0</v>
      </c>
      <c r="I63" s="328">
        <f t="shared" si="4"/>
        <v>1622.4105</v>
      </c>
      <c r="J63" s="328">
        <f t="shared" si="4"/>
        <v>885858386.27601612</v>
      </c>
      <c r="K63" s="328">
        <f t="shared" si="4"/>
        <v>238095181.1094999</v>
      </c>
      <c r="L63" s="394"/>
      <c r="M63" s="328"/>
    </row>
    <row r="64" spans="1:13" ht="13" x14ac:dyDescent="0.3">
      <c r="A64" s="321">
        <f t="shared" si="5"/>
        <v>39</v>
      </c>
      <c r="B64" s="104" t="s">
        <v>42</v>
      </c>
      <c r="C64" s="371">
        <v>2020</v>
      </c>
      <c r="D64" s="328">
        <f t="shared" si="4"/>
        <v>24267434.903999999</v>
      </c>
      <c r="E64" s="328">
        <f t="shared" si="4"/>
        <v>1820057.6177999999</v>
      </c>
      <c r="F64" s="328">
        <f t="shared" si="4"/>
        <v>26087492.5218</v>
      </c>
      <c r="G64" s="328">
        <f t="shared" si="4"/>
        <v>20965331.019999996</v>
      </c>
      <c r="H64" s="328">
        <f t="shared" si="4"/>
        <v>17136385.879999999</v>
      </c>
      <c r="I64" s="328">
        <f t="shared" si="4"/>
        <v>287170.88549999968</v>
      </c>
      <c r="J64" s="328">
        <f t="shared" si="4"/>
        <v>890693376.89231598</v>
      </c>
      <c r="K64" s="328">
        <f t="shared" si="4"/>
        <v>242930171.72579992</v>
      </c>
      <c r="L64" s="394"/>
      <c r="M64" s="328"/>
    </row>
    <row r="65" spans="1:13" ht="13" x14ac:dyDescent="0.3">
      <c r="A65" s="321">
        <f t="shared" si="5"/>
        <v>40</v>
      </c>
      <c r="B65" s="104" t="s">
        <v>43</v>
      </c>
      <c r="C65" s="371">
        <v>2020</v>
      </c>
      <c r="D65" s="328">
        <f t="shared" si="4"/>
        <v>16233495.540000001</v>
      </c>
      <c r="E65" s="328">
        <f t="shared" si="4"/>
        <v>1217512.1654999999</v>
      </c>
      <c r="F65" s="328">
        <f t="shared" si="4"/>
        <v>17451007.705499999</v>
      </c>
      <c r="G65" s="328">
        <f t="shared" si="4"/>
        <v>289632.14</v>
      </c>
      <c r="H65" s="328">
        <f t="shared" si="4"/>
        <v>0</v>
      </c>
      <c r="I65" s="328">
        <f t="shared" si="4"/>
        <v>21722.410499999998</v>
      </c>
      <c r="J65" s="328">
        <f t="shared" si="4"/>
        <v>907833030.04731607</v>
      </c>
      <c r="K65" s="328">
        <f t="shared" si="4"/>
        <v>260069824.88079995</v>
      </c>
      <c r="L65" s="394"/>
      <c r="M65" s="328"/>
    </row>
    <row r="66" spans="1:13" ht="13" x14ac:dyDescent="0.3">
      <c r="A66" s="321">
        <f t="shared" si="5"/>
        <v>41</v>
      </c>
      <c r="B66" s="104" t="s">
        <v>27</v>
      </c>
      <c r="C66" s="371">
        <v>2020</v>
      </c>
      <c r="D66" s="328">
        <f t="shared" si="4"/>
        <v>36474511.871199995</v>
      </c>
      <c r="E66" s="328">
        <f t="shared" si="4"/>
        <v>2735588.3903399995</v>
      </c>
      <c r="F66" s="328">
        <f t="shared" si="4"/>
        <v>39210100.261539996</v>
      </c>
      <c r="G66" s="328">
        <f t="shared" si="4"/>
        <v>554534219.29120004</v>
      </c>
      <c r="H66" s="328">
        <f t="shared" si="4"/>
        <v>394845413.81999999</v>
      </c>
      <c r="I66" s="328">
        <f t="shared" si="4"/>
        <v>11976660.41034</v>
      </c>
      <c r="J66" s="328">
        <f t="shared" si="4"/>
        <v>380532250.60731608</v>
      </c>
      <c r="K66" s="328">
        <f t="shared" si="4"/>
        <v>-267230954.55920011</v>
      </c>
      <c r="L66" s="394"/>
      <c r="M66" s="328"/>
    </row>
    <row r="67" spans="1:13" ht="13" x14ac:dyDescent="0.3">
      <c r="A67" s="321">
        <f t="shared" si="5"/>
        <v>42</v>
      </c>
      <c r="B67" s="104" t="s">
        <v>30</v>
      </c>
      <c r="C67" s="371">
        <v>2021</v>
      </c>
      <c r="D67" s="328">
        <f t="shared" si="4"/>
        <v>16090391.000000002</v>
      </c>
      <c r="E67" s="328">
        <f t="shared" si="4"/>
        <v>1206779.3250000002</v>
      </c>
      <c r="F67" s="328">
        <f t="shared" si="4"/>
        <v>17297170.325000003</v>
      </c>
      <c r="G67" s="328">
        <f t="shared" si="4"/>
        <v>5529600</v>
      </c>
      <c r="H67" s="328">
        <f t="shared" si="4"/>
        <v>0</v>
      </c>
      <c r="I67" s="328">
        <f t="shared" si="4"/>
        <v>414720</v>
      </c>
      <c r="J67" s="328">
        <f t="shared" si="4"/>
        <v>391885100.93231606</v>
      </c>
      <c r="K67" s="328">
        <f t="shared" si="4"/>
        <v>-255878104.23420012</v>
      </c>
      <c r="L67" s="394"/>
      <c r="M67" s="328"/>
    </row>
    <row r="68" spans="1:13" ht="13" x14ac:dyDescent="0.3">
      <c r="A68" s="321">
        <f t="shared" si="5"/>
        <v>43</v>
      </c>
      <c r="B68" s="104" t="s">
        <v>32</v>
      </c>
      <c r="C68" s="371">
        <v>2021</v>
      </c>
      <c r="D68" s="328">
        <f t="shared" si="4"/>
        <v>15640963</v>
      </c>
      <c r="E68" s="328">
        <f t="shared" si="4"/>
        <v>1173072.2250000001</v>
      </c>
      <c r="F68" s="328">
        <f t="shared" si="4"/>
        <v>16814035.225000001</v>
      </c>
      <c r="G68" s="328">
        <f t="shared" si="4"/>
        <v>5747600</v>
      </c>
      <c r="H68" s="328">
        <f t="shared" si="4"/>
        <v>0</v>
      </c>
      <c r="I68" s="328">
        <f t="shared" si="4"/>
        <v>431070</v>
      </c>
      <c r="J68" s="328">
        <f t="shared" si="4"/>
        <v>402520466.15731609</v>
      </c>
      <c r="K68" s="328">
        <f t="shared" si="4"/>
        <v>-245242739.0092001</v>
      </c>
      <c r="L68" s="394"/>
      <c r="M68" s="328"/>
    </row>
    <row r="69" spans="1:13" ht="13" x14ac:dyDescent="0.3">
      <c r="A69" s="321">
        <f t="shared" si="5"/>
        <v>44</v>
      </c>
      <c r="B69" s="104" t="s">
        <v>34</v>
      </c>
      <c r="C69" s="371">
        <v>2021</v>
      </c>
      <c r="D69" s="328">
        <f t="shared" si="4"/>
        <v>20920296</v>
      </c>
      <c r="E69" s="328">
        <f t="shared" si="4"/>
        <v>1569022.2</v>
      </c>
      <c r="F69" s="328">
        <f t="shared" si="4"/>
        <v>22489318.199999999</v>
      </c>
      <c r="G69" s="328">
        <f t="shared" si="4"/>
        <v>7860041</v>
      </c>
      <c r="H69" s="328">
        <f t="shared" si="4"/>
        <v>0</v>
      </c>
      <c r="I69" s="328">
        <f t="shared" si="4"/>
        <v>589503.07499999995</v>
      </c>
      <c r="J69" s="328">
        <f t="shared" si="4"/>
        <v>416560240.28231603</v>
      </c>
      <c r="K69" s="328">
        <f t="shared" si="4"/>
        <v>-231202964.8842001</v>
      </c>
      <c r="L69" s="394"/>
      <c r="M69" s="328"/>
    </row>
    <row r="70" spans="1:13" ht="13" x14ac:dyDescent="0.3">
      <c r="A70" s="321">
        <f t="shared" si="5"/>
        <v>45</v>
      </c>
      <c r="B70" s="104" t="s">
        <v>36</v>
      </c>
      <c r="C70" s="371">
        <v>2021</v>
      </c>
      <c r="D70" s="328">
        <f t="shared" si="4"/>
        <v>16861148</v>
      </c>
      <c r="E70" s="328">
        <f t="shared" si="4"/>
        <v>1264586.1000000001</v>
      </c>
      <c r="F70" s="328">
        <f t="shared" si="4"/>
        <v>18125734.100000001</v>
      </c>
      <c r="G70" s="328">
        <f t="shared" si="4"/>
        <v>33916245.480000004</v>
      </c>
      <c r="H70" s="328">
        <f t="shared" si="4"/>
        <v>13129540.48</v>
      </c>
      <c r="I70" s="328">
        <f t="shared" si="4"/>
        <v>1559002.875</v>
      </c>
      <c r="J70" s="328">
        <f t="shared" si="4"/>
        <v>399210726.02731609</v>
      </c>
      <c r="K70" s="328">
        <f t="shared" si="4"/>
        <v>-248552479.13920012</v>
      </c>
      <c r="L70" s="394"/>
      <c r="M70" s="328"/>
    </row>
    <row r="71" spans="1:13" ht="13" x14ac:dyDescent="0.3">
      <c r="A71" s="321">
        <f t="shared" si="5"/>
        <v>46</v>
      </c>
      <c r="B71" s="104" t="s">
        <v>37</v>
      </c>
      <c r="C71" s="371">
        <v>2021</v>
      </c>
      <c r="D71" s="328">
        <f t="shared" ref="D71:K74" si="6">D105+D138+D171+D204+D237+D270+D303+D336+D369+D402+D435</f>
        <v>18835980</v>
      </c>
      <c r="E71" s="328">
        <f t="shared" si="6"/>
        <v>1412698.5</v>
      </c>
      <c r="F71" s="328">
        <f t="shared" si="6"/>
        <v>20248678.5</v>
      </c>
      <c r="G71" s="328">
        <f t="shared" si="6"/>
        <v>104418012.50999999</v>
      </c>
      <c r="H71" s="328">
        <f t="shared" si="6"/>
        <v>88739103.510000005</v>
      </c>
      <c r="I71" s="328">
        <f t="shared" si="6"/>
        <v>1175918.1749999993</v>
      </c>
      <c r="J71" s="328">
        <f t="shared" si="6"/>
        <v>313865473.84231603</v>
      </c>
      <c r="K71" s="328">
        <f t="shared" si="6"/>
        <v>-333897731.32420009</v>
      </c>
      <c r="L71" s="394"/>
      <c r="M71" s="328"/>
    </row>
    <row r="72" spans="1:13" ht="13" x14ac:dyDescent="0.3">
      <c r="A72" s="321">
        <f t="shared" si="5"/>
        <v>47</v>
      </c>
      <c r="B72" s="104" t="s">
        <v>471</v>
      </c>
      <c r="C72" s="371">
        <v>2021</v>
      </c>
      <c r="D72" s="328">
        <f t="shared" si="6"/>
        <v>16320647</v>
      </c>
      <c r="E72" s="328">
        <f t="shared" si="6"/>
        <v>1224048.5249999999</v>
      </c>
      <c r="F72" s="328">
        <f t="shared" si="6"/>
        <v>17544695.524999999</v>
      </c>
      <c r="G72" s="328">
        <f t="shared" si="6"/>
        <v>8864649</v>
      </c>
      <c r="H72" s="328">
        <f t="shared" si="6"/>
        <v>0</v>
      </c>
      <c r="I72" s="328">
        <f t="shared" si="6"/>
        <v>664848.67500000005</v>
      </c>
      <c r="J72" s="328">
        <f t="shared" si="6"/>
        <v>321880671.69231606</v>
      </c>
      <c r="K72" s="328">
        <f t="shared" si="6"/>
        <v>-325882533.47420013</v>
      </c>
      <c r="L72" s="394"/>
      <c r="M72" s="328"/>
    </row>
    <row r="73" spans="1:13" ht="13" x14ac:dyDescent="0.3">
      <c r="A73" s="321">
        <f t="shared" si="5"/>
        <v>48</v>
      </c>
      <c r="B73" s="104" t="s">
        <v>39</v>
      </c>
      <c r="C73" s="371">
        <v>2021</v>
      </c>
      <c r="D73" s="328">
        <f t="shared" si="6"/>
        <v>13348594</v>
      </c>
      <c r="E73" s="328">
        <f t="shared" si="6"/>
        <v>1001144.5499999998</v>
      </c>
      <c r="F73" s="328">
        <f t="shared" si="6"/>
        <v>14349738.549999997</v>
      </c>
      <c r="G73" s="328">
        <f t="shared" si="6"/>
        <v>5774740</v>
      </c>
      <c r="H73" s="328">
        <f t="shared" si="6"/>
        <v>0</v>
      </c>
      <c r="I73" s="328">
        <f t="shared" si="6"/>
        <v>433105.5</v>
      </c>
      <c r="J73" s="328">
        <f t="shared" si="6"/>
        <v>330022564.74231601</v>
      </c>
      <c r="K73" s="328">
        <f t="shared" si="6"/>
        <v>-317740640.42420018</v>
      </c>
      <c r="L73" s="394"/>
      <c r="M73" s="328"/>
    </row>
    <row r="74" spans="1:13" ht="13" x14ac:dyDescent="0.3">
      <c r="A74" s="321">
        <f t="shared" si="5"/>
        <v>49</v>
      </c>
      <c r="B74" s="104" t="s">
        <v>40</v>
      </c>
      <c r="C74" s="371">
        <v>2021</v>
      </c>
      <c r="D74" s="328">
        <f>D108+D141+D174+D207+D240+D273+D306+D339+D372+D405+D438</f>
        <v>13335594</v>
      </c>
      <c r="E74" s="328">
        <f t="shared" si="6"/>
        <v>1000169.5499999998</v>
      </c>
      <c r="F74" s="328">
        <f t="shared" si="6"/>
        <v>14335763.549999997</v>
      </c>
      <c r="G74" s="328">
        <f t="shared" si="6"/>
        <v>185770011.63999996</v>
      </c>
      <c r="H74" s="328">
        <f t="shared" si="6"/>
        <v>35442344.640000001</v>
      </c>
      <c r="I74" s="328">
        <f t="shared" si="6"/>
        <v>11274575.024999997</v>
      </c>
      <c r="J74" s="328">
        <f t="shared" si="6"/>
        <v>147313741.62731606</v>
      </c>
      <c r="K74" s="328">
        <f t="shared" si="6"/>
        <v>-500449463.53920013</v>
      </c>
      <c r="L74" s="394"/>
      <c r="M74" s="328"/>
    </row>
    <row r="75" spans="1:13" ht="13" x14ac:dyDescent="0.3">
      <c r="A75" s="321">
        <f t="shared" si="5"/>
        <v>50</v>
      </c>
      <c r="B75" s="104" t="s">
        <v>41</v>
      </c>
      <c r="C75" s="371">
        <v>2021</v>
      </c>
      <c r="D75" s="328">
        <f t="shared" ref="D75:K78" si="7">D109+D142+D175+D208+D241+D274+D307+D340+D373+D406+D439</f>
        <v>12479048</v>
      </c>
      <c r="E75" s="328">
        <f t="shared" si="7"/>
        <v>935928.59999999986</v>
      </c>
      <c r="F75" s="328">
        <f t="shared" si="7"/>
        <v>13414976.599999998</v>
      </c>
      <c r="G75" s="328">
        <f t="shared" si="7"/>
        <v>19236333.759999998</v>
      </c>
      <c r="H75" s="328">
        <f t="shared" si="7"/>
        <v>301246.76</v>
      </c>
      <c r="I75" s="328">
        <f t="shared" si="7"/>
        <v>1420131.5249999997</v>
      </c>
      <c r="J75" s="328">
        <f t="shared" si="7"/>
        <v>140072252.94231606</v>
      </c>
      <c r="K75" s="328">
        <f t="shared" si="7"/>
        <v>-507690952.22420013</v>
      </c>
      <c r="L75" s="394"/>
      <c r="M75" s="328"/>
    </row>
    <row r="76" spans="1:13" ht="13" x14ac:dyDescent="0.3">
      <c r="A76" s="321">
        <f t="shared" si="5"/>
        <v>51</v>
      </c>
      <c r="B76" s="104" t="s">
        <v>42</v>
      </c>
      <c r="C76" s="371">
        <v>2021</v>
      </c>
      <c r="D76" s="328">
        <f t="shared" si="7"/>
        <v>11692594</v>
      </c>
      <c r="E76" s="328">
        <f t="shared" si="7"/>
        <v>876944.54999999981</v>
      </c>
      <c r="F76" s="328">
        <f t="shared" si="7"/>
        <v>12569538.549999997</v>
      </c>
      <c r="G76" s="328">
        <f t="shared" si="7"/>
        <v>15946471.609999999</v>
      </c>
      <c r="H76" s="328">
        <f t="shared" si="7"/>
        <v>4965082.6100000003</v>
      </c>
      <c r="I76" s="328">
        <f t="shared" si="7"/>
        <v>823604.17499999993</v>
      </c>
      <c r="J76" s="328">
        <f t="shared" si="7"/>
        <v>135871715.70731607</v>
      </c>
      <c r="K76" s="328">
        <f t="shared" si="7"/>
        <v>-511891489.45920014</v>
      </c>
      <c r="L76" s="394"/>
      <c r="M76" s="328"/>
    </row>
    <row r="77" spans="1:13" ht="13" x14ac:dyDescent="0.3">
      <c r="A77" s="321">
        <f t="shared" si="5"/>
        <v>52</v>
      </c>
      <c r="B77" s="104" t="s">
        <v>43</v>
      </c>
      <c r="C77" s="371">
        <v>2021</v>
      </c>
      <c r="D77" s="328">
        <f t="shared" si="7"/>
        <v>11475594</v>
      </c>
      <c r="E77" s="328">
        <f t="shared" si="7"/>
        <v>860669.54999999981</v>
      </c>
      <c r="F77" s="328">
        <f t="shared" si="7"/>
        <v>12336263.549999997</v>
      </c>
      <c r="G77" s="328">
        <f t="shared" si="7"/>
        <v>10090159</v>
      </c>
      <c r="H77" s="328">
        <f t="shared" si="7"/>
        <v>0</v>
      </c>
      <c r="I77" s="328">
        <f t="shared" si="7"/>
        <v>756761.92499999981</v>
      </c>
      <c r="J77" s="328">
        <f t="shared" si="7"/>
        <v>137361058.33231607</v>
      </c>
      <c r="K77" s="328">
        <f t="shared" si="7"/>
        <v>-510402146.83420008</v>
      </c>
      <c r="L77" s="394"/>
      <c r="M77" s="328"/>
    </row>
    <row r="78" spans="1:13" ht="13" x14ac:dyDescent="0.3">
      <c r="A78" s="321">
        <f t="shared" si="5"/>
        <v>53</v>
      </c>
      <c r="B78" s="104" t="s">
        <v>27</v>
      </c>
      <c r="C78" s="371">
        <v>2021</v>
      </c>
      <c r="D78" s="328">
        <f t="shared" si="7"/>
        <v>12468014.999999998</v>
      </c>
      <c r="E78" s="328">
        <f t="shared" si="7"/>
        <v>935101.12499999977</v>
      </c>
      <c r="F78" s="328">
        <f t="shared" si="7"/>
        <v>13403116.124999996</v>
      </c>
      <c r="G78" s="328">
        <f t="shared" si="7"/>
        <v>78796464.099999994</v>
      </c>
      <c r="H78" s="328">
        <f t="shared" si="7"/>
        <v>41240899.099999994</v>
      </c>
      <c r="I78" s="328">
        <f t="shared" si="7"/>
        <v>2816667.375</v>
      </c>
      <c r="J78" s="328">
        <f t="shared" si="7"/>
        <v>69151042.982316077</v>
      </c>
      <c r="K78" s="328">
        <f t="shared" si="7"/>
        <v>-578612162.18420017</v>
      </c>
      <c r="L78" s="395"/>
      <c r="M78" s="328"/>
    </row>
    <row r="79" spans="1:13" ht="13" x14ac:dyDescent="0.3">
      <c r="A79" s="321">
        <f t="shared" si="5"/>
        <v>54</v>
      </c>
      <c r="C79" s="396" t="s">
        <v>880</v>
      </c>
      <c r="K79" s="397">
        <f>AVERAGE(K66:K78)</f>
        <v>-371898027.79150784</v>
      </c>
      <c r="L79" s="398"/>
    </row>
    <row r="81" spans="1:11" ht="13" x14ac:dyDescent="0.3">
      <c r="B81" s="391" t="s">
        <v>881</v>
      </c>
      <c r="F81" s="403" t="s">
        <v>660</v>
      </c>
      <c r="G81" s="404" t="s">
        <v>913</v>
      </c>
      <c r="H81" s="359"/>
    </row>
    <row r="82" spans="1:11" ht="13" x14ac:dyDescent="0.3">
      <c r="B82" s="399" t="s">
        <v>882</v>
      </c>
      <c r="D82" s="429" t="s">
        <v>848</v>
      </c>
      <c r="E82" s="429"/>
    </row>
    <row r="83" spans="1:11" s="326" customFormat="1" ht="13" x14ac:dyDescent="0.3">
      <c r="D83" s="326" t="s">
        <v>12</v>
      </c>
      <c r="E83" s="326" t="s">
        <v>343</v>
      </c>
      <c r="F83" s="326" t="s">
        <v>361</v>
      </c>
      <c r="G83" s="326" t="s">
        <v>13</v>
      </c>
      <c r="H83" s="326" t="s">
        <v>362</v>
      </c>
      <c r="I83" s="326" t="s">
        <v>363</v>
      </c>
      <c r="J83" s="326" t="s">
        <v>364</v>
      </c>
      <c r="K83" s="326" t="s">
        <v>451</v>
      </c>
    </row>
    <row r="84" spans="1:11" ht="26.15" customHeight="1" x14ac:dyDescent="0.3">
      <c r="D84" s="363"/>
      <c r="E84" s="400" t="s">
        <v>883</v>
      </c>
      <c r="F84" s="356" t="s">
        <v>884</v>
      </c>
      <c r="G84" s="356"/>
      <c r="H84" s="363"/>
      <c r="I84" s="400" t="s">
        <v>885</v>
      </c>
      <c r="J84" s="400" t="s">
        <v>886</v>
      </c>
      <c r="K84" s="400" t="s">
        <v>887</v>
      </c>
    </row>
    <row r="85" spans="1:11" ht="13" x14ac:dyDescent="0.3">
      <c r="D85" s="363"/>
      <c r="E85" s="401"/>
      <c r="F85" s="401"/>
      <c r="G85" s="321" t="str">
        <f>G51</f>
        <v>Unloaded</v>
      </c>
      <c r="H85" s="363"/>
      <c r="I85" s="401"/>
      <c r="J85" s="401"/>
      <c r="K85" s="321"/>
    </row>
    <row r="86" spans="1:11" s="321" customFormat="1" ht="13" x14ac:dyDescent="0.3">
      <c r="D86" s="321" t="str">
        <f>D$52</f>
        <v>Forecast</v>
      </c>
      <c r="E86" s="321" t="str">
        <f t="shared" ref="E86:J86" si="8">E$52</f>
        <v>Corporate</v>
      </c>
      <c r="F86" s="321" t="str">
        <f t="shared" si="8"/>
        <v xml:space="preserve">Total </v>
      </c>
      <c r="G86" s="321" t="str">
        <f>G52</f>
        <v>Total</v>
      </c>
      <c r="H86" s="321" t="str">
        <f t="shared" si="8"/>
        <v>Prior Period</v>
      </c>
      <c r="I86" s="321" t="str">
        <f t="shared" si="8"/>
        <v>Over Heads</v>
      </c>
      <c r="J86" s="321" t="str">
        <f t="shared" si="8"/>
        <v>Forecast</v>
      </c>
      <c r="K86" s="321" t="str">
        <f>K$52</f>
        <v>Forecast Period</v>
      </c>
    </row>
    <row r="87" spans="1:11" ht="13" x14ac:dyDescent="0.3">
      <c r="A87" s="325" t="s">
        <v>22</v>
      </c>
      <c r="B87" s="94" t="s">
        <v>23</v>
      </c>
      <c r="C87" s="94" t="s">
        <v>24</v>
      </c>
      <c r="D87" s="326" t="str">
        <f>D$53</f>
        <v>Expenditures</v>
      </c>
      <c r="E87" s="326" t="str">
        <f t="shared" ref="E87:J87" si="9">E$53</f>
        <v>Overheads</v>
      </c>
      <c r="F87" s="326" t="str">
        <f t="shared" si="9"/>
        <v>CWIP Exp</v>
      </c>
      <c r="G87" s="326" t="str">
        <f>G53</f>
        <v>Plant Adds</v>
      </c>
      <c r="H87" s="326" t="str">
        <f t="shared" si="9"/>
        <v>CWIP Closed</v>
      </c>
      <c r="I87" s="326" t="str">
        <f t="shared" si="9"/>
        <v>Closed to PIS</v>
      </c>
      <c r="J87" s="326" t="str">
        <f t="shared" si="9"/>
        <v>Period CWIP</v>
      </c>
      <c r="K87" s="326" t="str">
        <f>K$53</f>
        <v>Incremental CWIP</v>
      </c>
    </row>
    <row r="88" spans="1:11" ht="13" x14ac:dyDescent="0.3">
      <c r="A88" s="321">
        <f>A79+1</f>
        <v>55</v>
      </c>
      <c r="B88" s="104" t="s">
        <v>27</v>
      </c>
      <c r="C88" s="371">
        <v>2019</v>
      </c>
      <c r="D88" s="356" t="s">
        <v>28</v>
      </c>
      <c r="E88" s="356" t="s">
        <v>28</v>
      </c>
      <c r="F88" s="356" t="s">
        <v>28</v>
      </c>
      <c r="G88" s="356" t="s">
        <v>28</v>
      </c>
      <c r="H88" s="356" t="s">
        <v>28</v>
      </c>
      <c r="I88" s="356" t="s">
        <v>28</v>
      </c>
      <c r="J88" s="328">
        <f>E25</f>
        <v>157682.99</v>
      </c>
      <c r="K88" s="356" t="s">
        <v>28</v>
      </c>
    </row>
    <row r="89" spans="1:11" ht="13" x14ac:dyDescent="0.3">
      <c r="A89" s="321">
        <f>A88+1</f>
        <v>56</v>
      </c>
      <c r="B89" s="104" t="s">
        <v>30</v>
      </c>
      <c r="C89" s="371">
        <v>2020</v>
      </c>
      <c r="D89" s="373">
        <v>62105.999999999993</v>
      </c>
      <c r="E89" s="328">
        <v>4657.9499999999989</v>
      </c>
      <c r="F89" s="328">
        <f>E89+D89</f>
        <v>66763.95</v>
      </c>
      <c r="G89" s="373">
        <v>62105.999999999993</v>
      </c>
      <c r="H89" s="373">
        <v>0</v>
      </c>
      <c r="I89" s="328">
        <v>4657.9499999999989</v>
      </c>
      <c r="J89" s="328">
        <f>J88+F89-G89-I89</f>
        <v>157682.99</v>
      </c>
      <c r="K89" s="328">
        <f>J89-$J$88</f>
        <v>0</v>
      </c>
    </row>
    <row r="90" spans="1:11" ht="13" x14ac:dyDescent="0.3">
      <c r="A90" s="321">
        <f t="shared" ref="A90:A108" si="10">A89+1</f>
        <v>57</v>
      </c>
      <c r="B90" s="104" t="s">
        <v>32</v>
      </c>
      <c r="C90" s="371">
        <v>2020</v>
      </c>
      <c r="D90" s="373">
        <v>380880.00000000006</v>
      </c>
      <c r="E90" s="328">
        <v>28566.000000000004</v>
      </c>
      <c r="F90" s="328">
        <f t="shared" ref="F90:F112" si="11">E90+D90</f>
        <v>409446.00000000006</v>
      </c>
      <c r="G90" s="373">
        <v>380880.00000000006</v>
      </c>
      <c r="H90" s="373">
        <v>0</v>
      </c>
      <c r="I90" s="328">
        <v>28566.000000000004</v>
      </c>
      <c r="J90" s="328">
        <f t="shared" ref="J90:J108" si="12">J89+F90-G90-I90</f>
        <v>157682.98999999993</v>
      </c>
      <c r="K90" s="328">
        <f t="shared" ref="K90:K112" si="13">J90-$J$88</f>
        <v>0</v>
      </c>
    </row>
    <row r="91" spans="1:11" ht="13" x14ac:dyDescent="0.3">
      <c r="A91" s="321">
        <f t="shared" si="10"/>
        <v>58</v>
      </c>
      <c r="B91" s="104" t="s">
        <v>34</v>
      </c>
      <c r="C91" s="371">
        <v>2020</v>
      </c>
      <c r="D91" s="373">
        <v>277026</v>
      </c>
      <c r="E91" s="328">
        <v>20776.95</v>
      </c>
      <c r="F91" s="328">
        <f t="shared" si="11"/>
        <v>297802.95</v>
      </c>
      <c r="G91" s="373">
        <v>277026</v>
      </c>
      <c r="H91" s="373">
        <v>0</v>
      </c>
      <c r="I91" s="328">
        <v>20776.95</v>
      </c>
      <c r="J91" s="328">
        <f t="shared" si="12"/>
        <v>157682.98999999993</v>
      </c>
      <c r="K91" s="328">
        <f>J91-$J$88</f>
        <v>0</v>
      </c>
    </row>
    <row r="92" spans="1:11" ht="13" x14ac:dyDescent="0.3">
      <c r="A92" s="321">
        <f t="shared" si="10"/>
        <v>59</v>
      </c>
      <c r="B92" s="104" t="s">
        <v>36</v>
      </c>
      <c r="C92" s="371">
        <v>2020</v>
      </c>
      <c r="D92" s="373">
        <v>47696</v>
      </c>
      <c r="E92" s="328">
        <v>3577.2</v>
      </c>
      <c r="F92" s="328">
        <f t="shared" si="11"/>
        <v>51273.2</v>
      </c>
      <c r="G92" s="373">
        <v>47696</v>
      </c>
      <c r="H92" s="373">
        <v>0</v>
      </c>
      <c r="I92" s="328">
        <v>3577.2</v>
      </c>
      <c r="J92" s="328">
        <f>J91+F92-G92-I92</f>
        <v>157682.98999999993</v>
      </c>
      <c r="K92" s="328">
        <f>J92-$J$88</f>
        <v>0</v>
      </c>
    </row>
    <row r="93" spans="1:11" ht="13" x14ac:dyDescent="0.3">
      <c r="A93" s="321">
        <f t="shared" si="10"/>
        <v>60</v>
      </c>
      <c r="B93" s="104" t="s">
        <v>37</v>
      </c>
      <c r="C93" s="371">
        <v>2020</v>
      </c>
      <c r="D93" s="373">
        <v>0</v>
      </c>
      <c r="E93" s="328">
        <v>0</v>
      </c>
      <c r="F93" s="328">
        <f t="shared" si="11"/>
        <v>0</v>
      </c>
      <c r="G93" s="373">
        <v>0</v>
      </c>
      <c r="H93" s="373">
        <v>0</v>
      </c>
      <c r="I93" s="328">
        <v>0</v>
      </c>
      <c r="J93" s="328">
        <f t="shared" si="12"/>
        <v>157682.98999999993</v>
      </c>
      <c r="K93" s="328">
        <f t="shared" si="13"/>
        <v>0</v>
      </c>
    </row>
    <row r="94" spans="1:11" ht="13" x14ac:dyDescent="0.3">
      <c r="A94" s="321">
        <f t="shared" si="10"/>
        <v>61</v>
      </c>
      <c r="B94" s="104" t="s">
        <v>471</v>
      </c>
      <c r="C94" s="371">
        <v>2020</v>
      </c>
      <c r="D94" s="373">
        <v>0</v>
      </c>
      <c r="E94" s="328">
        <v>0</v>
      </c>
      <c r="F94" s="328">
        <f t="shared" si="11"/>
        <v>0</v>
      </c>
      <c r="G94" s="373">
        <v>157682.99</v>
      </c>
      <c r="H94" s="373">
        <v>157682.99</v>
      </c>
      <c r="I94" s="328">
        <v>0</v>
      </c>
      <c r="J94" s="328">
        <f t="shared" si="12"/>
        <v>-5.8207660913467407E-11</v>
      </c>
      <c r="K94" s="328">
        <f t="shared" si="13"/>
        <v>-157682.99000000005</v>
      </c>
    </row>
    <row r="95" spans="1:11" ht="13" x14ac:dyDescent="0.3">
      <c r="A95" s="321">
        <f t="shared" si="10"/>
        <v>62</v>
      </c>
      <c r="B95" s="104" t="s">
        <v>39</v>
      </c>
      <c r="C95" s="371">
        <v>2020</v>
      </c>
      <c r="D95" s="373">
        <v>0</v>
      </c>
      <c r="E95" s="328">
        <v>0</v>
      </c>
      <c r="F95" s="328">
        <f t="shared" si="11"/>
        <v>0</v>
      </c>
      <c r="G95" s="373">
        <v>0</v>
      </c>
      <c r="H95" s="373">
        <v>0</v>
      </c>
      <c r="I95" s="328">
        <v>0</v>
      </c>
      <c r="J95" s="328">
        <f t="shared" si="12"/>
        <v>-5.8207660913467407E-11</v>
      </c>
      <c r="K95" s="328">
        <f t="shared" si="13"/>
        <v>-157682.99000000005</v>
      </c>
    </row>
    <row r="96" spans="1:11" ht="13" x14ac:dyDescent="0.3">
      <c r="A96" s="321">
        <f t="shared" si="10"/>
        <v>63</v>
      </c>
      <c r="B96" s="104" t="s">
        <v>40</v>
      </c>
      <c r="C96" s="371">
        <v>2020</v>
      </c>
      <c r="D96" s="373">
        <v>0</v>
      </c>
      <c r="E96" s="328">
        <v>0</v>
      </c>
      <c r="F96" s="328">
        <f t="shared" si="11"/>
        <v>0</v>
      </c>
      <c r="G96" s="373">
        <v>0</v>
      </c>
      <c r="H96" s="373">
        <v>0</v>
      </c>
      <c r="I96" s="328">
        <v>0</v>
      </c>
      <c r="J96" s="328">
        <f t="shared" si="12"/>
        <v>-5.8207660913467407E-11</v>
      </c>
      <c r="K96" s="328">
        <f t="shared" si="13"/>
        <v>-157682.99000000005</v>
      </c>
    </row>
    <row r="97" spans="1:11" ht="13" x14ac:dyDescent="0.3">
      <c r="A97" s="321">
        <f t="shared" si="10"/>
        <v>64</v>
      </c>
      <c r="B97" s="104" t="s">
        <v>41</v>
      </c>
      <c r="C97" s="371">
        <v>2020</v>
      </c>
      <c r="D97" s="373">
        <v>0</v>
      </c>
      <c r="E97" s="328">
        <v>0</v>
      </c>
      <c r="F97" s="328">
        <f t="shared" si="11"/>
        <v>0</v>
      </c>
      <c r="G97" s="373">
        <v>0</v>
      </c>
      <c r="H97" s="373">
        <v>0</v>
      </c>
      <c r="I97" s="328">
        <v>0</v>
      </c>
      <c r="J97" s="328">
        <f t="shared" si="12"/>
        <v>-5.8207660913467407E-11</v>
      </c>
      <c r="K97" s="328">
        <f t="shared" si="13"/>
        <v>-157682.99000000005</v>
      </c>
    </row>
    <row r="98" spans="1:11" ht="13" x14ac:dyDescent="0.3">
      <c r="A98" s="321">
        <f t="shared" si="10"/>
        <v>65</v>
      </c>
      <c r="B98" s="104" t="s">
        <v>42</v>
      </c>
      <c r="C98" s="371">
        <v>2020</v>
      </c>
      <c r="D98" s="373">
        <v>0</v>
      </c>
      <c r="E98" s="328">
        <v>0</v>
      </c>
      <c r="F98" s="328">
        <f t="shared" si="11"/>
        <v>0</v>
      </c>
      <c r="G98" s="373">
        <v>0</v>
      </c>
      <c r="H98" s="373">
        <v>0</v>
      </c>
      <c r="I98" s="328">
        <v>0</v>
      </c>
      <c r="J98" s="328">
        <f t="shared" si="12"/>
        <v>-5.8207660913467407E-11</v>
      </c>
      <c r="K98" s="328">
        <f t="shared" si="13"/>
        <v>-157682.99000000005</v>
      </c>
    </row>
    <row r="99" spans="1:11" ht="13" x14ac:dyDescent="0.3">
      <c r="A99" s="321">
        <f t="shared" si="10"/>
        <v>66</v>
      </c>
      <c r="B99" s="104" t="s">
        <v>43</v>
      </c>
      <c r="C99" s="371">
        <v>2020</v>
      </c>
      <c r="D99" s="373">
        <v>0</v>
      </c>
      <c r="E99" s="328">
        <v>0</v>
      </c>
      <c r="F99" s="328">
        <f t="shared" si="11"/>
        <v>0</v>
      </c>
      <c r="G99" s="373">
        <v>0</v>
      </c>
      <c r="H99" s="373">
        <v>0</v>
      </c>
      <c r="I99" s="328">
        <v>0</v>
      </c>
      <c r="J99" s="328">
        <f t="shared" si="12"/>
        <v>-5.8207660913467407E-11</v>
      </c>
      <c r="K99" s="328">
        <f t="shared" si="13"/>
        <v>-157682.99000000005</v>
      </c>
    </row>
    <row r="100" spans="1:11" ht="13" x14ac:dyDescent="0.3">
      <c r="A100" s="321">
        <f t="shared" si="10"/>
        <v>67</v>
      </c>
      <c r="B100" s="104" t="s">
        <v>27</v>
      </c>
      <c r="C100" s="371">
        <v>2020</v>
      </c>
      <c r="D100" s="373">
        <v>287364</v>
      </c>
      <c r="E100" s="328">
        <v>21552.3</v>
      </c>
      <c r="F100" s="328">
        <f t="shared" si="11"/>
        <v>308916.3</v>
      </c>
      <c r="G100" s="373">
        <v>287364</v>
      </c>
      <c r="H100" s="373">
        <v>0</v>
      </c>
      <c r="I100" s="328">
        <v>21552.3</v>
      </c>
      <c r="J100" s="328">
        <f t="shared" si="12"/>
        <v>-6.9121597334742546E-11</v>
      </c>
      <c r="K100" s="328">
        <f t="shared" si="13"/>
        <v>-157682.99000000005</v>
      </c>
    </row>
    <row r="101" spans="1:11" ht="13" x14ac:dyDescent="0.3">
      <c r="A101" s="321">
        <f t="shared" si="10"/>
        <v>68</v>
      </c>
      <c r="B101" s="104" t="s">
        <v>30</v>
      </c>
      <c r="C101" s="371">
        <v>2021</v>
      </c>
      <c r="D101" s="373">
        <v>0</v>
      </c>
      <c r="E101" s="328">
        <v>0</v>
      </c>
      <c r="F101" s="328">
        <f t="shared" si="11"/>
        <v>0</v>
      </c>
      <c r="G101" s="373">
        <v>0</v>
      </c>
      <c r="H101" s="373">
        <v>0</v>
      </c>
      <c r="I101" s="328">
        <v>0</v>
      </c>
      <c r="J101" s="328">
        <f t="shared" si="12"/>
        <v>-6.9121597334742546E-11</v>
      </c>
      <c r="K101" s="328">
        <f t="shared" si="13"/>
        <v>-157682.99000000005</v>
      </c>
    </row>
    <row r="102" spans="1:11" ht="13" x14ac:dyDescent="0.3">
      <c r="A102" s="321">
        <f t="shared" si="10"/>
        <v>69</v>
      </c>
      <c r="B102" s="104" t="s">
        <v>32</v>
      </c>
      <c r="C102" s="371">
        <v>2021</v>
      </c>
      <c r="D102" s="373">
        <v>0</v>
      </c>
      <c r="E102" s="328">
        <v>0</v>
      </c>
      <c r="F102" s="328">
        <f t="shared" si="11"/>
        <v>0</v>
      </c>
      <c r="G102" s="373">
        <v>0</v>
      </c>
      <c r="H102" s="373">
        <v>0</v>
      </c>
      <c r="I102" s="328">
        <v>0</v>
      </c>
      <c r="J102" s="328">
        <f t="shared" si="12"/>
        <v>-6.9121597334742546E-11</v>
      </c>
      <c r="K102" s="328">
        <f t="shared" si="13"/>
        <v>-157682.99000000005</v>
      </c>
    </row>
    <row r="103" spans="1:11" ht="13" x14ac:dyDescent="0.3">
      <c r="A103" s="321">
        <f t="shared" si="10"/>
        <v>70</v>
      </c>
      <c r="B103" s="104" t="s">
        <v>34</v>
      </c>
      <c r="C103" s="371">
        <v>2021</v>
      </c>
      <c r="D103" s="373">
        <v>0</v>
      </c>
      <c r="E103" s="328">
        <v>0</v>
      </c>
      <c r="F103" s="328">
        <f t="shared" si="11"/>
        <v>0</v>
      </c>
      <c r="G103" s="373">
        <v>0</v>
      </c>
      <c r="H103" s="373">
        <v>0</v>
      </c>
      <c r="I103" s="328">
        <v>0</v>
      </c>
      <c r="J103" s="328">
        <f t="shared" si="12"/>
        <v>-6.9121597334742546E-11</v>
      </c>
      <c r="K103" s="328">
        <f t="shared" si="13"/>
        <v>-157682.99000000005</v>
      </c>
    </row>
    <row r="104" spans="1:11" ht="13" x14ac:dyDescent="0.3">
      <c r="A104" s="321">
        <f t="shared" si="10"/>
        <v>71</v>
      </c>
      <c r="B104" s="104" t="s">
        <v>36</v>
      </c>
      <c r="C104" s="371">
        <v>2021</v>
      </c>
      <c r="D104" s="373">
        <v>0</v>
      </c>
      <c r="E104" s="328">
        <v>0</v>
      </c>
      <c r="F104" s="328">
        <f t="shared" si="11"/>
        <v>0</v>
      </c>
      <c r="G104" s="373">
        <v>0</v>
      </c>
      <c r="H104" s="373">
        <v>0</v>
      </c>
      <c r="I104" s="328">
        <v>0</v>
      </c>
      <c r="J104" s="328">
        <f t="shared" si="12"/>
        <v>-6.9121597334742546E-11</v>
      </c>
      <c r="K104" s="328">
        <f t="shared" si="13"/>
        <v>-157682.99000000005</v>
      </c>
    </row>
    <row r="105" spans="1:11" ht="13" x14ac:dyDescent="0.3">
      <c r="A105" s="321">
        <f t="shared" si="10"/>
        <v>72</v>
      </c>
      <c r="B105" s="104" t="s">
        <v>37</v>
      </c>
      <c r="C105" s="371">
        <v>2021</v>
      </c>
      <c r="D105" s="373">
        <v>0</v>
      </c>
      <c r="E105" s="328">
        <v>0</v>
      </c>
      <c r="F105" s="328">
        <f t="shared" si="11"/>
        <v>0</v>
      </c>
      <c r="G105" s="373">
        <v>0</v>
      </c>
      <c r="H105" s="373">
        <v>0</v>
      </c>
      <c r="I105" s="328">
        <v>0</v>
      </c>
      <c r="J105" s="328">
        <f t="shared" si="12"/>
        <v>-6.9121597334742546E-11</v>
      </c>
      <c r="K105" s="328">
        <f t="shared" si="13"/>
        <v>-157682.99000000005</v>
      </c>
    </row>
    <row r="106" spans="1:11" ht="13" x14ac:dyDescent="0.3">
      <c r="A106" s="321">
        <f t="shared" si="10"/>
        <v>73</v>
      </c>
      <c r="B106" s="104" t="s">
        <v>471</v>
      </c>
      <c r="C106" s="371">
        <v>2021</v>
      </c>
      <c r="D106" s="373">
        <v>0</v>
      </c>
      <c r="E106" s="328">
        <v>0</v>
      </c>
      <c r="F106" s="328">
        <f t="shared" si="11"/>
        <v>0</v>
      </c>
      <c r="G106" s="373">
        <v>0</v>
      </c>
      <c r="H106" s="373">
        <v>0</v>
      </c>
      <c r="I106" s="328">
        <v>0</v>
      </c>
      <c r="J106" s="328">
        <f t="shared" si="12"/>
        <v>-6.9121597334742546E-11</v>
      </c>
      <c r="K106" s="328">
        <f t="shared" si="13"/>
        <v>-157682.99000000005</v>
      </c>
    </row>
    <row r="107" spans="1:11" ht="13" x14ac:dyDescent="0.3">
      <c r="A107" s="321">
        <f t="shared" si="10"/>
        <v>74</v>
      </c>
      <c r="B107" s="104" t="s">
        <v>39</v>
      </c>
      <c r="C107" s="371">
        <v>2021</v>
      </c>
      <c r="D107" s="373">
        <v>0</v>
      </c>
      <c r="E107" s="328">
        <v>0</v>
      </c>
      <c r="F107" s="328">
        <f t="shared" si="11"/>
        <v>0</v>
      </c>
      <c r="G107" s="373">
        <v>0</v>
      </c>
      <c r="H107" s="373">
        <v>0</v>
      </c>
      <c r="I107" s="328">
        <v>0</v>
      </c>
      <c r="J107" s="328">
        <f t="shared" si="12"/>
        <v>-6.9121597334742546E-11</v>
      </c>
      <c r="K107" s="328">
        <f t="shared" si="13"/>
        <v>-157682.99000000005</v>
      </c>
    </row>
    <row r="108" spans="1:11" ht="13" x14ac:dyDescent="0.3">
      <c r="A108" s="321">
        <f t="shared" si="10"/>
        <v>75</v>
      </c>
      <c r="B108" s="104" t="s">
        <v>40</v>
      </c>
      <c r="C108" s="371">
        <v>2021</v>
      </c>
      <c r="D108" s="373">
        <v>0</v>
      </c>
      <c r="E108" s="328">
        <v>0</v>
      </c>
      <c r="F108" s="328">
        <f t="shared" si="11"/>
        <v>0</v>
      </c>
      <c r="G108" s="373">
        <v>0</v>
      </c>
      <c r="H108" s="373">
        <v>0</v>
      </c>
      <c r="I108" s="328">
        <v>0</v>
      </c>
      <c r="J108" s="328">
        <f t="shared" si="12"/>
        <v>-6.9121597334742546E-11</v>
      </c>
      <c r="K108" s="328">
        <f t="shared" si="13"/>
        <v>-157682.99000000005</v>
      </c>
    </row>
    <row r="109" spans="1:11" ht="13" x14ac:dyDescent="0.3">
      <c r="A109" s="321">
        <f>A108+1</f>
        <v>76</v>
      </c>
      <c r="B109" s="104" t="s">
        <v>41</v>
      </c>
      <c r="C109" s="371">
        <v>2021</v>
      </c>
      <c r="D109" s="373">
        <v>0</v>
      </c>
      <c r="E109" s="328">
        <v>0</v>
      </c>
      <c r="F109" s="328">
        <f t="shared" si="11"/>
        <v>0</v>
      </c>
      <c r="G109" s="373">
        <v>0</v>
      </c>
      <c r="H109" s="373">
        <v>0</v>
      </c>
      <c r="I109" s="328">
        <v>0</v>
      </c>
      <c r="J109" s="328">
        <f>J108+F109-G109-I109</f>
        <v>-6.9121597334742546E-11</v>
      </c>
      <c r="K109" s="328">
        <f t="shared" si="13"/>
        <v>-157682.99000000005</v>
      </c>
    </row>
    <row r="110" spans="1:11" ht="13" x14ac:dyDescent="0.3">
      <c r="A110" s="321">
        <f t="shared" ref="A110:A113" si="14">A109+1</f>
        <v>77</v>
      </c>
      <c r="B110" s="104" t="s">
        <v>42</v>
      </c>
      <c r="C110" s="371">
        <v>2021</v>
      </c>
      <c r="D110" s="373">
        <v>0</v>
      </c>
      <c r="E110" s="328">
        <v>0</v>
      </c>
      <c r="F110" s="328">
        <f t="shared" si="11"/>
        <v>0</v>
      </c>
      <c r="G110" s="373">
        <v>0</v>
      </c>
      <c r="H110" s="373">
        <v>0</v>
      </c>
      <c r="I110" s="328">
        <v>0</v>
      </c>
      <c r="J110" s="328">
        <f t="shared" ref="J110:J112" si="15">J109+F110-G110-I110</f>
        <v>-6.9121597334742546E-11</v>
      </c>
      <c r="K110" s="328">
        <f t="shared" si="13"/>
        <v>-157682.99000000005</v>
      </c>
    </row>
    <row r="111" spans="1:11" ht="13" x14ac:dyDescent="0.3">
      <c r="A111" s="321">
        <f t="shared" si="14"/>
        <v>78</v>
      </c>
      <c r="B111" s="104" t="s">
        <v>43</v>
      </c>
      <c r="C111" s="371">
        <v>2021</v>
      </c>
      <c r="D111" s="373">
        <v>0</v>
      </c>
      <c r="E111" s="328">
        <v>0</v>
      </c>
      <c r="F111" s="328">
        <f t="shared" si="11"/>
        <v>0</v>
      </c>
      <c r="G111" s="373">
        <v>0</v>
      </c>
      <c r="H111" s="373">
        <v>0</v>
      </c>
      <c r="I111" s="328">
        <v>0</v>
      </c>
      <c r="J111" s="328">
        <f t="shared" si="15"/>
        <v>-6.9121597334742546E-11</v>
      </c>
      <c r="K111" s="328">
        <f t="shared" si="13"/>
        <v>-157682.99000000005</v>
      </c>
    </row>
    <row r="112" spans="1:11" ht="13" x14ac:dyDescent="0.3">
      <c r="A112" s="321">
        <f t="shared" si="14"/>
        <v>79</v>
      </c>
      <c r="B112" s="104" t="s">
        <v>27</v>
      </c>
      <c r="C112" s="371">
        <v>2021</v>
      </c>
      <c r="D112" s="373">
        <v>0</v>
      </c>
      <c r="E112" s="328">
        <v>0</v>
      </c>
      <c r="F112" s="328">
        <f t="shared" si="11"/>
        <v>0</v>
      </c>
      <c r="G112" s="373">
        <v>0</v>
      </c>
      <c r="H112" s="373">
        <v>0</v>
      </c>
      <c r="I112" s="328">
        <v>0</v>
      </c>
      <c r="J112" s="328">
        <f t="shared" si="15"/>
        <v>-6.9121597334742546E-11</v>
      </c>
      <c r="K112" s="335">
        <f t="shared" si="13"/>
        <v>-157682.99000000005</v>
      </c>
    </row>
    <row r="113" spans="1:11" ht="13" x14ac:dyDescent="0.3">
      <c r="A113" s="321">
        <f t="shared" si="14"/>
        <v>80</v>
      </c>
      <c r="C113" s="396" t="s">
        <v>880</v>
      </c>
      <c r="K113" s="397">
        <f>AVERAGE(K100:K112)</f>
        <v>-157682.99000000002</v>
      </c>
    </row>
    <row r="114" spans="1:11" ht="13" x14ac:dyDescent="0.3">
      <c r="A114" s="321"/>
      <c r="C114" s="396"/>
      <c r="K114" s="397"/>
    </row>
    <row r="115" spans="1:11" ht="13" x14ac:dyDescent="0.3">
      <c r="B115" s="399" t="s">
        <v>888</v>
      </c>
      <c r="D115" s="429" t="s">
        <v>889</v>
      </c>
      <c r="E115" s="429"/>
    </row>
    <row r="116" spans="1:11" ht="13" x14ac:dyDescent="0.3">
      <c r="A116" s="326"/>
      <c r="B116" s="326"/>
      <c r="C116" s="326"/>
      <c r="D116" s="326" t="s">
        <v>12</v>
      </c>
      <c r="E116" s="326" t="s">
        <v>343</v>
      </c>
      <c r="F116" s="326" t="s">
        <v>361</v>
      </c>
      <c r="G116" s="326" t="s">
        <v>13</v>
      </c>
      <c r="H116" s="326" t="s">
        <v>362</v>
      </c>
      <c r="I116" s="326" t="s">
        <v>363</v>
      </c>
      <c r="J116" s="326" t="s">
        <v>364</v>
      </c>
      <c r="K116" s="326" t="s">
        <v>451</v>
      </c>
    </row>
    <row r="117" spans="1:11" ht="25.5" x14ac:dyDescent="0.3">
      <c r="D117" s="363"/>
      <c r="E117" s="400" t="s">
        <v>883</v>
      </c>
      <c r="F117" s="356" t="s">
        <v>884</v>
      </c>
      <c r="G117" s="356"/>
      <c r="H117" s="363"/>
      <c r="I117" s="400" t="s">
        <v>885</v>
      </c>
      <c r="J117" s="400" t="s">
        <v>886</v>
      </c>
      <c r="K117" s="400" t="s">
        <v>887</v>
      </c>
    </row>
    <row r="118" spans="1:11" ht="13" x14ac:dyDescent="0.3">
      <c r="D118" s="363"/>
      <c r="E118" s="363"/>
      <c r="F118" s="363"/>
      <c r="G118" s="321" t="str">
        <f>G51</f>
        <v>Unloaded</v>
      </c>
      <c r="H118" s="363"/>
      <c r="I118" s="363"/>
    </row>
    <row r="119" spans="1:11" ht="13" x14ac:dyDescent="0.3">
      <c r="A119" s="321"/>
      <c r="B119" s="321"/>
      <c r="C119" s="321"/>
      <c r="D119" s="321" t="str">
        <f>D$52</f>
        <v>Forecast</v>
      </c>
      <c r="E119" s="321" t="str">
        <f t="shared" ref="E119:J119" si="16">E$52</f>
        <v>Corporate</v>
      </c>
      <c r="F119" s="321" t="str">
        <f t="shared" si="16"/>
        <v xml:space="preserve">Total </v>
      </c>
      <c r="G119" s="321" t="str">
        <f>G52</f>
        <v>Total</v>
      </c>
      <c r="H119" s="321" t="str">
        <f t="shared" si="16"/>
        <v>Prior Period</v>
      </c>
      <c r="I119" s="321" t="str">
        <f t="shared" si="16"/>
        <v>Over Heads</v>
      </c>
      <c r="J119" s="321" t="str">
        <f t="shared" si="16"/>
        <v>Forecast</v>
      </c>
      <c r="K119" s="321" t="str">
        <f>K$52</f>
        <v>Forecast Period</v>
      </c>
    </row>
    <row r="120" spans="1:11" ht="13" x14ac:dyDescent="0.3">
      <c r="A120" s="325" t="s">
        <v>22</v>
      </c>
      <c r="B120" s="94" t="s">
        <v>23</v>
      </c>
      <c r="C120" s="94" t="s">
        <v>24</v>
      </c>
      <c r="D120" s="326" t="str">
        <f>D$53</f>
        <v>Expenditures</v>
      </c>
      <c r="E120" s="326" t="str">
        <f t="shared" ref="E120:J120" si="17">E$53</f>
        <v>Overheads</v>
      </c>
      <c r="F120" s="326" t="str">
        <f t="shared" si="17"/>
        <v>CWIP Exp</v>
      </c>
      <c r="G120" s="326" t="str">
        <f>G53</f>
        <v>Plant Adds</v>
      </c>
      <c r="H120" s="326" t="str">
        <f t="shared" si="17"/>
        <v>CWIP Closed</v>
      </c>
      <c r="I120" s="326" t="str">
        <f t="shared" si="17"/>
        <v>Closed to PIS</v>
      </c>
      <c r="J120" s="326" t="str">
        <f t="shared" si="17"/>
        <v>Period CWIP</v>
      </c>
      <c r="K120" s="326" t="str">
        <f>K$53</f>
        <v>Incremental CWIP</v>
      </c>
    </row>
    <row r="121" spans="1:11" ht="13" x14ac:dyDescent="0.3">
      <c r="A121" s="321">
        <f>A113+1</f>
        <v>81</v>
      </c>
      <c r="B121" s="104" t="s">
        <v>27</v>
      </c>
      <c r="C121" s="371">
        <v>2019</v>
      </c>
      <c r="D121" s="356" t="s">
        <v>28</v>
      </c>
      <c r="E121" s="356" t="s">
        <v>28</v>
      </c>
      <c r="F121" s="356" t="s">
        <v>28</v>
      </c>
      <c r="G121" s="356" t="s">
        <v>28</v>
      </c>
      <c r="H121" s="356" t="s">
        <v>28</v>
      </c>
      <c r="I121" s="356" t="s">
        <v>28</v>
      </c>
      <c r="J121" s="328">
        <f>F25</f>
        <v>0</v>
      </c>
      <c r="K121" s="356" t="s">
        <v>28</v>
      </c>
    </row>
    <row r="122" spans="1:11" ht="13" x14ac:dyDescent="0.3">
      <c r="A122" s="321">
        <f>A121+1</f>
        <v>82</v>
      </c>
      <c r="B122" s="104" t="s">
        <v>30</v>
      </c>
      <c r="C122" s="371">
        <v>2020</v>
      </c>
      <c r="D122" s="373">
        <v>0</v>
      </c>
      <c r="E122" s="328">
        <v>0</v>
      </c>
      <c r="F122" s="328">
        <f>E122+D122</f>
        <v>0</v>
      </c>
      <c r="G122" s="373">
        <v>0</v>
      </c>
      <c r="H122" s="373">
        <v>0</v>
      </c>
      <c r="I122" s="328">
        <v>0</v>
      </c>
      <c r="J122" s="328">
        <f>J121+F122-G122-I122</f>
        <v>0</v>
      </c>
      <c r="K122" s="340">
        <f>J122-$J$121</f>
        <v>0</v>
      </c>
    </row>
    <row r="123" spans="1:11" ht="13" x14ac:dyDescent="0.3">
      <c r="A123" s="321">
        <f t="shared" ref="A123:A146" si="18">A122+1</f>
        <v>83</v>
      </c>
      <c r="B123" s="104" t="s">
        <v>32</v>
      </c>
      <c r="C123" s="371">
        <v>2020</v>
      </c>
      <c r="D123" s="373">
        <v>0</v>
      </c>
      <c r="E123" s="328">
        <v>0</v>
      </c>
      <c r="F123" s="328">
        <f t="shared" ref="F123:F145" si="19">E123+D123</f>
        <v>0</v>
      </c>
      <c r="G123" s="373">
        <v>0</v>
      </c>
      <c r="H123" s="373">
        <v>0</v>
      </c>
      <c r="I123" s="328">
        <v>0</v>
      </c>
      <c r="J123" s="328">
        <f t="shared" ref="J123:J145" si="20">J122+F123-G123-I123</f>
        <v>0</v>
      </c>
      <c r="K123" s="340">
        <f t="shared" ref="K123:K145" si="21">J123-$J$121</f>
        <v>0</v>
      </c>
    </row>
    <row r="124" spans="1:11" ht="13" x14ac:dyDescent="0.3">
      <c r="A124" s="321">
        <f t="shared" si="18"/>
        <v>84</v>
      </c>
      <c r="B124" s="104" t="s">
        <v>34</v>
      </c>
      <c r="C124" s="371">
        <v>2020</v>
      </c>
      <c r="D124" s="373">
        <v>0</v>
      </c>
      <c r="E124" s="328">
        <v>0</v>
      </c>
      <c r="F124" s="328">
        <f t="shared" si="19"/>
        <v>0</v>
      </c>
      <c r="G124" s="373">
        <v>0</v>
      </c>
      <c r="H124" s="373">
        <v>0</v>
      </c>
      <c r="I124" s="328">
        <v>0</v>
      </c>
      <c r="J124" s="328">
        <f t="shared" si="20"/>
        <v>0</v>
      </c>
      <c r="K124" s="340">
        <f t="shared" si="21"/>
        <v>0</v>
      </c>
    </row>
    <row r="125" spans="1:11" ht="13" x14ac:dyDescent="0.3">
      <c r="A125" s="321">
        <f t="shared" si="18"/>
        <v>85</v>
      </c>
      <c r="B125" s="104" t="s">
        <v>36</v>
      </c>
      <c r="C125" s="371">
        <v>2020</v>
      </c>
      <c r="D125" s="373">
        <v>0</v>
      </c>
      <c r="E125" s="328">
        <v>0</v>
      </c>
      <c r="F125" s="328">
        <f t="shared" si="19"/>
        <v>0</v>
      </c>
      <c r="G125" s="373">
        <v>0</v>
      </c>
      <c r="H125" s="373">
        <v>0</v>
      </c>
      <c r="I125" s="328">
        <v>0</v>
      </c>
      <c r="J125" s="328">
        <f t="shared" si="20"/>
        <v>0</v>
      </c>
      <c r="K125" s="340">
        <f t="shared" si="21"/>
        <v>0</v>
      </c>
    </row>
    <row r="126" spans="1:11" ht="13" x14ac:dyDescent="0.3">
      <c r="A126" s="321">
        <f t="shared" si="18"/>
        <v>86</v>
      </c>
      <c r="B126" s="104" t="s">
        <v>37</v>
      </c>
      <c r="C126" s="371">
        <v>2020</v>
      </c>
      <c r="D126" s="373">
        <v>0</v>
      </c>
      <c r="E126" s="328">
        <v>0</v>
      </c>
      <c r="F126" s="328">
        <f t="shared" si="19"/>
        <v>0</v>
      </c>
      <c r="G126" s="373">
        <v>0</v>
      </c>
      <c r="H126" s="373">
        <v>0</v>
      </c>
      <c r="I126" s="328">
        <v>0</v>
      </c>
      <c r="J126" s="328">
        <f t="shared" si="20"/>
        <v>0</v>
      </c>
      <c r="K126" s="340">
        <f t="shared" si="21"/>
        <v>0</v>
      </c>
    </row>
    <row r="127" spans="1:11" ht="13" x14ac:dyDescent="0.3">
      <c r="A127" s="321">
        <f t="shared" si="18"/>
        <v>87</v>
      </c>
      <c r="B127" s="104" t="s">
        <v>471</v>
      </c>
      <c r="C127" s="371">
        <v>2020</v>
      </c>
      <c r="D127" s="373">
        <v>0</v>
      </c>
      <c r="E127" s="328">
        <v>0</v>
      </c>
      <c r="F127" s="328">
        <f t="shared" si="19"/>
        <v>0</v>
      </c>
      <c r="G127" s="373">
        <v>0</v>
      </c>
      <c r="H127" s="373">
        <v>0</v>
      </c>
      <c r="I127" s="328">
        <v>0</v>
      </c>
      <c r="J127" s="328">
        <f t="shared" si="20"/>
        <v>0</v>
      </c>
      <c r="K127" s="340">
        <f t="shared" si="21"/>
        <v>0</v>
      </c>
    </row>
    <row r="128" spans="1:11" ht="13" x14ac:dyDescent="0.3">
      <c r="A128" s="321">
        <f t="shared" si="18"/>
        <v>88</v>
      </c>
      <c r="B128" s="104" t="s">
        <v>39</v>
      </c>
      <c r="C128" s="371">
        <v>2020</v>
      </c>
      <c r="D128" s="373">
        <v>0</v>
      </c>
      <c r="E128" s="328">
        <v>0</v>
      </c>
      <c r="F128" s="328">
        <f t="shared" si="19"/>
        <v>0</v>
      </c>
      <c r="G128" s="373">
        <v>0</v>
      </c>
      <c r="H128" s="373">
        <v>0</v>
      </c>
      <c r="I128" s="328">
        <v>0</v>
      </c>
      <c r="J128" s="328">
        <f t="shared" si="20"/>
        <v>0</v>
      </c>
      <c r="K128" s="340">
        <f t="shared" si="21"/>
        <v>0</v>
      </c>
    </row>
    <row r="129" spans="1:11" ht="13" x14ac:dyDescent="0.3">
      <c r="A129" s="321">
        <f t="shared" si="18"/>
        <v>89</v>
      </c>
      <c r="B129" s="104" t="s">
        <v>40</v>
      </c>
      <c r="C129" s="371">
        <v>2020</v>
      </c>
      <c r="D129" s="373">
        <v>0</v>
      </c>
      <c r="E129" s="328">
        <v>0</v>
      </c>
      <c r="F129" s="328">
        <f t="shared" si="19"/>
        <v>0</v>
      </c>
      <c r="G129" s="373">
        <v>0</v>
      </c>
      <c r="H129" s="373">
        <v>0</v>
      </c>
      <c r="I129" s="328">
        <v>0</v>
      </c>
      <c r="J129" s="328">
        <f t="shared" si="20"/>
        <v>0</v>
      </c>
      <c r="K129" s="340">
        <f t="shared" si="21"/>
        <v>0</v>
      </c>
    </row>
    <row r="130" spans="1:11" ht="13" x14ac:dyDescent="0.3">
      <c r="A130" s="321">
        <f t="shared" si="18"/>
        <v>90</v>
      </c>
      <c r="B130" s="104" t="s">
        <v>41</v>
      </c>
      <c r="C130" s="371">
        <v>2020</v>
      </c>
      <c r="D130" s="373">
        <v>0</v>
      </c>
      <c r="E130" s="328">
        <v>0</v>
      </c>
      <c r="F130" s="328">
        <f t="shared" si="19"/>
        <v>0</v>
      </c>
      <c r="G130" s="373">
        <v>0</v>
      </c>
      <c r="H130" s="373">
        <v>0</v>
      </c>
      <c r="I130" s="328">
        <v>0</v>
      </c>
      <c r="J130" s="328">
        <f t="shared" si="20"/>
        <v>0</v>
      </c>
      <c r="K130" s="340">
        <f t="shared" si="21"/>
        <v>0</v>
      </c>
    </row>
    <row r="131" spans="1:11" ht="13" x14ac:dyDescent="0.3">
      <c r="A131" s="321">
        <f t="shared" si="18"/>
        <v>91</v>
      </c>
      <c r="B131" s="104" t="s">
        <v>42</v>
      </c>
      <c r="C131" s="371">
        <v>2020</v>
      </c>
      <c r="D131" s="373">
        <v>0</v>
      </c>
      <c r="E131" s="328">
        <v>0</v>
      </c>
      <c r="F131" s="328">
        <f t="shared" si="19"/>
        <v>0</v>
      </c>
      <c r="G131" s="373">
        <v>0</v>
      </c>
      <c r="H131" s="373">
        <v>0</v>
      </c>
      <c r="I131" s="328">
        <v>0</v>
      </c>
      <c r="J131" s="328">
        <f t="shared" si="20"/>
        <v>0</v>
      </c>
      <c r="K131" s="340">
        <f t="shared" si="21"/>
        <v>0</v>
      </c>
    </row>
    <row r="132" spans="1:11" ht="13" x14ac:dyDescent="0.3">
      <c r="A132" s="321">
        <f t="shared" si="18"/>
        <v>92</v>
      </c>
      <c r="B132" s="104" t="s">
        <v>43</v>
      </c>
      <c r="C132" s="371">
        <v>2020</v>
      </c>
      <c r="D132" s="373">
        <v>0</v>
      </c>
      <c r="E132" s="328">
        <v>0</v>
      </c>
      <c r="F132" s="328">
        <f t="shared" si="19"/>
        <v>0</v>
      </c>
      <c r="G132" s="373">
        <v>0</v>
      </c>
      <c r="H132" s="373">
        <v>0</v>
      </c>
      <c r="I132" s="328">
        <v>0</v>
      </c>
      <c r="J132" s="328">
        <f t="shared" si="20"/>
        <v>0</v>
      </c>
      <c r="K132" s="340">
        <f t="shared" si="21"/>
        <v>0</v>
      </c>
    </row>
    <row r="133" spans="1:11" ht="13" x14ac:dyDescent="0.3">
      <c r="A133" s="321">
        <f t="shared" si="18"/>
        <v>93</v>
      </c>
      <c r="B133" s="104" t="s">
        <v>27</v>
      </c>
      <c r="C133" s="371">
        <v>2020</v>
      </c>
      <c r="D133" s="373">
        <v>0</v>
      </c>
      <c r="E133" s="328">
        <v>0</v>
      </c>
      <c r="F133" s="328">
        <f t="shared" si="19"/>
        <v>0</v>
      </c>
      <c r="G133" s="373">
        <v>0</v>
      </c>
      <c r="H133" s="373">
        <v>0</v>
      </c>
      <c r="I133" s="328">
        <v>0</v>
      </c>
      <c r="J133" s="328">
        <f t="shared" si="20"/>
        <v>0</v>
      </c>
      <c r="K133" s="340">
        <f t="shared" si="21"/>
        <v>0</v>
      </c>
    </row>
    <row r="134" spans="1:11" ht="13" x14ac:dyDescent="0.3">
      <c r="A134" s="321">
        <f t="shared" si="18"/>
        <v>94</v>
      </c>
      <c r="B134" s="104" t="s">
        <v>30</v>
      </c>
      <c r="C134" s="371">
        <v>2021</v>
      </c>
      <c r="D134" s="373">
        <v>0</v>
      </c>
      <c r="E134" s="328">
        <v>0</v>
      </c>
      <c r="F134" s="328">
        <f t="shared" si="19"/>
        <v>0</v>
      </c>
      <c r="G134" s="373">
        <v>0</v>
      </c>
      <c r="H134" s="373">
        <v>0</v>
      </c>
      <c r="I134" s="328">
        <v>0</v>
      </c>
      <c r="J134" s="328">
        <f t="shared" si="20"/>
        <v>0</v>
      </c>
      <c r="K134" s="340">
        <f t="shared" si="21"/>
        <v>0</v>
      </c>
    </row>
    <row r="135" spans="1:11" ht="13" x14ac:dyDescent="0.3">
      <c r="A135" s="321">
        <f t="shared" si="18"/>
        <v>95</v>
      </c>
      <c r="B135" s="104" t="s">
        <v>32</v>
      </c>
      <c r="C135" s="371">
        <v>2021</v>
      </c>
      <c r="D135" s="373">
        <v>0</v>
      </c>
      <c r="E135" s="328">
        <v>0</v>
      </c>
      <c r="F135" s="328">
        <f t="shared" si="19"/>
        <v>0</v>
      </c>
      <c r="G135" s="373">
        <v>0</v>
      </c>
      <c r="H135" s="373">
        <v>0</v>
      </c>
      <c r="I135" s="328">
        <v>0</v>
      </c>
      <c r="J135" s="328">
        <f t="shared" si="20"/>
        <v>0</v>
      </c>
      <c r="K135" s="340">
        <f t="shared" si="21"/>
        <v>0</v>
      </c>
    </row>
    <row r="136" spans="1:11" ht="13" x14ac:dyDescent="0.3">
      <c r="A136" s="321">
        <f t="shared" si="18"/>
        <v>96</v>
      </c>
      <c r="B136" s="104" t="s">
        <v>34</v>
      </c>
      <c r="C136" s="371">
        <v>2021</v>
      </c>
      <c r="D136" s="373">
        <v>0</v>
      </c>
      <c r="E136" s="328">
        <v>0</v>
      </c>
      <c r="F136" s="328">
        <f t="shared" si="19"/>
        <v>0</v>
      </c>
      <c r="G136" s="373">
        <v>0</v>
      </c>
      <c r="H136" s="373">
        <v>0</v>
      </c>
      <c r="I136" s="328">
        <v>0</v>
      </c>
      <c r="J136" s="328">
        <f t="shared" si="20"/>
        <v>0</v>
      </c>
      <c r="K136" s="340">
        <f t="shared" si="21"/>
        <v>0</v>
      </c>
    </row>
    <row r="137" spans="1:11" ht="13" x14ac:dyDescent="0.3">
      <c r="A137" s="321">
        <f t="shared" si="18"/>
        <v>97</v>
      </c>
      <c r="B137" s="104" t="s">
        <v>36</v>
      </c>
      <c r="C137" s="371">
        <v>2021</v>
      </c>
      <c r="D137" s="373">
        <v>0</v>
      </c>
      <c r="E137" s="328">
        <v>0</v>
      </c>
      <c r="F137" s="328">
        <f t="shared" si="19"/>
        <v>0</v>
      </c>
      <c r="G137" s="373">
        <v>0</v>
      </c>
      <c r="H137" s="373">
        <v>0</v>
      </c>
      <c r="I137" s="328">
        <v>0</v>
      </c>
      <c r="J137" s="328">
        <f t="shared" si="20"/>
        <v>0</v>
      </c>
      <c r="K137" s="340">
        <f t="shared" si="21"/>
        <v>0</v>
      </c>
    </row>
    <row r="138" spans="1:11" ht="13" x14ac:dyDescent="0.3">
      <c r="A138" s="321">
        <f t="shared" si="18"/>
        <v>98</v>
      </c>
      <c r="B138" s="104" t="s">
        <v>37</v>
      </c>
      <c r="C138" s="371">
        <v>2021</v>
      </c>
      <c r="D138" s="373">
        <v>0</v>
      </c>
      <c r="E138" s="328">
        <v>0</v>
      </c>
      <c r="F138" s="328">
        <f t="shared" si="19"/>
        <v>0</v>
      </c>
      <c r="G138" s="373">
        <v>0</v>
      </c>
      <c r="H138" s="373">
        <v>0</v>
      </c>
      <c r="I138" s="328">
        <v>0</v>
      </c>
      <c r="J138" s="328">
        <f t="shared" si="20"/>
        <v>0</v>
      </c>
      <c r="K138" s="340">
        <f t="shared" si="21"/>
        <v>0</v>
      </c>
    </row>
    <row r="139" spans="1:11" ht="13" x14ac:dyDescent="0.3">
      <c r="A139" s="321">
        <f t="shared" si="18"/>
        <v>99</v>
      </c>
      <c r="B139" s="104" t="s">
        <v>471</v>
      </c>
      <c r="C139" s="371">
        <v>2021</v>
      </c>
      <c r="D139" s="373">
        <v>0</v>
      </c>
      <c r="E139" s="328">
        <v>0</v>
      </c>
      <c r="F139" s="328">
        <f t="shared" si="19"/>
        <v>0</v>
      </c>
      <c r="G139" s="373">
        <v>0</v>
      </c>
      <c r="H139" s="373">
        <v>0</v>
      </c>
      <c r="I139" s="328">
        <v>0</v>
      </c>
      <c r="J139" s="328">
        <f t="shared" si="20"/>
        <v>0</v>
      </c>
      <c r="K139" s="340">
        <f t="shared" si="21"/>
        <v>0</v>
      </c>
    </row>
    <row r="140" spans="1:11" ht="13" x14ac:dyDescent="0.3">
      <c r="A140" s="321">
        <f t="shared" si="18"/>
        <v>100</v>
      </c>
      <c r="B140" s="104" t="s">
        <v>39</v>
      </c>
      <c r="C140" s="371">
        <v>2021</v>
      </c>
      <c r="D140" s="373">
        <v>0</v>
      </c>
      <c r="E140" s="328">
        <v>0</v>
      </c>
      <c r="F140" s="328">
        <f t="shared" si="19"/>
        <v>0</v>
      </c>
      <c r="G140" s="373">
        <v>0</v>
      </c>
      <c r="H140" s="373">
        <v>0</v>
      </c>
      <c r="I140" s="328">
        <v>0</v>
      </c>
      <c r="J140" s="328">
        <f t="shared" si="20"/>
        <v>0</v>
      </c>
      <c r="K140" s="340">
        <f t="shared" si="21"/>
        <v>0</v>
      </c>
    </row>
    <row r="141" spans="1:11" ht="13" x14ac:dyDescent="0.3">
      <c r="A141" s="321">
        <f t="shared" si="18"/>
        <v>101</v>
      </c>
      <c r="B141" s="104" t="s">
        <v>40</v>
      </c>
      <c r="C141" s="371">
        <v>2021</v>
      </c>
      <c r="D141" s="373">
        <v>0</v>
      </c>
      <c r="E141" s="328">
        <v>0</v>
      </c>
      <c r="F141" s="328">
        <f t="shared" si="19"/>
        <v>0</v>
      </c>
      <c r="G141" s="373">
        <v>0</v>
      </c>
      <c r="H141" s="373">
        <v>0</v>
      </c>
      <c r="I141" s="328">
        <v>0</v>
      </c>
      <c r="J141" s="328">
        <f t="shared" si="20"/>
        <v>0</v>
      </c>
      <c r="K141" s="340">
        <f t="shared" si="21"/>
        <v>0</v>
      </c>
    </row>
    <row r="142" spans="1:11" ht="13" x14ac:dyDescent="0.3">
      <c r="A142" s="321">
        <f t="shared" si="18"/>
        <v>102</v>
      </c>
      <c r="B142" s="104" t="s">
        <v>41</v>
      </c>
      <c r="C142" s="371">
        <v>2021</v>
      </c>
      <c r="D142" s="373">
        <v>0</v>
      </c>
      <c r="E142" s="328">
        <v>0</v>
      </c>
      <c r="F142" s="328">
        <f t="shared" si="19"/>
        <v>0</v>
      </c>
      <c r="G142" s="373">
        <v>0</v>
      </c>
      <c r="H142" s="373">
        <v>0</v>
      </c>
      <c r="I142" s="328">
        <v>0</v>
      </c>
      <c r="J142" s="328">
        <f t="shared" si="20"/>
        <v>0</v>
      </c>
      <c r="K142" s="340">
        <f t="shared" si="21"/>
        <v>0</v>
      </c>
    </row>
    <row r="143" spans="1:11" ht="13" x14ac:dyDescent="0.3">
      <c r="A143" s="321">
        <f t="shared" si="18"/>
        <v>103</v>
      </c>
      <c r="B143" s="104" t="s">
        <v>42</v>
      </c>
      <c r="C143" s="371">
        <v>2021</v>
      </c>
      <c r="D143" s="373">
        <v>0</v>
      </c>
      <c r="E143" s="328">
        <v>0</v>
      </c>
      <c r="F143" s="328">
        <f t="shared" si="19"/>
        <v>0</v>
      </c>
      <c r="G143" s="373">
        <v>0</v>
      </c>
      <c r="H143" s="373">
        <v>0</v>
      </c>
      <c r="I143" s="328">
        <v>0</v>
      </c>
      <c r="J143" s="328">
        <f t="shared" si="20"/>
        <v>0</v>
      </c>
      <c r="K143" s="340">
        <f t="shared" si="21"/>
        <v>0</v>
      </c>
    </row>
    <row r="144" spans="1:11" ht="13" x14ac:dyDescent="0.3">
      <c r="A144" s="321">
        <f t="shared" si="18"/>
        <v>104</v>
      </c>
      <c r="B144" s="104" t="s">
        <v>43</v>
      </c>
      <c r="C144" s="371">
        <v>2021</v>
      </c>
      <c r="D144" s="373">
        <v>0</v>
      </c>
      <c r="E144" s="328">
        <v>0</v>
      </c>
      <c r="F144" s="328">
        <f t="shared" si="19"/>
        <v>0</v>
      </c>
      <c r="G144" s="373">
        <v>0</v>
      </c>
      <c r="H144" s="373">
        <v>0</v>
      </c>
      <c r="I144" s="328">
        <v>0</v>
      </c>
      <c r="J144" s="328">
        <f t="shared" si="20"/>
        <v>0</v>
      </c>
      <c r="K144" s="340">
        <f t="shared" si="21"/>
        <v>0</v>
      </c>
    </row>
    <row r="145" spans="1:11" ht="13" x14ac:dyDescent="0.3">
      <c r="A145" s="321">
        <f t="shared" si="18"/>
        <v>105</v>
      </c>
      <c r="B145" s="104" t="s">
        <v>27</v>
      </c>
      <c r="C145" s="371">
        <v>2021</v>
      </c>
      <c r="D145" s="373">
        <v>0</v>
      </c>
      <c r="E145" s="328">
        <v>0</v>
      </c>
      <c r="F145" s="328">
        <f t="shared" si="19"/>
        <v>0</v>
      </c>
      <c r="G145" s="373">
        <v>0</v>
      </c>
      <c r="H145" s="373">
        <v>0</v>
      </c>
      <c r="I145" s="328">
        <v>0</v>
      </c>
      <c r="J145" s="328">
        <f t="shared" si="20"/>
        <v>0</v>
      </c>
      <c r="K145" s="335">
        <f t="shared" si="21"/>
        <v>0</v>
      </c>
    </row>
    <row r="146" spans="1:11" ht="13" x14ac:dyDescent="0.3">
      <c r="A146" s="321">
        <f t="shared" si="18"/>
        <v>106</v>
      </c>
      <c r="C146" s="396" t="s">
        <v>880</v>
      </c>
      <c r="K146" s="397">
        <f>AVERAGE(K133:K145)</f>
        <v>0</v>
      </c>
    </row>
    <row r="147" spans="1:11" ht="13" x14ac:dyDescent="0.3">
      <c r="A147" s="321"/>
      <c r="C147" s="396"/>
      <c r="K147" s="397"/>
    </row>
    <row r="148" spans="1:11" ht="13" x14ac:dyDescent="0.3">
      <c r="B148" s="399" t="s">
        <v>890</v>
      </c>
      <c r="D148" s="429" t="s">
        <v>891</v>
      </c>
      <c r="E148" s="429"/>
    </row>
    <row r="149" spans="1:11" ht="13" x14ac:dyDescent="0.3">
      <c r="B149" s="399"/>
      <c r="D149" s="326" t="s">
        <v>12</v>
      </c>
      <c r="E149" s="326" t="s">
        <v>343</v>
      </c>
      <c r="F149" s="326" t="s">
        <v>361</v>
      </c>
      <c r="G149" s="326" t="s">
        <v>13</v>
      </c>
      <c r="H149" s="326" t="s">
        <v>362</v>
      </c>
      <c r="I149" s="326" t="s">
        <v>363</v>
      </c>
      <c r="J149" s="326" t="s">
        <v>364</v>
      </c>
      <c r="K149" s="326" t="s">
        <v>451</v>
      </c>
    </row>
    <row r="150" spans="1:11" ht="25.5" x14ac:dyDescent="0.3">
      <c r="B150" s="399"/>
      <c r="D150" s="363"/>
      <c r="E150" s="400" t="s">
        <v>883</v>
      </c>
      <c r="F150" s="356" t="s">
        <v>884</v>
      </c>
      <c r="G150" s="356"/>
      <c r="H150" s="363"/>
      <c r="I150" s="400" t="s">
        <v>885</v>
      </c>
      <c r="J150" s="400" t="s">
        <v>886</v>
      </c>
      <c r="K150" s="400" t="s">
        <v>887</v>
      </c>
    </row>
    <row r="151" spans="1:11" ht="13" x14ac:dyDescent="0.3">
      <c r="D151" s="363"/>
      <c r="E151" s="363"/>
      <c r="F151" s="363"/>
      <c r="G151" s="321" t="str">
        <f>G51</f>
        <v>Unloaded</v>
      </c>
      <c r="H151" s="363"/>
      <c r="I151" s="363"/>
    </row>
    <row r="152" spans="1:11" ht="13" x14ac:dyDescent="0.3">
      <c r="A152" s="321"/>
      <c r="B152" s="321"/>
      <c r="C152" s="321"/>
      <c r="D152" s="321" t="str">
        <f>D$52</f>
        <v>Forecast</v>
      </c>
      <c r="E152" s="321" t="str">
        <f t="shared" ref="E152:J152" si="22">E$52</f>
        <v>Corporate</v>
      </c>
      <c r="F152" s="321" t="str">
        <f t="shared" si="22"/>
        <v xml:space="preserve">Total </v>
      </c>
      <c r="G152" s="321" t="str">
        <f>G52</f>
        <v>Total</v>
      </c>
      <c r="H152" s="321" t="str">
        <f t="shared" si="22"/>
        <v>Prior Period</v>
      </c>
      <c r="I152" s="321" t="str">
        <f t="shared" si="22"/>
        <v>Over Heads</v>
      </c>
      <c r="J152" s="321" t="str">
        <f t="shared" si="22"/>
        <v>Forecast</v>
      </c>
      <c r="K152" s="321" t="str">
        <f>K$52</f>
        <v>Forecast Period</v>
      </c>
    </row>
    <row r="153" spans="1:11" ht="13" x14ac:dyDescent="0.3">
      <c r="A153" s="325" t="s">
        <v>22</v>
      </c>
      <c r="B153" s="94" t="s">
        <v>23</v>
      </c>
      <c r="C153" s="94" t="s">
        <v>24</v>
      </c>
      <c r="D153" s="326" t="str">
        <f>D$53</f>
        <v>Expenditures</v>
      </c>
      <c r="E153" s="326" t="str">
        <f t="shared" ref="E153:J153" si="23">E$53</f>
        <v>Overheads</v>
      </c>
      <c r="F153" s="326" t="str">
        <f t="shared" si="23"/>
        <v>CWIP Exp</v>
      </c>
      <c r="G153" s="326" t="str">
        <f>G53</f>
        <v>Plant Adds</v>
      </c>
      <c r="H153" s="326" t="str">
        <f t="shared" si="23"/>
        <v>CWIP Closed</v>
      </c>
      <c r="I153" s="326" t="str">
        <f t="shared" si="23"/>
        <v>Closed to PIS</v>
      </c>
      <c r="J153" s="326" t="str">
        <f t="shared" si="23"/>
        <v>Period CWIP</v>
      </c>
      <c r="K153" s="326" t="str">
        <f>K$53</f>
        <v>Incremental CWIP</v>
      </c>
    </row>
    <row r="154" spans="1:11" ht="13" x14ac:dyDescent="0.3">
      <c r="A154" s="321">
        <f>A146+1</f>
        <v>107</v>
      </c>
      <c r="B154" s="104" t="s">
        <v>27</v>
      </c>
      <c r="C154" s="371">
        <v>2019</v>
      </c>
      <c r="D154" s="356" t="s">
        <v>28</v>
      </c>
      <c r="E154" s="356" t="s">
        <v>28</v>
      </c>
      <c r="F154" s="356" t="s">
        <v>28</v>
      </c>
      <c r="G154" s="356" t="s">
        <v>28</v>
      </c>
      <c r="H154" s="356" t="s">
        <v>28</v>
      </c>
      <c r="I154" s="356" t="s">
        <v>28</v>
      </c>
      <c r="J154" s="328">
        <f>G25</f>
        <v>5584199.04</v>
      </c>
      <c r="K154" s="356" t="s">
        <v>28</v>
      </c>
    </row>
    <row r="155" spans="1:11" ht="13" x14ac:dyDescent="0.3">
      <c r="A155" s="321">
        <f>A154+1</f>
        <v>108</v>
      </c>
      <c r="B155" s="104" t="s">
        <v>30</v>
      </c>
      <c r="C155" s="371">
        <v>2020</v>
      </c>
      <c r="D155" s="373">
        <v>1551</v>
      </c>
      <c r="E155" s="328">
        <v>116.32499999999999</v>
      </c>
      <c r="F155" s="328">
        <f>E155+D155</f>
        <v>1667.325</v>
      </c>
      <c r="G155" s="373">
        <v>0</v>
      </c>
      <c r="H155" s="373">
        <v>0</v>
      </c>
      <c r="I155" s="328">
        <v>0</v>
      </c>
      <c r="J155" s="328">
        <f>J154+F155-G155-I155</f>
        <v>5585866.3650000002</v>
      </c>
      <c r="K155" s="328">
        <f>J155-$J$154</f>
        <v>1667.3250000001863</v>
      </c>
    </row>
    <row r="156" spans="1:11" ht="13" x14ac:dyDescent="0.3">
      <c r="A156" s="321">
        <f t="shared" ref="A156:A179" si="24">A155+1</f>
        <v>109</v>
      </c>
      <c r="B156" s="104" t="s">
        <v>32</v>
      </c>
      <c r="C156" s="371">
        <v>2020</v>
      </c>
      <c r="D156" s="373">
        <v>1453</v>
      </c>
      <c r="E156" s="328">
        <v>108.97499999999999</v>
      </c>
      <c r="F156" s="328">
        <f t="shared" ref="F156:F178" si="25">E156+D156</f>
        <v>1561.9749999999999</v>
      </c>
      <c r="G156" s="373">
        <v>0</v>
      </c>
      <c r="H156" s="373">
        <v>0</v>
      </c>
      <c r="I156" s="328">
        <v>0</v>
      </c>
      <c r="J156" s="328">
        <f t="shared" ref="J156:J178" si="26">J155+F156-G156-I156</f>
        <v>5587428.3399999999</v>
      </c>
      <c r="K156" s="328">
        <f t="shared" ref="K156:K178" si="27">J156-$J$154</f>
        <v>3229.2999999998137</v>
      </c>
    </row>
    <row r="157" spans="1:11" ht="13" x14ac:dyDescent="0.3">
      <c r="A157" s="321">
        <f t="shared" si="24"/>
        <v>110</v>
      </c>
      <c r="B157" s="104" t="s">
        <v>34</v>
      </c>
      <c r="C157" s="371">
        <v>2020</v>
      </c>
      <c r="D157" s="373">
        <v>2114</v>
      </c>
      <c r="E157" s="328">
        <v>158.54999999999998</v>
      </c>
      <c r="F157" s="328">
        <f t="shared" si="25"/>
        <v>2272.5500000000002</v>
      </c>
      <c r="G157" s="373">
        <v>0</v>
      </c>
      <c r="H157" s="373">
        <v>0</v>
      </c>
      <c r="I157" s="328">
        <v>0</v>
      </c>
      <c r="J157" s="328">
        <f t="shared" si="26"/>
        <v>5589700.8899999997</v>
      </c>
      <c r="K157" s="328">
        <f t="shared" si="27"/>
        <v>5501.8499999996275</v>
      </c>
    </row>
    <row r="158" spans="1:11" ht="13" x14ac:dyDescent="0.3">
      <c r="A158" s="321">
        <f t="shared" si="24"/>
        <v>111</v>
      </c>
      <c r="B158" s="104" t="s">
        <v>36</v>
      </c>
      <c r="C158" s="371">
        <v>2020</v>
      </c>
      <c r="D158" s="373">
        <v>1500</v>
      </c>
      <c r="E158" s="328">
        <v>112.5</v>
      </c>
      <c r="F158" s="328">
        <f t="shared" si="25"/>
        <v>1612.5</v>
      </c>
      <c r="G158" s="373">
        <v>0</v>
      </c>
      <c r="H158" s="373">
        <v>0</v>
      </c>
      <c r="I158" s="328">
        <v>0</v>
      </c>
      <c r="J158" s="328">
        <f t="shared" si="26"/>
        <v>5591313.3899999997</v>
      </c>
      <c r="K158" s="328">
        <f t="shared" si="27"/>
        <v>7114.3499999996275</v>
      </c>
    </row>
    <row r="159" spans="1:11" ht="13" x14ac:dyDescent="0.3">
      <c r="A159" s="321">
        <f t="shared" si="24"/>
        <v>112</v>
      </c>
      <c r="B159" s="104" t="s">
        <v>37</v>
      </c>
      <c r="C159" s="371">
        <v>2020</v>
      </c>
      <c r="D159" s="373">
        <v>1500</v>
      </c>
      <c r="E159" s="328">
        <v>112.5</v>
      </c>
      <c r="F159" s="328">
        <f t="shared" si="25"/>
        <v>1612.5</v>
      </c>
      <c r="G159" s="373">
        <v>0</v>
      </c>
      <c r="H159" s="373">
        <v>0</v>
      </c>
      <c r="I159" s="328">
        <v>0</v>
      </c>
      <c r="J159" s="328">
        <f t="shared" si="26"/>
        <v>5592925.8899999997</v>
      </c>
      <c r="K159" s="328">
        <f t="shared" si="27"/>
        <v>8726.8499999996275</v>
      </c>
    </row>
    <row r="160" spans="1:11" ht="13" x14ac:dyDescent="0.3">
      <c r="A160" s="321">
        <f t="shared" si="24"/>
        <v>113</v>
      </c>
      <c r="B160" s="104" t="s">
        <v>471</v>
      </c>
      <c r="C160" s="371">
        <v>2020</v>
      </c>
      <c r="D160" s="373">
        <v>1500</v>
      </c>
      <c r="E160" s="328">
        <v>112.5</v>
      </c>
      <c r="F160" s="328">
        <f t="shared" si="25"/>
        <v>1612.5</v>
      </c>
      <c r="G160" s="373">
        <v>0</v>
      </c>
      <c r="H160" s="373">
        <v>0</v>
      </c>
      <c r="I160" s="328">
        <v>0</v>
      </c>
      <c r="J160" s="328">
        <f t="shared" si="26"/>
        <v>5594538.3899999997</v>
      </c>
      <c r="K160" s="328">
        <f t="shared" si="27"/>
        <v>10339.349999999627</v>
      </c>
    </row>
    <row r="161" spans="1:11" ht="13" x14ac:dyDescent="0.3">
      <c r="A161" s="321">
        <f t="shared" si="24"/>
        <v>114</v>
      </c>
      <c r="B161" s="104" t="s">
        <v>39</v>
      </c>
      <c r="C161" s="371">
        <v>2020</v>
      </c>
      <c r="D161" s="373">
        <v>1500</v>
      </c>
      <c r="E161" s="328">
        <v>112.5</v>
      </c>
      <c r="F161" s="328">
        <f t="shared" si="25"/>
        <v>1612.5</v>
      </c>
      <c r="G161" s="373">
        <v>0</v>
      </c>
      <c r="H161" s="373">
        <v>0</v>
      </c>
      <c r="I161" s="328">
        <v>0</v>
      </c>
      <c r="J161" s="328">
        <f t="shared" si="26"/>
        <v>5596150.8899999997</v>
      </c>
      <c r="K161" s="328">
        <f t="shared" si="27"/>
        <v>11951.849999999627</v>
      </c>
    </row>
    <row r="162" spans="1:11" ht="13" x14ac:dyDescent="0.3">
      <c r="A162" s="321">
        <f t="shared" si="24"/>
        <v>115</v>
      </c>
      <c r="B162" s="104" t="s">
        <v>40</v>
      </c>
      <c r="C162" s="371">
        <v>2020</v>
      </c>
      <c r="D162" s="373">
        <v>1500</v>
      </c>
      <c r="E162" s="328">
        <v>112.5</v>
      </c>
      <c r="F162" s="328">
        <f t="shared" si="25"/>
        <v>1612.5</v>
      </c>
      <c r="G162" s="373">
        <v>0</v>
      </c>
      <c r="H162" s="373">
        <v>0</v>
      </c>
      <c r="I162" s="328">
        <v>0</v>
      </c>
      <c r="J162" s="328">
        <f t="shared" si="26"/>
        <v>5597763.3899999997</v>
      </c>
      <c r="K162" s="328">
        <f t="shared" si="27"/>
        <v>13564.349999999627</v>
      </c>
    </row>
    <row r="163" spans="1:11" ht="13" x14ac:dyDescent="0.3">
      <c r="A163" s="321">
        <f t="shared" si="24"/>
        <v>116</v>
      </c>
      <c r="B163" s="104" t="s">
        <v>41</v>
      </c>
      <c r="C163" s="371">
        <v>2020</v>
      </c>
      <c r="D163" s="373">
        <v>1500</v>
      </c>
      <c r="E163" s="328">
        <v>112.5</v>
      </c>
      <c r="F163" s="328">
        <f t="shared" si="25"/>
        <v>1612.5</v>
      </c>
      <c r="G163" s="373">
        <v>0</v>
      </c>
      <c r="H163" s="373">
        <v>0</v>
      </c>
      <c r="I163" s="328">
        <v>0</v>
      </c>
      <c r="J163" s="328">
        <f t="shared" si="26"/>
        <v>5599375.8899999997</v>
      </c>
      <c r="K163" s="328">
        <f t="shared" si="27"/>
        <v>15176.849999999627</v>
      </c>
    </row>
    <row r="164" spans="1:11" ht="13" x14ac:dyDescent="0.3">
      <c r="A164" s="321">
        <f t="shared" si="24"/>
        <v>117</v>
      </c>
      <c r="B164" s="104" t="s">
        <v>42</v>
      </c>
      <c r="C164" s="371">
        <v>2020</v>
      </c>
      <c r="D164" s="373">
        <v>1500</v>
      </c>
      <c r="E164" s="328">
        <v>112.5</v>
      </c>
      <c r="F164" s="328">
        <f t="shared" si="25"/>
        <v>1612.5</v>
      </c>
      <c r="G164" s="373">
        <v>0</v>
      </c>
      <c r="H164" s="373">
        <v>0</v>
      </c>
      <c r="I164" s="328">
        <v>0</v>
      </c>
      <c r="J164" s="328">
        <f t="shared" si="26"/>
        <v>5600988.3899999997</v>
      </c>
      <c r="K164" s="328">
        <f t="shared" si="27"/>
        <v>16789.349999999627</v>
      </c>
    </row>
    <row r="165" spans="1:11" ht="13" x14ac:dyDescent="0.3">
      <c r="A165" s="321">
        <f t="shared" si="24"/>
        <v>118</v>
      </c>
      <c r="B165" s="104" t="s">
        <v>43</v>
      </c>
      <c r="C165" s="371">
        <v>2020</v>
      </c>
      <c r="D165" s="373">
        <v>1500</v>
      </c>
      <c r="E165" s="328">
        <v>112.5</v>
      </c>
      <c r="F165" s="328">
        <f t="shared" si="25"/>
        <v>1612.5</v>
      </c>
      <c r="G165" s="373">
        <v>0</v>
      </c>
      <c r="H165" s="373">
        <v>0</v>
      </c>
      <c r="I165" s="328">
        <v>0</v>
      </c>
      <c r="J165" s="328">
        <f t="shared" si="26"/>
        <v>5602600.8899999997</v>
      </c>
      <c r="K165" s="328">
        <f t="shared" si="27"/>
        <v>18401.849999999627</v>
      </c>
    </row>
    <row r="166" spans="1:11" ht="13" x14ac:dyDescent="0.3">
      <c r="A166" s="321">
        <f t="shared" si="24"/>
        <v>119</v>
      </c>
      <c r="B166" s="104" t="s">
        <v>27</v>
      </c>
      <c r="C166" s="371">
        <v>2020</v>
      </c>
      <c r="D166" s="373">
        <v>2882</v>
      </c>
      <c r="E166" s="328">
        <v>216.15</v>
      </c>
      <c r="F166" s="328">
        <f t="shared" si="25"/>
        <v>3098.15</v>
      </c>
      <c r="G166" s="373">
        <v>0</v>
      </c>
      <c r="H166" s="373">
        <v>0</v>
      </c>
      <c r="I166" s="328">
        <v>0</v>
      </c>
      <c r="J166" s="328">
        <f t="shared" si="26"/>
        <v>5605699.04</v>
      </c>
      <c r="K166" s="328">
        <f t="shared" si="27"/>
        <v>21500</v>
      </c>
    </row>
    <row r="167" spans="1:11" ht="13" x14ac:dyDescent="0.3">
      <c r="A167" s="321">
        <f t="shared" si="24"/>
        <v>120</v>
      </c>
      <c r="B167" s="104" t="s">
        <v>30</v>
      </c>
      <c r="C167" s="371">
        <v>2021</v>
      </c>
      <c r="D167" s="373">
        <v>0</v>
      </c>
      <c r="E167" s="328">
        <v>0</v>
      </c>
      <c r="F167" s="328">
        <f t="shared" si="25"/>
        <v>0</v>
      </c>
      <c r="G167" s="373">
        <v>0</v>
      </c>
      <c r="H167" s="373">
        <v>0</v>
      </c>
      <c r="I167" s="328">
        <v>0</v>
      </c>
      <c r="J167" s="328">
        <f t="shared" si="26"/>
        <v>5605699.04</v>
      </c>
      <c r="K167" s="328">
        <f t="shared" si="27"/>
        <v>21500</v>
      </c>
    </row>
    <row r="168" spans="1:11" ht="13" x14ac:dyDescent="0.3">
      <c r="A168" s="321">
        <f t="shared" si="24"/>
        <v>121</v>
      </c>
      <c r="B168" s="104" t="s">
        <v>32</v>
      </c>
      <c r="C168" s="371">
        <v>2021</v>
      </c>
      <c r="D168" s="373">
        <v>0</v>
      </c>
      <c r="E168" s="328">
        <v>0</v>
      </c>
      <c r="F168" s="328">
        <f t="shared" si="25"/>
        <v>0</v>
      </c>
      <c r="G168" s="373">
        <v>0</v>
      </c>
      <c r="H168" s="373">
        <v>0</v>
      </c>
      <c r="I168" s="328">
        <v>0</v>
      </c>
      <c r="J168" s="328">
        <f t="shared" si="26"/>
        <v>5605699.04</v>
      </c>
      <c r="K168" s="328">
        <f t="shared" si="27"/>
        <v>21500</v>
      </c>
    </row>
    <row r="169" spans="1:11" ht="13" x14ac:dyDescent="0.3">
      <c r="A169" s="321">
        <f t="shared" si="24"/>
        <v>122</v>
      </c>
      <c r="B169" s="104" t="s">
        <v>34</v>
      </c>
      <c r="C169" s="371">
        <v>2021</v>
      </c>
      <c r="D169" s="373">
        <v>0</v>
      </c>
      <c r="E169" s="328">
        <v>0</v>
      </c>
      <c r="F169" s="328">
        <f t="shared" si="25"/>
        <v>0</v>
      </c>
      <c r="G169" s="373">
        <v>0</v>
      </c>
      <c r="H169" s="373">
        <v>0</v>
      </c>
      <c r="I169" s="328">
        <v>0</v>
      </c>
      <c r="J169" s="328">
        <f t="shared" si="26"/>
        <v>5605699.04</v>
      </c>
      <c r="K169" s="328">
        <f t="shared" si="27"/>
        <v>21500</v>
      </c>
    </row>
    <row r="170" spans="1:11" ht="13" x14ac:dyDescent="0.3">
      <c r="A170" s="321">
        <f t="shared" si="24"/>
        <v>123</v>
      </c>
      <c r="B170" s="104" t="s">
        <v>36</v>
      </c>
      <c r="C170" s="371">
        <v>2021</v>
      </c>
      <c r="D170" s="373">
        <v>0</v>
      </c>
      <c r="E170" s="328">
        <v>0</v>
      </c>
      <c r="F170" s="328">
        <f t="shared" si="25"/>
        <v>0</v>
      </c>
      <c r="G170" s="373">
        <v>0</v>
      </c>
      <c r="H170" s="373">
        <v>0</v>
      </c>
      <c r="I170" s="328">
        <v>0</v>
      </c>
      <c r="J170" s="328">
        <f t="shared" si="26"/>
        <v>5605699.04</v>
      </c>
      <c r="K170" s="328">
        <f t="shared" si="27"/>
        <v>21500</v>
      </c>
    </row>
    <row r="171" spans="1:11" ht="13" x14ac:dyDescent="0.3">
      <c r="A171" s="321">
        <f t="shared" si="24"/>
        <v>124</v>
      </c>
      <c r="B171" s="104" t="s">
        <v>37</v>
      </c>
      <c r="C171" s="371">
        <v>2021</v>
      </c>
      <c r="D171" s="373">
        <v>0</v>
      </c>
      <c r="E171" s="328">
        <v>0</v>
      </c>
      <c r="F171" s="328">
        <f t="shared" si="25"/>
        <v>0</v>
      </c>
      <c r="G171" s="373">
        <v>0</v>
      </c>
      <c r="H171" s="373">
        <v>0</v>
      </c>
      <c r="I171" s="328">
        <v>0</v>
      </c>
      <c r="J171" s="328">
        <f t="shared" si="26"/>
        <v>5605699.04</v>
      </c>
      <c r="K171" s="328">
        <f t="shared" si="27"/>
        <v>21500</v>
      </c>
    </row>
    <row r="172" spans="1:11" ht="13" x14ac:dyDescent="0.3">
      <c r="A172" s="321">
        <f t="shared" si="24"/>
        <v>125</v>
      </c>
      <c r="B172" s="104" t="s">
        <v>471</v>
      </c>
      <c r="C172" s="371">
        <v>2021</v>
      </c>
      <c r="D172" s="373">
        <v>0</v>
      </c>
      <c r="E172" s="328">
        <v>0</v>
      </c>
      <c r="F172" s="328">
        <f t="shared" si="25"/>
        <v>0</v>
      </c>
      <c r="G172" s="373">
        <v>0</v>
      </c>
      <c r="H172" s="373">
        <v>0</v>
      </c>
      <c r="I172" s="328">
        <v>0</v>
      </c>
      <c r="J172" s="328">
        <f t="shared" si="26"/>
        <v>5605699.04</v>
      </c>
      <c r="K172" s="328">
        <f t="shared" si="27"/>
        <v>21500</v>
      </c>
    </row>
    <row r="173" spans="1:11" ht="13" x14ac:dyDescent="0.3">
      <c r="A173" s="321">
        <f t="shared" si="24"/>
        <v>126</v>
      </c>
      <c r="B173" s="104" t="s">
        <v>39</v>
      </c>
      <c r="C173" s="371">
        <v>2021</v>
      </c>
      <c r="D173" s="373">
        <v>0</v>
      </c>
      <c r="E173" s="328">
        <v>0</v>
      </c>
      <c r="F173" s="328">
        <f t="shared" si="25"/>
        <v>0</v>
      </c>
      <c r="G173" s="373">
        <v>0</v>
      </c>
      <c r="H173" s="373">
        <v>0</v>
      </c>
      <c r="I173" s="328">
        <v>0</v>
      </c>
      <c r="J173" s="328">
        <f t="shared" si="26"/>
        <v>5605699.04</v>
      </c>
      <c r="K173" s="328">
        <f t="shared" si="27"/>
        <v>21500</v>
      </c>
    </row>
    <row r="174" spans="1:11" ht="13" x14ac:dyDescent="0.3">
      <c r="A174" s="321">
        <f t="shared" si="24"/>
        <v>127</v>
      </c>
      <c r="B174" s="104" t="s">
        <v>40</v>
      </c>
      <c r="C174" s="371">
        <v>2021</v>
      </c>
      <c r="D174" s="373">
        <v>0</v>
      </c>
      <c r="E174" s="328">
        <v>0</v>
      </c>
      <c r="F174" s="328">
        <f t="shared" si="25"/>
        <v>0</v>
      </c>
      <c r="G174" s="373">
        <v>0</v>
      </c>
      <c r="H174" s="373">
        <v>0</v>
      </c>
      <c r="I174" s="328">
        <v>0</v>
      </c>
      <c r="J174" s="328">
        <f t="shared" si="26"/>
        <v>5605699.04</v>
      </c>
      <c r="K174" s="328">
        <f t="shared" si="27"/>
        <v>21500</v>
      </c>
    </row>
    <row r="175" spans="1:11" ht="13" x14ac:dyDescent="0.3">
      <c r="A175" s="321">
        <f t="shared" si="24"/>
        <v>128</v>
      </c>
      <c r="B175" s="104" t="s">
        <v>41</v>
      </c>
      <c r="C175" s="371">
        <v>2021</v>
      </c>
      <c r="D175" s="373">
        <v>0</v>
      </c>
      <c r="E175" s="328">
        <v>0</v>
      </c>
      <c r="F175" s="328">
        <f t="shared" si="25"/>
        <v>0</v>
      </c>
      <c r="G175" s="373">
        <v>0</v>
      </c>
      <c r="H175" s="373">
        <v>0</v>
      </c>
      <c r="I175" s="328">
        <v>0</v>
      </c>
      <c r="J175" s="328">
        <f t="shared" si="26"/>
        <v>5605699.04</v>
      </c>
      <c r="K175" s="328">
        <f t="shared" si="27"/>
        <v>21500</v>
      </c>
    </row>
    <row r="176" spans="1:11" ht="13" x14ac:dyDescent="0.3">
      <c r="A176" s="321">
        <f t="shared" si="24"/>
        <v>129</v>
      </c>
      <c r="B176" s="104" t="s">
        <v>42</v>
      </c>
      <c r="C176" s="371">
        <v>2021</v>
      </c>
      <c r="D176" s="373">
        <v>0</v>
      </c>
      <c r="E176" s="328">
        <v>0</v>
      </c>
      <c r="F176" s="328">
        <f t="shared" si="25"/>
        <v>0</v>
      </c>
      <c r="G176" s="373">
        <v>0</v>
      </c>
      <c r="H176" s="373">
        <v>0</v>
      </c>
      <c r="I176" s="328">
        <v>0</v>
      </c>
      <c r="J176" s="328">
        <f t="shared" si="26"/>
        <v>5605699.04</v>
      </c>
      <c r="K176" s="328">
        <f t="shared" si="27"/>
        <v>21500</v>
      </c>
    </row>
    <row r="177" spans="1:11" ht="13" x14ac:dyDescent="0.3">
      <c r="A177" s="321">
        <f t="shared" si="24"/>
        <v>130</v>
      </c>
      <c r="B177" s="104" t="s">
        <v>43</v>
      </c>
      <c r="C177" s="371">
        <v>2021</v>
      </c>
      <c r="D177" s="373">
        <v>0</v>
      </c>
      <c r="E177" s="328">
        <v>0</v>
      </c>
      <c r="F177" s="328">
        <f t="shared" si="25"/>
        <v>0</v>
      </c>
      <c r="G177" s="373">
        <v>0</v>
      </c>
      <c r="H177" s="373">
        <v>0</v>
      </c>
      <c r="I177" s="328">
        <v>0</v>
      </c>
      <c r="J177" s="328">
        <f t="shared" si="26"/>
        <v>5605699.04</v>
      </c>
      <c r="K177" s="328">
        <f t="shared" si="27"/>
        <v>21500</v>
      </c>
    </row>
    <row r="178" spans="1:11" ht="13" x14ac:dyDescent="0.3">
      <c r="A178" s="321">
        <f t="shared" si="24"/>
        <v>131</v>
      </c>
      <c r="B178" s="104" t="s">
        <v>27</v>
      </c>
      <c r="C178" s="371">
        <v>2021</v>
      </c>
      <c r="D178" s="373">
        <v>0</v>
      </c>
      <c r="E178" s="328">
        <v>0</v>
      </c>
      <c r="F178" s="328">
        <f t="shared" si="25"/>
        <v>0</v>
      </c>
      <c r="G178" s="373">
        <v>0</v>
      </c>
      <c r="H178" s="373">
        <v>0</v>
      </c>
      <c r="I178" s="328">
        <v>0</v>
      </c>
      <c r="J178" s="328">
        <f t="shared" si="26"/>
        <v>5605699.04</v>
      </c>
      <c r="K178" s="335">
        <f t="shared" si="27"/>
        <v>21500</v>
      </c>
    </row>
    <row r="179" spans="1:11" ht="13" x14ac:dyDescent="0.3">
      <c r="A179" s="321">
        <f t="shared" si="24"/>
        <v>132</v>
      </c>
      <c r="C179" s="396" t="s">
        <v>880</v>
      </c>
      <c r="K179" s="397">
        <f>AVERAGE(K166:K178)</f>
        <v>21500</v>
      </c>
    </row>
    <row r="180" spans="1:11" ht="13" x14ac:dyDescent="0.3">
      <c r="A180" s="321"/>
      <c r="C180" s="396"/>
      <c r="K180" s="397"/>
    </row>
    <row r="181" spans="1:11" ht="13" x14ac:dyDescent="0.3">
      <c r="B181" s="399" t="s">
        <v>892</v>
      </c>
      <c r="D181" s="429" t="s">
        <v>893</v>
      </c>
      <c r="E181" s="429"/>
    </row>
    <row r="182" spans="1:11" ht="13" x14ac:dyDescent="0.3">
      <c r="A182" s="326"/>
      <c r="B182" s="326"/>
      <c r="C182" s="326"/>
      <c r="D182" s="326" t="s">
        <v>12</v>
      </c>
      <c r="E182" s="326" t="s">
        <v>343</v>
      </c>
      <c r="F182" s="326" t="s">
        <v>361</v>
      </c>
      <c r="G182" s="326" t="s">
        <v>13</v>
      </c>
      <c r="H182" s="326" t="s">
        <v>362</v>
      </c>
      <c r="I182" s="326" t="s">
        <v>363</v>
      </c>
      <c r="J182" s="326" t="s">
        <v>364</v>
      </c>
      <c r="K182" s="326" t="s">
        <v>451</v>
      </c>
    </row>
    <row r="183" spans="1:11" ht="25.5" x14ac:dyDescent="0.3">
      <c r="D183" s="363"/>
      <c r="E183" s="400" t="s">
        <v>883</v>
      </c>
      <c r="F183" s="356" t="s">
        <v>884</v>
      </c>
      <c r="G183" s="356"/>
      <c r="H183" s="363"/>
      <c r="I183" s="400" t="s">
        <v>885</v>
      </c>
      <c r="J183" s="400" t="s">
        <v>886</v>
      </c>
      <c r="K183" s="400" t="s">
        <v>887</v>
      </c>
    </row>
    <row r="184" spans="1:11" ht="13" x14ac:dyDescent="0.3">
      <c r="D184" s="363"/>
      <c r="E184" s="400"/>
      <c r="F184" s="356"/>
      <c r="G184" s="351" t="str">
        <f>G51</f>
        <v>Unloaded</v>
      </c>
      <c r="H184" s="363"/>
      <c r="I184" s="400"/>
      <c r="J184" s="400"/>
      <c r="K184" s="400"/>
    </row>
    <row r="185" spans="1:11" ht="13" x14ac:dyDescent="0.3">
      <c r="A185" s="321"/>
      <c r="B185" s="321"/>
      <c r="C185" s="321"/>
      <c r="D185" s="321" t="str">
        <f>D$52</f>
        <v>Forecast</v>
      </c>
      <c r="E185" s="321" t="str">
        <f t="shared" ref="E185:J185" si="28">E$52</f>
        <v>Corporate</v>
      </c>
      <c r="F185" s="321" t="str">
        <f t="shared" si="28"/>
        <v xml:space="preserve">Total </v>
      </c>
      <c r="G185" s="351" t="str">
        <f>G52</f>
        <v>Total</v>
      </c>
      <c r="H185" s="321" t="str">
        <f t="shared" si="28"/>
        <v>Prior Period</v>
      </c>
      <c r="I185" s="321" t="str">
        <f t="shared" si="28"/>
        <v>Over Heads</v>
      </c>
      <c r="J185" s="321" t="str">
        <f t="shared" si="28"/>
        <v>Forecast</v>
      </c>
      <c r="K185" s="321" t="str">
        <f>K$52</f>
        <v>Forecast Period</v>
      </c>
    </row>
    <row r="186" spans="1:11" ht="13" x14ac:dyDescent="0.3">
      <c r="A186" s="325" t="s">
        <v>22</v>
      </c>
      <c r="B186" s="94" t="s">
        <v>23</v>
      </c>
      <c r="C186" s="94" t="s">
        <v>24</v>
      </c>
      <c r="D186" s="326" t="str">
        <f>D$53</f>
        <v>Expenditures</v>
      </c>
      <c r="E186" s="326" t="str">
        <f t="shared" ref="E186:J186" si="29">E$53</f>
        <v>Overheads</v>
      </c>
      <c r="F186" s="326" t="str">
        <f t="shared" si="29"/>
        <v>CWIP Exp</v>
      </c>
      <c r="G186" s="363" t="str">
        <f>G53</f>
        <v>Plant Adds</v>
      </c>
      <c r="H186" s="326" t="str">
        <f t="shared" si="29"/>
        <v>CWIP Closed</v>
      </c>
      <c r="I186" s="326" t="str">
        <f t="shared" si="29"/>
        <v>Closed to PIS</v>
      </c>
      <c r="J186" s="326" t="str">
        <f t="shared" si="29"/>
        <v>Period CWIP</v>
      </c>
      <c r="K186" s="326" t="str">
        <f>K$53</f>
        <v>Incremental CWIP</v>
      </c>
    </row>
    <row r="187" spans="1:11" ht="13" x14ac:dyDescent="0.3">
      <c r="A187" s="321">
        <f>A179+1</f>
        <v>133</v>
      </c>
      <c r="B187" s="104" t="s">
        <v>27</v>
      </c>
      <c r="C187" s="371">
        <v>2019</v>
      </c>
      <c r="D187" s="356" t="s">
        <v>28</v>
      </c>
      <c r="E187" s="356" t="s">
        <v>28</v>
      </c>
      <c r="F187" s="356" t="s">
        <v>28</v>
      </c>
      <c r="G187" s="356" t="s">
        <v>28</v>
      </c>
      <c r="H187" s="356" t="s">
        <v>28</v>
      </c>
      <c r="I187" s="356" t="s">
        <v>28</v>
      </c>
      <c r="J187" s="328">
        <f>H25</f>
        <v>468121962.68000001</v>
      </c>
      <c r="K187" s="356" t="s">
        <v>28</v>
      </c>
    </row>
    <row r="188" spans="1:11" ht="13" x14ac:dyDescent="0.3">
      <c r="A188" s="321">
        <f>A187+1</f>
        <v>134</v>
      </c>
      <c r="B188" s="104" t="s">
        <v>30</v>
      </c>
      <c r="C188" s="371">
        <v>2020</v>
      </c>
      <c r="D188" s="373">
        <v>13509524.999999998</v>
      </c>
      <c r="E188" s="328">
        <v>1013214.3749999998</v>
      </c>
      <c r="F188" s="328">
        <f>E188+D188</f>
        <v>14522739.374999998</v>
      </c>
      <c r="G188" s="373">
        <v>95089</v>
      </c>
      <c r="H188" s="373">
        <v>0</v>
      </c>
      <c r="I188" s="328">
        <v>7131.6750000000002</v>
      </c>
      <c r="J188" s="328">
        <f>J187+F188-G188-I188</f>
        <v>482542481.38</v>
      </c>
      <c r="K188" s="328">
        <f>J188-$J$187</f>
        <v>14420518.699999988</v>
      </c>
    </row>
    <row r="189" spans="1:11" ht="13" x14ac:dyDescent="0.3">
      <c r="A189" s="321">
        <f t="shared" ref="A189:A212" si="30">A188+1</f>
        <v>135</v>
      </c>
      <c r="B189" s="104" t="s">
        <v>32</v>
      </c>
      <c r="C189" s="371">
        <v>2020</v>
      </c>
      <c r="D189" s="373">
        <v>17958037</v>
      </c>
      <c r="E189" s="328">
        <v>1346852.7749999999</v>
      </c>
      <c r="F189" s="328">
        <f t="shared" ref="F189:F211" si="31">E189+D189</f>
        <v>19304889.774999999</v>
      </c>
      <c r="G189" s="373">
        <v>299847.00000000006</v>
      </c>
      <c r="H189" s="373">
        <v>0</v>
      </c>
      <c r="I189" s="328">
        <v>22488.525000000005</v>
      </c>
      <c r="J189" s="328">
        <f t="shared" ref="J189:J211" si="32">J188+F189-G189-I189</f>
        <v>501525035.63</v>
      </c>
      <c r="K189" s="328">
        <f t="shared" ref="K189:K211" si="33">J189-$J$187</f>
        <v>33403072.949999988</v>
      </c>
    </row>
    <row r="190" spans="1:11" ht="13" x14ac:dyDescent="0.3">
      <c r="A190" s="321">
        <f t="shared" si="30"/>
        <v>136</v>
      </c>
      <c r="B190" s="104" t="s">
        <v>34</v>
      </c>
      <c r="C190" s="371">
        <v>2020</v>
      </c>
      <c r="D190" s="373">
        <v>11893100.999999998</v>
      </c>
      <c r="E190" s="328">
        <v>891982.57499999984</v>
      </c>
      <c r="F190" s="328">
        <f t="shared" si="31"/>
        <v>12785083.574999997</v>
      </c>
      <c r="G190" s="373">
        <v>45416.000000000007</v>
      </c>
      <c r="H190" s="373">
        <v>0</v>
      </c>
      <c r="I190" s="328">
        <v>3406.2000000000003</v>
      </c>
      <c r="J190" s="328">
        <f t="shared" si="32"/>
        <v>514261297.005</v>
      </c>
      <c r="K190" s="328">
        <f t="shared" si="33"/>
        <v>46139334.324999988</v>
      </c>
    </row>
    <row r="191" spans="1:11" ht="13" x14ac:dyDescent="0.3">
      <c r="A191" s="321">
        <f t="shared" si="30"/>
        <v>137</v>
      </c>
      <c r="B191" s="104" t="s">
        <v>36</v>
      </c>
      <c r="C191" s="371">
        <v>2020</v>
      </c>
      <c r="D191" s="373">
        <v>14402052</v>
      </c>
      <c r="E191" s="328">
        <v>1080153.8999999999</v>
      </c>
      <c r="F191" s="328">
        <f t="shared" si="31"/>
        <v>15482205.9</v>
      </c>
      <c r="G191" s="373">
        <v>46000</v>
      </c>
      <c r="H191" s="373">
        <v>0</v>
      </c>
      <c r="I191" s="328">
        <v>3450</v>
      </c>
      <c r="J191" s="328">
        <f t="shared" si="32"/>
        <v>529694052.90499997</v>
      </c>
      <c r="K191" s="328">
        <f t="shared" si="33"/>
        <v>61572090.224999964</v>
      </c>
    </row>
    <row r="192" spans="1:11" ht="13" x14ac:dyDescent="0.3">
      <c r="A192" s="321">
        <f t="shared" si="30"/>
        <v>138</v>
      </c>
      <c r="B192" s="104" t="s">
        <v>37</v>
      </c>
      <c r="C192" s="371">
        <v>2020</v>
      </c>
      <c r="D192" s="373">
        <v>13406000</v>
      </c>
      <c r="E192" s="328">
        <v>1005450</v>
      </c>
      <c r="F192" s="328">
        <f t="shared" si="31"/>
        <v>14411450</v>
      </c>
      <c r="G192" s="373">
        <v>46000</v>
      </c>
      <c r="H192" s="373">
        <v>0</v>
      </c>
      <c r="I192" s="328">
        <v>3450</v>
      </c>
      <c r="J192" s="328">
        <f t="shared" si="32"/>
        <v>544056052.90499997</v>
      </c>
      <c r="K192" s="328">
        <f t="shared" si="33"/>
        <v>75934090.224999964</v>
      </c>
    </row>
    <row r="193" spans="1:11" ht="13" x14ac:dyDescent="0.3">
      <c r="A193" s="321">
        <f t="shared" si="30"/>
        <v>139</v>
      </c>
      <c r="B193" s="104" t="s">
        <v>471</v>
      </c>
      <c r="C193" s="371">
        <v>2020</v>
      </c>
      <c r="D193" s="373">
        <v>12894044</v>
      </c>
      <c r="E193" s="328">
        <v>967053.29999999993</v>
      </c>
      <c r="F193" s="328">
        <f t="shared" si="31"/>
        <v>13861097.300000001</v>
      </c>
      <c r="G193" s="373">
        <v>34044</v>
      </c>
      <c r="H193" s="373">
        <v>0</v>
      </c>
      <c r="I193" s="328">
        <v>2553.2999999999997</v>
      </c>
      <c r="J193" s="328">
        <f t="shared" si="32"/>
        <v>557880552.90499997</v>
      </c>
      <c r="K193" s="328">
        <f t="shared" si="33"/>
        <v>89758590.224999964</v>
      </c>
    </row>
    <row r="194" spans="1:11" ht="13" x14ac:dyDescent="0.3">
      <c r="A194" s="321">
        <f t="shared" si="30"/>
        <v>140</v>
      </c>
      <c r="B194" s="104" t="s">
        <v>39</v>
      </c>
      <c r="C194" s="371">
        <v>2020</v>
      </c>
      <c r="D194" s="373">
        <v>13176000</v>
      </c>
      <c r="E194" s="328">
        <v>988200</v>
      </c>
      <c r="F194" s="328">
        <f t="shared" si="31"/>
        <v>14164200</v>
      </c>
      <c r="G194" s="373">
        <v>16000</v>
      </c>
      <c r="H194" s="373">
        <v>0</v>
      </c>
      <c r="I194" s="328">
        <v>1200</v>
      </c>
      <c r="J194" s="328">
        <f t="shared" si="32"/>
        <v>572027552.90499997</v>
      </c>
      <c r="K194" s="328">
        <f t="shared" si="33"/>
        <v>103905590.22499996</v>
      </c>
    </row>
    <row r="195" spans="1:11" ht="13" x14ac:dyDescent="0.3">
      <c r="A195" s="321">
        <f t="shared" si="30"/>
        <v>141</v>
      </c>
      <c r="B195" s="104" t="s">
        <v>40</v>
      </c>
      <c r="C195" s="371">
        <v>2020</v>
      </c>
      <c r="D195" s="373">
        <v>13176000</v>
      </c>
      <c r="E195" s="328">
        <v>988200</v>
      </c>
      <c r="F195" s="328">
        <f t="shared" si="31"/>
        <v>14164200</v>
      </c>
      <c r="G195" s="373">
        <v>16000</v>
      </c>
      <c r="H195" s="373">
        <v>0</v>
      </c>
      <c r="I195" s="328">
        <v>1200</v>
      </c>
      <c r="J195" s="328">
        <f t="shared" si="32"/>
        <v>586174552.90499997</v>
      </c>
      <c r="K195" s="328">
        <f t="shared" si="33"/>
        <v>118052590.22499996</v>
      </c>
    </row>
    <row r="196" spans="1:11" ht="13" x14ac:dyDescent="0.3">
      <c r="A196" s="321">
        <f t="shared" si="30"/>
        <v>142</v>
      </c>
      <c r="B196" s="104" t="s">
        <v>41</v>
      </c>
      <c r="C196" s="371">
        <v>2020</v>
      </c>
      <c r="D196" s="373">
        <v>12666000</v>
      </c>
      <c r="E196" s="328">
        <v>949950</v>
      </c>
      <c r="F196" s="328">
        <f t="shared" si="31"/>
        <v>13615950</v>
      </c>
      <c r="G196" s="373">
        <v>16000</v>
      </c>
      <c r="H196" s="373">
        <v>0</v>
      </c>
      <c r="I196" s="328">
        <v>1200</v>
      </c>
      <c r="J196" s="328">
        <f t="shared" si="32"/>
        <v>599773302.90499997</v>
      </c>
      <c r="K196" s="328">
        <f t="shared" si="33"/>
        <v>131651340.22499996</v>
      </c>
    </row>
    <row r="197" spans="1:11" ht="13" x14ac:dyDescent="0.3">
      <c r="A197" s="321">
        <f t="shared" si="30"/>
        <v>143</v>
      </c>
      <c r="B197" s="104" t="s">
        <v>42</v>
      </c>
      <c r="C197" s="371">
        <v>2020</v>
      </c>
      <c r="D197" s="373">
        <v>12746769</v>
      </c>
      <c r="E197" s="328">
        <v>956007.67499999993</v>
      </c>
      <c r="F197" s="328">
        <f t="shared" si="31"/>
        <v>13702776.675000001</v>
      </c>
      <c r="G197" s="373">
        <v>16000</v>
      </c>
      <c r="H197" s="373">
        <v>0</v>
      </c>
      <c r="I197" s="328">
        <v>1200</v>
      </c>
      <c r="J197" s="328">
        <f t="shared" si="32"/>
        <v>613458879.57999992</v>
      </c>
      <c r="K197" s="328">
        <f t="shared" si="33"/>
        <v>145336916.89999992</v>
      </c>
    </row>
    <row r="198" spans="1:11" ht="13" x14ac:dyDescent="0.3">
      <c r="A198" s="321">
        <f t="shared" si="30"/>
        <v>144</v>
      </c>
      <c r="B198" s="104" t="s">
        <v>43</v>
      </c>
      <c r="C198" s="371">
        <v>2020</v>
      </c>
      <c r="D198" s="373">
        <v>9112310</v>
      </c>
      <c r="E198" s="328">
        <v>683423.25</v>
      </c>
      <c r="F198" s="328">
        <f t="shared" si="31"/>
        <v>9795733.25</v>
      </c>
      <c r="G198" s="373">
        <v>16000</v>
      </c>
      <c r="H198" s="373">
        <v>0</v>
      </c>
      <c r="I198" s="328">
        <v>1200</v>
      </c>
      <c r="J198" s="328">
        <f t="shared" si="32"/>
        <v>623237412.82999992</v>
      </c>
      <c r="K198" s="328">
        <f t="shared" si="33"/>
        <v>155115450.14999992</v>
      </c>
    </row>
    <row r="199" spans="1:11" ht="13" x14ac:dyDescent="0.3">
      <c r="A199" s="321">
        <f t="shared" si="30"/>
        <v>145</v>
      </c>
      <c r="B199" s="104" t="s">
        <v>27</v>
      </c>
      <c r="C199" s="371">
        <v>2020</v>
      </c>
      <c r="D199" s="373">
        <v>9083762</v>
      </c>
      <c r="E199" s="328">
        <v>681282.15</v>
      </c>
      <c r="F199" s="328">
        <f t="shared" si="31"/>
        <v>9765044.1500000004</v>
      </c>
      <c r="G199" s="373">
        <v>528372696.69999999</v>
      </c>
      <c r="H199" s="373">
        <v>378879722.69999999</v>
      </c>
      <c r="I199" s="328">
        <v>11211973.049999999</v>
      </c>
      <c r="J199" s="328">
        <f t="shared" si="32"/>
        <v>93417787.229999915</v>
      </c>
      <c r="K199" s="328">
        <f t="shared" si="33"/>
        <v>-374704175.45000011</v>
      </c>
    </row>
    <row r="200" spans="1:11" ht="13" x14ac:dyDescent="0.3">
      <c r="A200" s="321">
        <f t="shared" si="30"/>
        <v>146</v>
      </c>
      <c r="B200" s="104" t="s">
        <v>30</v>
      </c>
      <c r="C200" s="371">
        <v>2021</v>
      </c>
      <c r="D200" s="373">
        <v>4708000</v>
      </c>
      <c r="E200" s="328">
        <v>353100</v>
      </c>
      <c r="F200" s="328">
        <f t="shared" si="31"/>
        <v>5061100</v>
      </c>
      <c r="G200" s="373">
        <v>4508000</v>
      </c>
      <c r="H200" s="373">
        <v>0</v>
      </c>
      <c r="I200" s="328">
        <v>338100</v>
      </c>
      <c r="J200" s="328">
        <f t="shared" si="32"/>
        <v>93632787.229999915</v>
      </c>
      <c r="K200" s="328">
        <f t="shared" si="33"/>
        <v>-374489175.45000011</v>
      </c>
    </row>
    <row r="201" spans="1:11" ht="13" x14ac:dyDescent="0.3">
      <c r="A201" s="321">
        <f t="shared" si="30"/>
        <v>147</v>
      </c>
      <c r="B201" s="104" t="s">
        <v>32</v>
      </c>
      <c r="C201" s="371">
        <v>2021</v>
      </c>
      <c r="D201" s="373">
        <v>5510000</v>
      </c>
      <c r="E201" s="328">
        <v>413250</v>
      </c>
      <c r="F201" s="328">
        <f t="shared" si="31"/>
        <v>5923250</v>
      </c>
      <c r="G201" s="373">
        <v>5210000</v>
      </c>
      <c r="H201" s="373">
        <v>0</v>
      </c>
      <c r="I201" s="328">
        <v>390750</v>
      </c>
      <c r="J201" s="328">
        <f t="shared" si="32"/>
        <v>93955287.229999915</v>
      </c>
      <c r="K201" s="328">
        <f t="shared" si="33"/>
        <v>-374166675.45000011</v>
      </c>
    </row>
    <row r="202" spans="1:11" ht="13" x14ac:dyDescent="0.3">
      <c r="A202" s="321">
        <f t="shared" si="30"/>
        <v>148</v>
      </c>
      <c r="B202" s="104" t="s">
        <v>34</v>
      </c>
      <c r="C202" s="371">
        <v>2021</v>
      </c>
      <c r="D202" s="373">
        <v>6510000</v>
      </c>
      <c r="E202" s="328">
        <v>488250</v>
      </c>
      <c r="F202" s="328">
        <f t="shared" si="31"/>
        <v>6998250</v>
      </c>
      <c r="G202" s="373">
        <v>6210000</v>
      </c>
      <c r="H202" s="373">
        <v>0</v>
      </c>
      <c r="I202" s="328">
        <v>465750</v>
      </c>
      <c r="J202" s="328">
        <f t="shared" si="32"/>
        <v>94277787.229999915</v>
      </c>
      <c r="K202" s="328">
        <f t="shared" si="33"/>
        <v>-373844175.45000011</v>
      </c>
    </row>
    <row r="203" spans="1:11" ht="13" x14ac:dyDescent="0.3">
      <c r="A203" s="321">
        <f t="shared" si="30"/>
        <v>149</v>
      </c>
      <c r="B203" s="104" t="s">
        <v>36</v>
      </c>
      <c r="C203" s="371">
        <v>2021</v>
      </c>
      <c r="D203" s="373">
        <v>6510000</v>
      </c>
      <c r="E203" s="328">
        <v>488250</v>
      </c>
      <c r="F203" s="328">
        <f t="shared" si="31"/>
        <v>6998250</v>
      </c>
      <c r="G203" s="373">
        <v>6210000</v>
      </c>
      <c r="H203" s="373">
        <v>0</v>
      </c>
      <c r="I203" s="328">
        <v>465750</v>
      </c>
      <c r="J203" s="328">
        <f t="shared" si="32"/>
        <v>94600287.229999915</v>
      </c>
      <c r="K203" s="328">
        <f t="shared" si="33"/>
        <v>-373521675.45000011</v>
      </c>
    </row>
    <row r="204" spans="1:11" ht="13" x14ac:dyDescent="0.3">
      <c r="A204" s="321">
        <f t="shared" si="30"/>
        <v>150</v>
      </c>
      <c r="B204" s="104" t="s">
        <v>37</v>
      </c>
      <c r="C204" s="371">
        <v>2021</v>
      </c>
      <c r="D204" s="373">
        <v>6510000</v>
      </c>
      <c r="E204" s="328">
        <v>488250</v>
      </c>
      <c r="F204" s="328">
        <f t="shared" si="31"/>
        <v>6998250</v>
      </c>
      <c r="G204" s="373">
        <v>72332577</v>
      </c>
      <c r="H204" s="373">
        <v>66122577.000000007</v>
      </c>
      <c r="I204" s="328">
        <v>465749.99999999942</v>
      </c>
      <c r="J204" s="328">
        <f t="shared" si="32"/>
        <v>28800210.229999915</v>
      </c>
      <c r="K204" s="328">
        <f t="shared" si="33"/>
        <v>-439321752.45000011</v>
      </c>
    </row>
    <row r="205" spans="1:11" ht="13" x14ac:dyDescent="0.3">
      <c r="A205" s="321">
        <f t="shared" si="30"/>
        <v>151</v>
      </c>
      <c r="B205" s="104" t="s">
        <v>471</v>
      </c>
      <c r="C205" s="371">
        <v>2021</v>
      </c>
      <c r="D205" s="373">
        <v>6400000</v>
      </c>
      <c r="E205" s="328">
        <v>480000</v>
      </c>
      <c r="F205" s="328">
        <f t="shared" si="31"/>
        <v>6880000</v>
      </c>
      <c r="G205" s="373">
        <v>6200000</v>
      </c>
      <c r="H205" s="373">
        <v>0</v>
      </c>
      <c r="I205" s="328">
        <v>465000</v>
      </c>
      <c r="J205" s="328">
        <f t="shared" si="32"/>
        <v>29015210.229999915</v>
      </c>
      <c r="K205" s="328">
        <f t="shared" si="33"/>
        <v>-439106752.45000011</v>
      </c>
    </row>
    <row r="206" spans="1:11" ht="13" x14ac:dyDescent="0.3">
      <c r="A206" s="321">
        <f t="shared" si="30"/>
        <v>152</v>
      </c>
      <c r="B206" s="104" t="s">
        <v>39</v>
      </c>
      <c r="C206" s="371">
        <v>2021</v>
      </c>
      <c r="D206" s="373">
        <v>4100000</v>
      </c>
      <c r="E206" s="328">
        <v>307500</v>
      </c>
      <c r="F206" s="328">
        <f t="shared" si="31"/>
        <v>4407500</v>
      </c>
      <c r="G206" s="373">
        <v>4000000</v>
      </c>
      <c r="H206" s="373">
        <v>0</v>
      </c>
      <c r="I206" s="328">
        <v>300000</v>
      </c>
      <c r="J206" s="328">
        <f t="shared" si="32"/>
        <v>29122710.229999915</v>
      </c>
      <c r="K206" s="328">
        <f t="shared" si="33"/>
        <v>-438999252.45000011</v>
      </c>
    </row>
    <row r="207" spans="1:11" ht="13" x14ac:dyDescent="0.3">
      <c r="A207" s="321">
        <f t="shared" si="30"/>
        <v>153</v>
      </c>
      <c r="B207" s="104" t="s">
        <v>40</v>
      </c>
      <c r="C207" s="371">
        <v>2021</v>
      </c>
      <c r="D207" s="373">
        <v>4100000</v>
      </c>
      <c r="E207" s="328">
        <v>307500</v>
      </c>
      <c r="F207" s="328">
        <f t="shared" si="31"/>
        <v>4407500</v>
      </c>
      <c r="G207" s="373">
        <v>11727887.75</v>
      </c>
      <c r="H207" s="373">
        <v>6252887.75</v>
      </c>
      <c r="I207" s="328">
        <v>410625</v>
      </c>
      <c r="J207" s="328">
        <f t="shared" si="32"/>
        <v>21391697.479999915</v>
      </c>
      <c r="K207" s="328">
        <f t="shared" si="33"/>
        <v>-446730265.20000011</v>
      </c>
    </row>
    <row r="208" spans="1:11" ht="13" x14ac:dyDescent="0.3">
      <c r="A208" s="321">
        <f t="shared" si="30"/>
        <v>154</v>
      </c>
      <c r="B208" s="104" t="s">
        <v>41</v>
      </c>
      <c r="C208" s="371">
        <v>2021</v>
      </c>
      <c r="D208" s="373">
        <v>3000000</v>
      </c>
      <c r="E208" s="328">
        <v>225000</v>
      </c>
      <c r="F208" s="328">
        <f t="shared" si="31"/>
        <v>3225000</v>
      </c>
      <c r="G208" s="373">
        <v>3000000</v>
      </c>
      <c r="H208" s="373">
        <v>0</v>
      </c>
      <c r="I208" s="328">
        <v>225000</v>
      </c>
      <c r="J208" s="328">
        <f t="shared" si="32"/>
        <v>21391697.479999915</v>
      </c>
      <c r="K208" s="328">
        <f t="shared" si="33"/>
        <v>-446730265.20000011</v>
      </c>
    </row>
    <row r="209" spans="1:11" ht="13" x14ac:dyDescent="0.3">
      <c r="A209" s="321">
        <f t="shared" si="30"/>
        <v>155</v>
      </c>
      <c r="B209" s="104" t="s">
        <v>42</v>
      </c>
      <c r="C209" s="371">
        <v>2021</v>
      </c>
      <c r="D209" s="373">
        <v>3000000</v>
      </c>
      <c r="E209" s="328">
        <v>225000</v>
      </c>
      <c r="F209" s="328">
        <f t="shared" si="31"/>
        <v>3225000</v>
      </c>
      <c r="G209" s="373">
        <v>8674312.6100000013</v>
      </c>
      <c r="H209" s="373">
        <v>4965082.6100000003</v>
      </c>
      <c r="I209" s="328">
        <v>278192.25000000006</v>
      </c>
      <c r="J209" s="328">
        <f t="shared" si="32"/>
        <v>15664192.619999913</v>
      </c>
      <c r="K209" s="328">
        <f t="shared" si="33"/>
        <v>-452457770.06000012</v>
      </c>
    </row>
    <row r="210" spans="1:11" ht="13" x14ac:dyDescent="0.3">
      <c r="A210" s="321">
        <f t="shared" si="30"/>
        <v>156</v>
      </c>
      <c r="B210" s="104" t="s">
        <v>43</v>
      </c>
      <c r="C210" s="371">
        <v>2021</v>
      </c>
      <c r="D210" s="373">
        <v>3000000</v>
      </c>
      <c r="E210" s="328">
        <v>225000</v>
      </c>
      <c r="F210" s="328">
        <f t="shared" si="31"/>
        <v>3225000</v>
      </c>
      <c r="G210" s="373">
        <v>3000000</v>
      </c>
      <c r="H210" s="373">
        <v>0</v>
      </c>
      <c r="I210" s="328">
        <v>225000</v>
      </c>
      <c r="J210" s="328">
        <f t="shared" si="32"/>
        <v>15664192.619999915</v>
      </c>
      <c r="K210" s="328">
        <f t="shared" si="33"/>
        <v>-452457770.06000006</v>
      </c>
    </row>
    <row r="211" spans="1:11" ht="13" x14ac:dyDescent="0.3">
      <c r="A211" s="321">
        <f t="shared" si="30"/>
        <v>157</v>
      </c>
      <c r="B211" s="104" t="s">
        <v>27</v>
      </c>
      <c r="C211" s="371">
        <v>2021</v>
      </c>
      <c r="D211" s="373">
        <v>2316078.9999999995</v>
      </c>
      <c r="E211" s="328">
        <v>173705.92499999996</v>
      </c>
      <c r="F211" s="328">
        <f t="shared" si="31"/>
        <v>2489784.9249999993</v>
      </c>
      <c r="G211" s="373">
        <v>12447277.51</v>
      </c>
      <c r="H211" s="373">
        <v>6631198.5099999998</v>
      </c>
      <c r="I211" s="328">
        <v>436205.92499999999</v>
      </c>
      <c r="J211" s="328">
        <f t="shared" si="32"/>
        <v>5270494.1099999165</v>
      </c>
      <c r="K211" s="335">
        <f t="shared" si="33"/>
        <v>-462851468.57000011</v>
      </c>
    </row>
    <row r="212" spans="1:11" ht="13" x14ac:dyDescent="0.3">
      <c r="A212" s="321">
        <f t="shared" si="30"/>
        <v>158</v>
      </c>
      <c r="C212" s="396" t="s">
        <v>880</v>
      </c>
      <c r="K212" s="397">
        <f>AVERAGE(K199:K211)</f>
        <v>-419183167.20692325</v>
      </c>
    </row>
    <row r="213" spans="1:11" ht="13" x14ac:dyDescent="0.3">
      <c r="A213" s="321"/>
      <c r="C213" s="396"/>
      <c r="K213" s="397"/>
    </row>
    <row r="214" spans="1:11" ht="13" x14ac:dyDescent="0.3">
      <c r="B214" s="399" t="s">
        <v>894</v>
      </c>
      <c r="D214" s="429" t="s">
        <v>852</v>
      </c>
      <c r="E214" s="429"/>
    </row>
    <row r="215" spans="1:11" ht="13" x14ac:dyDescent="0.3">
      <c r="B215" s="399"/>
      <c r="D215" s="326" t="s">
        <v>12</v>
      </c>
      <c r="E215" s="326" t="s">
        <v>343</v>
      </c>
      <c r="F215" s="326" t="s">
        <v>361</v>
      </c>
      <c r="G215" s="326" t="s">
        <v>13</v>
      </c>
      <c r="H215" s="326" t="s">
        <v>362</v>
      </c>
      <c r="I215" s="326" t="s">
        <v>363</v>
      </c>
      <c r="J215" s="326" t="s">
        <v>364</v>
      </c>
      <c r="K215" s="326" t="s">
        <v>451</v>
      </c>
    </row>
    <row r="216" spans="1:11" ht="25.5" x14ac:dyDescent="0.3">
      <c r="B216" s="399"/>
      <c r="D216" s="363"/>
      <c r="E216" s="400" t="s">
        <v>883</v>
      </c>
      <c r="F216" s="356" t="s">
        <v>884</v>
      </c>
      <c r="G216" s="356"/>
      <c r="H216" s="363"/>
      <c r="I216" s="400" t="s">
        <v>885</v>
      </c>
      <c r="J216" s="400" t="s">
        <v>886</v>
      </c>
      <c r="K216" s="400" t="s">
        <v>887</v>
      </c>
    </row>
    <row r="217" spans="1:11" ht="13" x14ac:dyDescent="0.3">
      <c r="D217" s="363"/>
      <c r="E217" s="363"/>
      <c r="F217" s="363"/>
      <c r="G217" s="321" t="str">
        <f>G51</f>
        <v>Unloaded</v>
      </c>
      <c r="H217" s="363"/>
      <c r="I217" s="363"/>
    </row>
    <row r="218" spans="1:11" ht="13" x14ac:dyDescent="0.3">
      <c r="A218" s="321"/>
      <c r="B218" s="321"/>
      <c r="C218" s="321"/>
      <c r="D218" s="321" t="str">
        <f>D$52</f>
        <v>Forecast</v>
      </c>
      <c r="E218" s="321" t="str">
        <f t="shared" ref="E218:J218" si="34">E$52</f>
        <v>Corporate</v>
      </c>
      <c r="F218" s="321" t="str">
        <f t="shared" si="34"/>
        <v xml:space="preserve">Total </v>
      </c>
      <c r="G218" s="321" t="str">
        <f>G52</f>
        <v>Total</v>
      </c>
      <c r="H218" s="321" t="str">
        <f t="shared" si="34"/>
        <v>Prior Period</v>
      </c>
      <c r="I218" s="321" t="str">
        <f t="shared" si="34"/>
        <v>Over Heads</v>
      </c>
      <c r="J218" s="321" t="str">
        <f t="shared" si="34"/>
        <v>Forecast</v>
      </c>
      <c r="K218" s="321" t="str">
        <f>K$52</f>
        <v>Forecast Period</v>
      </c>
    </row>
    <row r="219" spans="1:11" ht="13" x14ac:dyDescent="0.3">
      <c r="A219" s="325" t="s">
        <v>22</v>
      </c>
      <c r="B219" s="94" t="s">
        <v>23</v>
      </c>
      <c r="C219" s="94" t="s">
        <v>24</v>
      </c>
      <c r="D219" s="326" t="str">
        <f>D$53</f>
        <v>Expenditures</v>
      </c>
      <c r="E219" s="326" t="str">
        <f t="shared" ref="E219:J219" si="35">E$53</f>
        <v>Overheads</v>
      </c>
      <c r="F219" s="326" t="str">
        <f t="shared" si="35"/>
        <v>CWIP Exp</v>
      </c>
      <c r="G219" s="326" t="str">
        <f>G53</f>
        <v>Plant Adds</v>
      </c>
      <c r="H219" s="326" t="str">
        <f t="shared" si="35"/>
        <v>CWIP Closed</v>
      </c>
      <c r="I219" s="326" t="str">
        <f t="shared" si="35"/>
        <v>Closed to PIS</v>
      </c>
      <c r="J219" s="326" t="str">
        <f t="shared" si="35"/>
        <v>Period CWIP</v>
      </c>
      <c r="K219" s="326" t="str">
        <f>K$53</f>
        <v>Incremental CWIP</v>
      </c>
    </row>
    <row r="220" spans="1:11" ht="13" x14ac:dyDescent="0.3">
      <c r="A220" s="321">
        <f>A212+1</f>
        <v>159</v>
      </c>
      <c r="B220" s="104" t="s">
        <v>27</v>
      </c>
      <c r="C220" s="371">
        <v>2019</v>
      </c>
      <c r="D220" s="356" t="s">
        <v>28</v>
      </c>
      <c r="E220" s="356" t="s">
        <v>28</v>
      </c>
      <c r="F220" s="356" t="s">
        <v>28</v>
      </c>
      <c r="G220" s="356" t="s">
        <v>28</v>
      </c>
      <c r="H220" s="356" t="s">
        <v>28</v>
      </c>
      <c r="I220" s="356" t="s">
        <v>28</v>
      </c>
      <c r="J220" s="328">
        <f>I25</f>
        <v>0</v>
      </c>
      <c r="K220" s="356" t="s">
        <v>28</v>
      </c>
    </row>
    <row r="221" spans="1:11" ht="13" x14ac:dyDescent="0.3">
      <c r="A221" s="321">
        <f>A220+1</f>
        <v>160</v>
      </c>
      <c r="B221" s="104" t="s">
        <v>30</v>
      </c>
      <c r="C221" s="371">
        <v>2020</v>
      </c>
      <c r="D221" s="373">
        <v>0</v>
      </c>
      <c r="E221" s="328">
        <v>0</v>
      </c>
      <c r="F221" s="328">
        <f>E221+D221</f>
        <v>0</v>
      </c>
      <c r="G221" s="373">
        <v>0</v>
      </c>
      <c r="H221" s="373">
        <v>0</v>
      </c>
      <c r="I221" s="328">
        <v>0</v>
      </c>
      <c r="J221" s="328">
        <f>J220+F221-G221-I221</f>
        <v>0</v>
      </c>
      <c r="K221" s="328">
        <f>J221-$J$220</f>
        <v>0</v>
      </c>
    </row>
    <row r="222" spans="1:11" ht="13" x14ac:dyDescent="0.3">
      <c r="A222" s="321">
        <f t="shared" ref="A222:A245" si="36">A221+1</f>
        <v>161</v>
      </c>
      <c r="B222" s="104" t="s">
        <v>32</v>
      </c>
      <c r="C222" s="371">
        <v>2020</v>
      </c>
      <c r="D222" s="373">
        <v>0</v>
      </c>
      <c r="E222" s="328">
        <v>0</v>
      </c>
      <c r="F222" s="328">
        <f t="shared" ref="F222:F244" si="37">E222+D222</f>
        <v>0</v>
      </c>
      <c r="G222" s="373">
        <v>0</v>
      </c>
      <c r="H222" s="373">
        <v>0</v>
      </c>
      <c r="I222" s="328">
        <v>0</v>
      </c>
      <c r="J222" s="328">
        <f t="shared" ref="J222:J244" si="38">J221+F222-G222-I222</f>
        <v>0</v>
      </c>
      <c r="K222" s="328">
        <f t="shared" ref="K222:K244" si="39">J222-$J$220</f>
        <v>0</v>
      </c>
    </row>
    <row r="223" spans="1:11" ht="13" x14ac:dyDescent="0.3">
      <c r="A223" s="321">
        <f t="shared" si="36"/>
        <v>162</v>
      </c>
      <c r="B223" s="104" t="s">
        <v>34</v>
      </c>
      <c r="C223" s="371">
        <v>2020</v>
      </c>
      <c r="D223" s="373">
        <v>0</v>
      </c>
      <c r="E223" s="328">
        <v>0</v>
      </c>
      <c r="F223" s="328">
        <f t="shared" si="37"/>
        <v>0</v>
      </c>
      <c r="G223" s="373">
        <v>0</v>
      </c>
      <c r="H223" s="373">
        <v>0</v>
      </c>
      <c r="I223" s="328">
        <v>0</v>
      </c>
      <c r="J223" s="328">
        <f t="shared" si="38"/>
        <v>0</v>
      </c>
      <c r="K223" s="328">
        <f t="shared" si="39"/>
        <v>0</v>
      </c>
    </row>
    <row r="224" spans="1:11" ht="13" x14ac:dyDescent="0.3">
      <c r="A224" s="321">
        <f t="shared" si="36"/>
        <v>163</v>
      </c>
      <c r="B224" s="104" t="s">
        <v>36</v>
      </c>
      <c r="C224" s="371">
        <v>2020</v>
      </c>
      <c r="D224" s="373">
        <v>0</v>
      </c>
      <c r="E224" s="328">
        <v>0</v>
      </c>
      <c r="F224" s="328">
        <f t="shared" si="37"/>
        <v>0</v>
      </c>
      <c r="G224" s="373">
        <v>0</v>
      </c>
      <c r="H224" s="373">
        <v>0</v>
      </c>
      <c r="I224" s="328">
        <v>0</v>
      </c>
      <c r="J224" s="328">
        <f t="shared" si="38"/>
        <v>0</v>
      </c>
      <c r="K224" s="328">
        <f t="shared" si="39"/>
        <v>0</v>
      </c>
    </row>
    <row r="225" spans="1:11" ht="13" x14ac:dyDescent="0.3">
      <c r="A225" s="321">
        <f t="shared" si="36"/>
        <v>164</v>
      </c>
      <c r="B225" s="104" t="s">
        <v>37</v>
      </c>
      <c r="C225" s="371">
        <v>2020</v>
      </c>
      <c r="D225" s="373">
        <v>0</v>
      </c>
      <c r="E225" s="328">
        <v>0</v>
      </c>
      <c r="F225" s="328">
        <f t="shared" si="37"/>
        <v>0</v>
      </c>
      <c r="G225" s="373">
        <v>0</v>
      </c>
      <c r="H225" s="373">
        <v>0</v>
      </c>
      <c r="I225" s="328">
        <v>0</v>
      </c>
      <c r="J225" s="328">
        <f t="shared" si="38"/>
        <v>0</v>
      </c>
      <c r="K225" s="328">
        <f t="shared" si="39"/>
        <v>0</v>
      </c>
    </row>
    <row r="226" spans="1:11" ht="13" x14ac:dyDescent="0.3">
      <c r="A226" s="321">
        <f t="shared" si="36"/>
        <v>165</v>
      </c>
      <c r="B226" s="104" t="s">
        <v>471</v>
      </c>
      <c r="C226" s="371">
        <v>2020</v>
      </c>
      <c r="D226" s="373">
        <v>0</v>
      </c>
      <c r="E226" s="328">
        <v>0</v>
      </c>
      <c r="F226" s="328">
        <f t="shared" si="37"/>
        <v>0</v>
      </c>
      <c r="G226" s="373">
        <v>0</v>
      </c>
      <c r="H226" s="373">
        <v>0</v>
      </c>
      <c r="I226" s="328">
        <v>0</v>
      </c>
      <c r="J226" s="328">
        <f t="shared" si="38"/>
        <v>0</v>
      </c>
      <c r="K226" s="328">
        <f t="shared" si="39"/>
        <v>0</v>
      </c>
    </row>
    <row r="227" spans="1:11" ht="13" x14ac:dyDescent="0.3">
      <c r="A227" s="321">
        <f t="shared" si="36"/>
        <v>166</v>
      </c>
      <c r="B227" s="104" t="s">
        <v>39</v>
      </c>
      <c r="C227" s="371">
        <v>2020</v>
      </c>
      <c r="D227" s="373">
        <v>0</v>
      </c>
      <c r="E227" s="328">
        <v>0</v>
      </c>
      <c r="F227" s="328">
        <f t="shared" si="37"/>
        <v>0</v>
      </c>
      <c r="G227" s="373">
        <v>0</v>
      </c>
      <c r="H227" s="373">
        <v>0</v>
      </c>
      <c r="I227" s="328">
        <v>0</v>
      </c>
      <c r="J227" s="328">
        <f t="shared" si="38"/>
        <v>0</v>
      </c>
      <c r="K227" s="328">
        <f t="shared" si="39"/>
        <v>0</v>
      </c>
    </row>
    <row r="228" spans="1:11" ht="13" x14ac:dyDescent="0.3">
      <c r="A228" s="321">
        <f t="shared" si="36"/>
        <v>167</v>
      </c>
      <c r="B228" s="104" t="s">
        <v>40</v>
      </c>
      <c r="C228" s="371">
        <v>2020</v>
      </c>
      <c r="D228" s="373">
        <v>0</v>
      </c>
      <c r="E228" s="328">
        <v>0</v>
      </c>
      <c r="F228" s="328">
        <f t="shared" si="37"/>
        <v>0</v>
      </c>
      <c r="G228" s="373">
        <v>0</v>
      </c>
      <c r="H228" s="373">
        <v>0</v>
      </c>
      <c r="I228" s="328">
        <v>0</v>
      </c>
      <c r="J228" s="328">
        <f t="shared" si="38"/>
        <v>0</v>
      </c>
      <c r="K228" s="328">
        <f t="shared" si="39"/>
        <v>0</v>
      </c>
    </row>
    <row r="229" spans="1:11" ht="13" x14ac:dyDescent="0.3">
      <c r="A229" s="321">
        <f t="shared" si="36"/>
        <v>168</v>
      </c>
      <c r="B229" s="104" t="s">
        <v>41</v>
      </c>
      <c r="C229" s="371">
        <v>2020</v>
      </c>
      <c r="D229" s="373">
        <v>0</v>
      </c>
      <c r="E229" s="328">
        <v>0</v>
      </c>
      <c r="F229" s="328">
        <f t="shared" si="37"/>
        <v>0</v>
      </c>
      <c r="G229" s="373">
        <v>0</v>
      </c>
      <c r="H229" s="373">
        <v>0</v>
      </c>
      <c r="I229" s="328">
        <v>0</v>
      </c>
      <c r="J229" s="328">
        <f t="shared" si="38"/>
        <v>0</v>
      </c>
      <c r="K229" s="328">
        <f t="shared" si="39"/>
        <v>0</v>
      </c>
    </row>
    <row r="230" spans="1:11" ht="13" x14ac:dyDescent="0.3">
      <c r="A230" s="321">
        <f t="shared" si="36"/>
        <v>169</v>
      </c>
      <c r="B230" s="104" t="s">
        <v>42</v>
      </c>
      <c r="C230" s="371">
        <v>2020</v>
      </c>
      <c r="D230" s="373">
        <v>0</v>
      </c>
      <c r="E230" s="328">
        <v>0</v>
      </c>
      <c r="F230" s="328">
        <f t="shared" si="37"/>
        <v>0</v>
      </c>
      <c r="G230" s="373">
        <v>0</v>
      </c>
      <c r="H230" s="373">
        <v>0</v>
      </c>
      <c r="I230" s="328">
        <v>0</v>
      </c>
      <c r="J230" s="328">
        <f t="shared" si="38"/>
        <v>0</v>
      </c>
      <c r="K230" s="328">
        <f t="shared" si="39"/>
        <v>0</v>
      </c>
    </row>
    <row r="231" spans="1:11" ht="13" x14ac:dyDescent="0.3">
      <c r="A231" s="321">
        <f t="shared" si="36"/>
        <v>170</v>
      </c>
      <c r="B231" s="104" t="s">
        <v>43</v>
      </c>
      <c r="C231" s="371">
        <v>2020</v>
      </c>
      <c r="D231" s="373">
        <v>0</v>
      </c>
      <c r="E231" s="328">
        <v>0</v>
      </c>
      <c r="F231" s="328">
        <f t="shared" si="37"/>
        <v>0</v>
      </c>
      <c r="G231" s="373">
        <v>0</v>
      </c>
      <c r="H231" s="373">
        <v>0</v>
      </c>
      <c r="I231" s="328">
        <v>0</v>
      </c>
      <c r="J231" s="328">
        <f t="shared" si="38"/>
        <v>0</v>
      </c>
      <c r="K231" s="328">
        <f t="shared" si="39"/>
        <v>0</v>
      </c>
    </row>
    <row r="232" spans="1:11" ht="13" x14ac:dyDescent="0.3">
      <c r="A232" s="321">
        <f t="shared" si="36"/>
        <v>171</v>
      </c>
      <c r="B232" s="104" t="s">
        <v>27</v>
      </c>
      <c r="C232" s="371">
        <v>2020</v>
      </c>
      <c r="D232" s="373">
        <v>0</v>
      </c>
      <c r="E232" s="328">
        <v>0</v>
      </c>
      <c r="F232" s="328">
        <f t="shared" si="37"/>
        <v>0</v>
      </c>
      <c r="G232" s="373">
        <v>0</v>
      </c>
      <c r="H232" s="373">
        <v>0</v>
      </c>
      <c r="I232" s="328">
        <v>0</v>
      </c>
      <c r="J232" s="328">
        <f t="shared" si="38"/>
        <v>0</v>
      </c>
      <c r="K232" s="328">
        <f t="shared" si="39"/>
        <v>0</v>
      </c>
    </row>
    <row r="233" spans="1:11" ht="13" x14ac:dyDescent="0.3">
      <c r="A233" s="321">
        <f t="shared" si="36"/>
        <v>172</v>
      </c>
      <c r="B233" s="104" t="s">
        <v>30</v>
      </c>
      <c r="C233" s="371">
        <v>2021</v>
      </c>
      <c r="D233" s="373">
        <v>0</v>
      </c>
      <c r="E233" s="328">
        <v>0</v>
      </c>
      <c r="F233" s="328">
        <f t="shared" si="37"/>
        <v>0</v>
      </c>
      <c r="G233" s="373">
        <v>0</v>
      </c>
      <c r="H233" s="373">
        <v>0</v>
      </c>
      <c r="I233" s="328">
        <v>0</v>
      </c>
      <c r="J233" s="328">
        <f t="shared" si="38"/>
        <v>0</v>
      </c>
      <c r="K233" s="328">
        <f t="shared" si="39"/>
        <v>0</v>
      </c>
    </row>
    <row r="234" spans="1:11" ht="13" x14ac:dyDescent="0.3">
      <c r="A234" s="321">
        <f t="shared" si="36"/>
        <v>173</v>
      </c>
      <c r="B234" s="104" t="s">
        <v>32</v>
      </c>
      <c r="C234" s="371">
        <v>2021</v>
      </c>
      <c r="D234" s="373">
        <v>0</v>
      </c>
      <c r="E234" s="328">
        <v>0</v>
      </c>
      <c r="F234" s="328">
        <f t="shared" si="37"/>
        <v>0</v>
      </c>
      <c r="G234" s="373">
        <v>0</v>
      </c>
      <c r="H234" s="373">
        <v>0</v>
      </c>
      <c r="I234" s="328">
        <v>0</v>
      </c>
      <c r="J234" s="328">
        <f t="shared" si="38"/>
        <v>0</v>
      </c>
      <c r="K234" s="328">
        <f t="shared" si="39"/>
        <v>0</v>
      </c>
    </row>
    <row r="235" spans="1:11" ht="13" x14ac:dyDescent="0.3">
      <c r="A235" s="321">
        <f t="shared" si="36"/>
        <v>174</v>
      </c>
      <c r="B235" s="104" t="s">
        <v>34</v>
      </c>
      <c r="C235" s="371">
        <v>2021</v>
      </c>
      <c r="D235" s="373">
        <v>0</v>
      </c>
      <c r="E235" s="328">
        <v>0</v>
      </c>
      <c r="F235" s="328">
        <f t="shared" si="37"/>
        <v>0</v>
      </c>
      <c r="G235" s="373">
        <v>0</v>
      </c>
      <c r="H235" s="373">
        <v>0</v>
      </c>
      <c r="I235" s="328">
        <v>0</v>
      </c>
      <c r="J235" s="328">
        <f t="shared" si="38"/>
        <v>0</v>
      </c>
      <c r="K235" s="328">
        <f t="shared" si="39"/>
        <v>0</v>
      </c>
    </row>
    <row r="236" spans="1:11" ht="13" x14ac:dyDescent="0.3">
      <c r="A236" s="321">
        <f t="shared" si="36"/>
        <v>175</v>
      </c>
      <c r="B236" s="104" t="s">
        <v>36</v>
      </c>
      <c r="C236" s="371">
        <v>2021</v>
      </c>
      <c r="D236" s="373">
        <v>0</v>
      </c>
      <c r="E236" s="328">
        <v>0</v>
      </c>
      <c r="F236" s="328">
        <f t="shared" si="37"/>
        <v>0</v>
      </c>
      <c r="G236" s="373">
        <v>0</v>
      </c>
      <c r="H236" s="373">
        <v>0</v>
      </c>
      <c r="I236" s="328">
        <v>0</v>
      </c>
      <c r="J236" s="328">
        <f t="shared" si="38"/>
        <v>0</v>
      </c>
      <c r="K236" s="328">
        <f t="shared" si="39"/>
        <v>0</v>
      </c>
    </row>
    <row r="237" spans="1:11" ht="13" x14ac:dyDescent="0.3">
      <c r="A237" s="321">
        <f t="shared" si="36"/>
        <v>176</v>
      </c>
      <c r="B237" s="104" t="s">
        <v>37</v>
      </c>
      <c r="C237" s="371">
        <v>2021</v>
      </c>
      <c r="D237" s="373">
        <v>0</v>
      </c>
      <c r="E237" s="328">
        <v>0</v>
      </c>
      <c r="F237" s="328">
        <f t="shared" si="37"/>
        <v>0</v>
      </c>
      <c r="G237" s="373">
        <v>0</v>
      </c>
      <c r="H237" s="373">
        <v>0</v>
      </c>
      <c r="I237" s="328">
        <v>0</v>
      </c>
      <c r="J237" s="328">
        <f t="shared" si="38"/>
        <v>0</v>
      </c>
      <c r="K237" s="328">
        <f t="shared" si="39"/>
        <v>0</v>
      </c>
    </row>
    <row r="238" spans="1:11" ht="13" x14ac:dyDescent="0.3">
      <c r="A238" s="321">
        <f t="shared" si="36"/>
        <v>177</v>
      </c>
      <c r="B238" s="104" t="s">
        <v>471</v>
      </c>
      <c r="C238" s="371">
        <v>2021</v>
      </c>
      <c r="D238" s="373">
        <v>0</v>
      </c>
      <c r="E238" s="328">
        <v>0</v>
      </c>
      <c r="F238" s="328">
        <f t="shared" si="37"/>
        <v>0</v>
      </c>
      <c r="G238" s="373">
        <v>0</v>
      </c>
      <c r="H238" s="373">
        <v>0</v>
      </c>
      <c r="I238" s="328">
        <v>0</v>
      </c>
      <c r="J238" s="328">
        <f t="shared" si="38"/>
        <v>0</v>
      </c>
      <c r="K238" s="328">
        <f t="shared" si="39"/>
        <v>0</v>
      </c>
    </row>
    <row r="239" spans="1:11" ht="13" x14ac:dyDescent="0.3">
      <c r="A239" s="321">
        <f t="shared" si="36"/>
        <v>178</v>
      </c>
      <c r="B239" s="104" t="s">
        <v>39</v>
      </c>
      <c r="C239" s="371">
        <v>2021</v>
      </c>
      <c r="D239" s="373">
        <v>0</v>
      </c>
      <c r="E239" s="328">
        <v>0</v>
      </c>
      <c r="F239" s="328">
        <f t="shared" si="37"/>
        <v>0</v>
      </c>
      <c r="G239" s="373">
        <v>0</v>
      </c>
      <c r="H239" s="373">
        <v>0</v>
      </c>
      <c r="I239" s="328">
        <v>0</v>
      </c>
      <c r="J239" s="328">
        <f t="shared" si="38"/>
        <v>0</v>
      </c>
      <c r="K239" s="328">
        <f t="shared" si="39"/>
        <v>0</v>
      </c>
    </row>
    <row r="240" spans="1:11" ht="13" x14ac:dyDescent="0.3">
      <c r="A240" s="321">
        <f t="shared" si="36"/>
        <v>179</v>
      </c>
      <c r="B240" s="104" t="s">
        <v>40</v>
      </c>
      <c r="C240" s="371">
        <v>2021</v>
      </c>
      <c r="D240" s="373">
        <v>0</v>
      </c>
      <c r="E240" s="328">
        <v>0</v>
      </c>
      <c r="F240" s="328">
        <f t="shared" si="37"/>
        <v>0</v>
      </c>
      <c r="G240" s="373">
        <v>0</v>
      </c>
      <c r="H240" s="373">
        <v>0</v>
      </c>
      <c r="I240" s="328">
        <v>0</v>
      </c>
      <c r="J240" s="328">
        <f t="shared" si="38"/>
        <v>0</v>
      </c>
      <c r="K240" s="328">
        <f t="shared" si="39"/>
        <v>0</v>
      </c>
    </row>
    <row r="241" spans="1:11" ht="13" x14ac:dyDescent="0.3">
      <c r="A241" s="321">
        <f t="shared" si="36"/>
        <v>180</v>
      </c>
      <c r="B241" s="104" t="s">
        <v>41</v>
      </c>
      <c r="C241" s="371">
        <v>2021</v>
      </c>
      <c r="D241" s="373">
        <v>0</v>
      </c>
      <c r="E241" s="328">
        <v>0</v>
      </c>
      <c r="F241" s="328">
        <f t="shared" si="37"/>
        <v>0</v>
      </c>
      <c r="G241" s="373">
        <v>0</v>
      </c>
      <c r="H241" s="373">
        <v>0</v>
      </c>
      <c r="I241" s="328">
        <v>0</v>
      </c>
      <c r="J241" s="328">
        <f t="shared" si="38"/>
        <v>0</v>
      </c>
      <c r="K241" s="328">
        <f t="shared" si="39"/>
        <v>0</v>
      </c>
    </row>
    <row r="242" spans="1:11" ht="13" x14ac:dyDescent="0.3">
      <c r="A242" s="321">
        <f t="shared" si="36"/>
        <v>181</v>
      </c>
      <c r="B242" s="104" t="s">
        <v>42</v>
      </c>
      <c r="C242" s="371">
        <v>2021</v>
      </c>
      <c r="D242" s="373">
        <v>0</v>
      </c>
      <c r="E242" s="328">
        <v>0</v>
      </c>
      <c r="F242" s="328">
        <f t="shared" si="37"/>
        <v>0</v>
      </c>
      <c r="G242" s="373">
        <v>0</v>
      </c>
      <c r="H242" s="373">
        <v>0</v>
      </c>
      <c r="I242" s="328">
        <v>0</v>
      </c>
      <c r="J242" s="328">
        <f t="shared" si="38"/>
        <v>0</v>
      </c>
      <c r="K242" s="328">
        <f t="shared" si="39"/>
        <v>0</v>
      </c>
    </row>
    <row r="243" spans="1:11" ht="13" x14ac:dyDescent="0.3">
      <c r="A243" s="321">
        <f t="shared" si="36"/>
        <v>182</v>
      </c>
      <c r="B243" s="104" t="s">
        <v>43</v>
      </c>
      <c r="C243" s="371">
        <v>2021</v>
      </c>
      <c r="D243" s="373">
        <v>0</v>
      </c>
      <c r="E243" s="328">
        <v>0</v>
      </c>
      <c r="F243" s="328">
        <f t="shared" si="37"/>
        <v>0</v>
      </c>
      <c r="G243" s="373">
        <v>0</v>
      </c>
      <c r="H243" s="373">
        <v>0</v>
      </c>
      <c r="I243" s="328">
        <v>0</v>
      </c>
      <c r="J243" s="328">
        <f t="shared" si="38"/>
        <v>0</v>
      </c>
      <c r="K243" s="328">
        <f t="shared" si="39"/>
        <v>0</v>
      </c>
    </row>
    <row r="244" spans="1:11" ht="13" x14ac:dyDescent="0.3">
      <c r="A244" s="321">
        <f t="shared" si="36"/>
        <v>183</v>
      </c>
      <c r="B244" s="104" t="s">
        <v>27</v>
      </c>
      <c r="C244" s="371">
        <v>2021</v>
      </c>
      <c r="D244" s="373">
        <v>0</v>
      </c>
      <c r="E244" s="328">
        <v>0</v>
      </c>
      <c r="F244" s="328">
        <f t="shared" si="37"/>
        <v>0</v>
      </c>
      <c r="G244" s="373">
        <v>0</v>
      </c>
      <c r="H244" s="373">
        <v>0</v>
      </c>
      <c r="I244" s="328">
        <v>0</v>
      </c>
      <c r="J244" s="328">
        <f t="shared" si="38"/>
        <v>0</v>
      </c>
      <c r="K244" s="335">
        <f t="shared" si="39"/>
        <v>0</v>
      </c>
    </row>
    <row r="245" spans="1:11" ht="13" x14ac:dyDescent="0.3">
      <c r="A245" s="321">
        <f t="shared" si="36"/>
        <v>184</v>
      </c>
      <c r="C245" s="396" t="s">
        <v>880</v>
      </c>
      <c r="K245" s="397">
        <f>AVERAGE(K232:K244)</f>
        <v>0</v>
      </c>
    </row>
    <row r="246" spans="1:11" ht="13" x14ac:dyDescent="0.3">
      <c r="A246" s="321"/>
      <c r="C246" s="396"/>
      <c r="K246" s="397"/>
    </row>
    <row r="247" spans="1:11" ht="13" x14ac:dyDescent="0.3">
      <c r="B247" s="399" t="s">
        <v>895</v>
      </c>
      <c r="D247" s="429" t="s">
        <v>896</v>
      </c>
      <c r="E247" s="429"/>
    </row>
    <row r="248" spans="1:11" ht="13" x14ac:dyDescent="0.3">
      <c r="A248" s="326"/>
      <c r="B248" s="326"/>
      <c r="C248" s="326"/>
      <c r="D248" s="326" t="s">
        <v>12</v>
      </c>
      <c r="E248" s="326" t="s">
        <v>343</v>
      </c>
      <c r="F248" s="326" t="s">
        <v>361</v>
      </c>
      <c r="G248" s="326" t="s">
        <v>13</v>
      </c>
      <c r="H248" s="326" t="s">
        <v>362</v>
      </c>
      <c r="I248" s="326" t="s">
        <v>363</v>
      </c>
      <c r="J248" s="326" t="s">
        <v>364</v>
      </c>
      <c r="K248" s="326" t="s">
        <v>451</v>
      </c>
    </row>
    <row r="249" spans="1:11" ht="25.5" x14ac:dyDescent="0.3">
      <c r="D249" s="363"/>
      <c r="E249" s="400" t="s">
        <v>883</v>
      </c>
      <c r="F249" s="356" t="s">
        <v>884</v>
      </c>
      <c r="G249" s="356"/>
      <c r="H249" s="363"/>
      <c r="I249" s="400" t="s">
        <v>885</v>
      </c>
      <c r="J249" s="400" t="s">
        <v>886</v>
      </c>
      <c r="K249" s="400" t="s">
        <v>887</v>
      </c>
    </row>
    <row r="250" spans="1:11" ht="13" x14ac:dyDescent="0.3">
      <c r="D250" s="363"/>
      <c r="E250" s="363"/>
      <c r="F250" s="363"/>
      <c r="G250" s="321" t="s">
        <v>897</v>
      </c>
      <c r="H250" s="363"/>
      <c r="I250" s="363"/>
    </row>
    <row r="251" spans="1:11" ht="13" x14ac:dyDescent="0.3">
      <c r="A251" s="321"/>
      <c r="B251" s="321"/>
      <c r="C251" s="321"/>
      <c r="D251" s="321" t="str">
        <f>D$52</f>
        <v>Forecast</v>
      </c>
      <c r="E251" s="321" t="str">
        <f t="shared" ref="E251:J251" si="40">E$52</f>
        <v>Corporate</v>
      </c>
      <c r="F251" s="321" t="str">
        <f t="shared" si="40"/>
        <v xml:space="preserve">Total </v>
      </c>
      <c r="G251" s="321" t="s">
        <v>344</v>
      </c>
      <c r="H251" s="321" t="str">
        <f t="shared" si="40"/>
        <v>Prior Period</v>
      </c>
      <c r="I251" s="321" t="str">
        <f t="shared" si="40"/>
        <v>Over Heads</v>
      </c>
      <c r="J251" s="321" t="str">
        <f t="shared" si="40"/>
        <v>Forecast</v>
      </c>
      <c r="K251" s="321" t="str">
        <f>K$52</f>
        <v>Forecast Period</v>
      </c>
    </row>
    <row r="252" spans="1:11" ht="13" x14ac:dyDescent="0.3">
      <c r="A252" s="325" t="s">
        <v>22</v>
      </c>
      <c r="B252" s="94" t="s">
        <v>23</v>
      </c>
      <c r="C252" s="94" t="s">
        <v>24</v>
      </c>
      <c r="D252" s="326" t="str">
        <f>D$53</f>
        <v>Expenditures</v>
      </c>
      <c r="E252" s="326" t="str">
        <f t="shared" ref="E252:J252" si="41">E$53</f>
        <v>Overheads</v>
      </c>
      <c r="F252" s="326" t="str">
        <f t="shared" si="41"/>
        <v>CWIP Exp</v>
      </c>
      <c r="G252" s="326" t="s">
        <v>875</v>
      </c>
      <c r="H252" s="326" t="str">
        <f t="shared" si="41"/>
        <v>CWIP Closed</v>
      </c>
      <c r="I252" s="326" t="str">
        <f t="shared" si="41"/>
        <v>Closed to PIS</v>
      </c>
      <c r="J252" s="326" t="str">
        <f t="shared" si="41"/>
        <v>Period CWIP</v>
      </c>
      <c r="K252" s="326" t="str">
        <f>K$53</f>
        <v>Incremental CWIP</v>
      </c>
    </row>
    <row r="253" spans="1:11" ht="13" x14ac:dyDescent="0.3">
      <c r="A253" s="321">
        <f>A245+1</f>
        <v>185</v>
      </c>
      <c r="B253" s="104" t="s">
        <v>27</v>
      </c>
      <c r="C253" s="371">
        <v>2019</v>
      </c>
      <c r="D253" s="356" t="s">
        <v>28</v>
      </c>
      <c r="E253" s="356" t="s">
        <v>28</v>
      </c>
      <c r="F253" s="356" t="s">
        <v>28</v>
      </c>
      <c r="G253" s="356" t="s">
        <v>28</v>
      </c>
      <c r="H253" s="356" t="s">
        <v>28</v>
      </c>
      <c r="I253" s="356" t="s">
        <v>28</v>
      </c>
      <c r="J253" s="328">
        <f>D45</f>
        <v>0</v>
      </c>
      <c r="K253" s="356" t="s">
        <v>28</v>
      </c>
    </row>
    <row r="254" spans="1:11" ht="13" x14ac:dyDescent="0.3">
      <c r="A254" s="321">
        <f>A253+1</f>
        <v>186</v>
      </c>
      <c r="B254" s="104" t="s">
        <v>30</v>
      </c>
      <c r="C254" s="371">
        <v>2020</v>
      </c>
      <c r="D254" s="373">
        <v>-1942</v>
      </c>
      <c r="E254" s="328">
        <v>-145.65</v>
      </c>
      <c r="F254" s="328">
        <f>E254+D254</f>
        <v>-2087.65</v>
      </c>
      <c r="G254" s="373">
        <v>-1942</v>
      </c>
      <c r="H254" s="373">
        <v>0</v>
      </c>
      <c r="I254" s="328">
        <v>-145.65</v>
      </c>
      <c r="J254" s="328">
        <f>J253+F254-G254-I254</f>
        <v>0</v>
      </c>
      <c r="K254" s="328">
        <f>J254-$J$253</f>
        <v>0</v>
      </c>
    </row>
    <row r="255" spans="1:11" ht="13" x14ac:dyDescent="0.3">
      <c r="A255" s="321">
        <f t="shared" ref="A255:A278" si="42">A254+1</f>
        <v>187</v>
      </c>
      <c r="B255" s="104" t="s">
        <v>32</v>
      </c>
      <c r="C255" s="371">
        <v>2020</v>
      </c>
      <c r="D255" s="373">
        <v>0</v>
      </c>
      <c r="E255" s="328">
        <v>0</v>
      </c>
      <c r="F255" s="328">
        <f t="shared" ref="F255:F277" si="43">E255+D255</f>
        <v>0</v>
      </c>
      <c r="G255" s="373">
        <v>0</v>
      </c>
      <c r="H255" s="373">
        <v>0</v>
      </c>
      <c r="I255" s="328">
        <v>0</v>
      </c>
      <c r="J255" s="328">
        <f t="shared" ref="J255:J277" si="44">J254+F255-G255-I255</f>
        <v>0</v>
      </c>
      <c r="K255" s="328">
        <f t="shared" ref="K255:K277" si="45">J255-$J$253</f>
        <v>0</v>
      </c>
    </row>
    <row r="256" spans="1:11" ht="13" x14ac:dyDescent="0.3">
      <c r="A256" s="321">
        <f t="shared" si="42"/>
        <v>188</v>
      </c>
      <c r="B256" s="104" t="s">
        <v>34</v>
      </c>
      <c r="C256" s="371">
        <v>2020</v>
      </c>
      <c r="D256" s="373">
        <v>0</v>
      </c>
      <c r="E256" s="328">
        <v>0</v>
      </c>
      <c r="F256" s="328">
        <f t="shared" si="43"/>
        <v>0</v>
      </c>
      <c r="G256" s="373">
        <v>0</v>
      </c>
      <c r="H256" s="373">
        <v>0</v>
      </c>
      <c r="I256" s="328">
        <v>0</v>
      </c>
      <c r="J256" s="328">
        <f t="shared" si="44"/>
        <v>0</v>
      </c>
      <c r="K256" s="328">
        <f t="shared" si="45"/>
        <v>0</v>
      </c>
    </row>
    <row r="257" spans="1:11" ht="13" x14ac:dyDescent="0.3">
      <c r="A257" s="321">
        <f t="shared" si="42"/>
        <v>189</v>
      </c>
      <c r="B257" s="104" t="s">
        <v>36</v>
      </c>
      <c r="C257" s="371">
        <v>2020</v>
      </c>
      <c r="D257" s="373">
        <v>0</v>
      </c>
      <c r="E257" s="328">
        <v>0</v>
      </c>
      <c r="F257" s="328">
        <f t="shared" si="43"/>
        <v>0</v>
      </c>
      <c r="G257" s="373">
        <v>0</v>
      </c>
      <c r="H257" s="373">
        <v>0</v>
      </c>
      <c r="I257" s="328">
        <v>0</v>
      </c>
      <c r="J257" s="328">
        <f t="shared" si="44"/>
        <v>0</v>
      </c>
      <c r="K257" s="328">
        <f t="shared" si="45"/>
        <v>0</v>
      </c>
    </row>
    <row r="258" spans="1:11" ht="13" x14ac:dyDescent="0.3">
      <c r="A258" s="321">
        <f t="shared" si="42"/>
        <v>190</v>
      </c>
      <c r="B258" s="104" t="s">
        <v>37</v>
      </c>
      <c r="C258" s="371">
        <v>2020</v>
      </c>
      <c r="D258" s="373">
        <v>0</v>
      </c>
      <c r="E258" s="328">
        <v>0</v>
      </c>
      <c r="F258" s="328">
        <f t="shared" si="43"/>
        <v>0</v>
      </c>
      <c r="G258" s="373">
        <v>0</v>
      </c>
      <c r="H258" s="373">
        <v>0</v>
      </c>
      <c r="I258" s="328">
        <v>0</v>
      </c>
      <c r="J258" s="328">
        <f t="shared" si="44"/>
        <v>0</v>
      </c>
      <c r="K258" s="328">
        <f t="shared" si="45"/>
        <v>0</v>
      </c>
    </row>
    <row r="259" spans="1:11" ht="13" x14ac:dyDescent="0.3">
      <c r="A259" s="321">
        <f t="shared" si="42"/>
        <v>191</v>
      </c>
      <c r="B259" s="104" t="s">
        <v>471</v>
      </c>
      <c r="C259" s="371">
        <v>2020</v>
      </c>
      <c r="D259" s="373">
        <v>0</v>
      </c>
      <c r="E259" s="328">
        <v>0</v>
      </c>
      <c r="F259" s="328">
        <f t="shared" si="43"/>
        <v>0</v>
      </c>
      <c r="G259" s="373">
        <v>0</v>
      </c>
      <c r="H259" s="373">
        <v>0</v>
      </c>
      <c r="I259" s="328">
        <v>0</v>
      </c>
      <c r="J259" s="328">
        <f>J258+F259-G259-I259</f>
        <v>0</v>
      </c>
      <c r="K259" s="328">
        <f t="shared" si="45"/>
        <v>0</v>
      </c>
    </row>
    <row r="260" spans="1:11" ht="13" x14ac:dyDescent="0.3">
      <c r="A260" s="321">
        <f t="shared" si="42"/>
        <v>192</v>
      </c>
      <c r="B260" s="104" t="s">
        <v>39</v>
      </c>
      <c r="C260" s="371">
        <v>2020</v>
      </c>
      <c r="D260" s="373">
        <v>0</v>
      </c>
      <c r="E260" s="328">
        <v>0</v>
      </c>
      <c r="F260" s="328">
        <f t="shared" si="43"/>
        <v>0</v>
      </c>
      <c r="G260" s="373">
        <v>0</v>
      </c>
      <c r="H260" s="373">
        <v>0</v>
      </c>
      <c r="I260" s="328">
        <v>0</v>
      </c>
      <c r="J260" s="328">
        <f t="shared" si="44"/>
        <v>0</v>
      </c>
      <c r="K260" s="328">
        <f t="shared" si="45"/>
        <v>0</v>
      </c>
    </row>
    <row r="261" spans="1:11" ht="13" x14ac:dyDescent="0.3">
      <c r="A261" s="321">
        <f t="shared" si="42"/>
        <v>193</v>
      </c>
      <c r="B261" s="104" t="s">
        <v>40</v>
      </c>
      <c r="C261" s="371">
        <v>2020</v>
      </c>
      <c r="D261" s="373">
        <v>0</v>
      </c>
      <c r="E261" s="328">
        <v>0</v>
      </c>
      <c r="F261" s="328">
        <f t="shared" si="43"/>
        <v>0</v>
      </c>
      <c r="G261" s="373">
        <v>0</v>
      </c>
      <c r="H261" s="373">
        <v>0</v>
      </c>
      <c r="I261" s="328">
        <v>0</v>
      </c>
      <c r="J261" s="328">
        <f t="shared" si="44"/>
        <v>0</v>
      </c>
      <c r="K261" s="328">
        <f t="shared" si="45"/>
        <v>0</v>
      </c>
    </row>
    <row r="262" spans="1:11" ht="13" x14ac:dyDescent="0.3">
      <c r="A262" s="321">
        <f t="shared" si="42"/>
        <v>194</v>
      </c>
      <c r="B262" s="104" t="s">
        <v>41</v>
      </c>
      <c r="C262" s="371">
        <v>2020</v>
      </c>
      <c r="D262" s="373">
        <v>0</v>
      </c>
      <c r="E262" s="328">
        <v>0</v>
      </c>
      <c r="F262" s="328">
        <f t="shared" si="43"/>
        <v>0</v>
      </c>
      <c r="G262" s="373">
        <v>0</v>
      </c>
      <c r="H262" s="373">
        <v>0</v>
      </c>
      <c r="I262" s="328">
        <v>0</v>
      </c>
      <c r="J262" s="328">
        <f t="shared" si="44"/>
        <v>0</v>
      </c>
      <c r="K262" s="328">
        <f t="shared" si="45"/>
        <v>0</v>
      </c>
    </row>
    <row r="263" spans="1:11" ht="13" x14ac:dyDescent="0.3">
      <c r="A263" s="321">
        <f t="shared" si="42"/>
        <v>195</v>
      </c>
      <c r="B263" s="104" t="s">
        <v>42</v>
      </c>
      <c r="C263" s="371">
        <v>2020</v>
      </c>
      <c r="D263" s="373">
        <v>0</v>
      </c>
      <c r="E263" s="328">
        <v>0</v>
      </c>
      <c r="F263" s="328">
        <f t="shared" si="43"/>
        <v>0</v>
      </c>
      <c r="G263" s="373">
        <v>0</v>
      </c>
      <c r="H263" s="373">
        <v>0</v>
      </c>
      <c r="I263" s="328">
        <v>0</v>
      </c>
      <c r="J263" s="328">
        <f t="shared" si="44"/>
        <v>0</v>
      </c>
      <c r="K263" s="328">
        <f t="shared" si="45"/>
        <v>0</v>
      </c>
    </row>
    <row r="264" spans="1:11" ht="13" x14ac:dyDescent="0.3">
      <c r="A264" s="321">
        <f t="shared" si="42"/>
        <v>196</v>
      </c>
      <c r="B264" s="104" t="s">
        <v>43</v>
      </c>
      <c r="C264" s="371">
        <v>2020</v>
      </c>
      <c r="D264" s="373">
        <v>0</v>
      </c>
      <c r="E264" s="328">
        <v>0</v>
      </c>
      <c r="F264" s="328">
        <f t="shared" si="43"/>
        <v>0</v>
      </c>
      <c r="G264" s="373">
        <v>0</v>
      </c>
      <c r="H264" s="373">
        <v>0</v>
      </c>
      <c r="I264" s="328">
        <v>0</v>
      </c>
      <c r="J264" s="328">
        <f t="shared" si="44"/>
        <v>0</v>
      </c>
      <c r="K264" s="328">
        <f t="shared" si="45"/>
        <v>0</v>
      </c>
    </row>
    <row r="265" spans="1:11" ht="13" x14ac:dyDescent="0.3">
      <c r="A265" s="321">
        <f t="shared" si="42"/>
        <v>197</v>
      </c>
      <c r="B265" s="104" t="s">
        <v>27</v>
      </c>
      <c r="C265" s="371">
        <v>2020</v>
      </c>
      <c r="D265" s="373">
        <v>0</v>
      </c>
      <c r="E265" s="328">
        <v>0</v>
      </c>
      <c r="F265" s="328">
        <f t="shared" si="43"/>
        <v>0</v>
      </c>
      <c r="G265" s="373">
        <v>0</v>
      </c>
      <c r="H265" s="373">
        <v>0</v>
      </c>
      <c r="I265" s="328">
        <v>0</v>
      </c>
      <c r="J265" s="328">
        <f t="shared" si="44"/>
        <v>0</v>
      </c>
      <c r="K265" s="328">
        <f t="shared" si="45"/>
        <v>0</v>
      </c>
    </row>
    <row r="266" spans="1:11" ht="13" x14ac:dyDescent="0.3">
      <c r="A266" s="321">
        <f t="shared" si="42"/>
        <v>198</v>
      </c>
      <c r="B266" s="104" t="s">
        <v>30</v>
      </c>
      <c r="C266" s="371">
        <v>2021</v>
      </c>
      <c r="D266" s="373">
        <v>0</v>
      </c>
      <c r="E266" s="328">
        <v>0</v>
      </c>
      <c r="F266" s="328">
        <f t="shared" si="43"/>
        <v>0</v>
      </c>
      <c r="G266" s="373">
        <v>0</v>
      </c>
      <c r="H266" s="373">
        <v>0</v>
      </c>
      <c r="I266" s="328">
        <v>0</v>
      </c>
      <c r="J266" s="328">
        <f t="shared" si="44"/>
        <v>0</v>
      </c>
      <c r="K266" s="328">
        <f t="shared" si="45"/>
        <v>0</v>
      </c>
    </row>
    <row r="267" spans="1:11" ht="13" x14ac:dyDescent="0.3">
      <c r="A267" s="321">
        <f t="shared" si="42"/>
        <v>199</v>
      </c>
      <c r="B267" s="104" t="s">
        <v>32</v>
      </c>
      <c r="C267" s="371">
        <v>2021</v>
      </c>
      <c r="D267" s="373">
        <v>0</v>
      </c>
      <c r="E267" s="328">
        <v>0</v>
      </c>
      <c r="F267" s="328">
        <f t="shared" si="43"/>
        <v>0</v>
      </c>
      <c r="G267" s="373">
        <v>0</v>
      </c>
      <c r="H267" s="373">
        <v>0</v>
      </c>
      <c r="I267" s="328">
        <v>0</v>
      </c>
      <c r="J267" s="328">
        <f t="shared" si="44"/>
        <v>0</v>
      </c>
      <c r="K267" s="328">
        <f t="shared" si="45"/>
        <v>0</v>
      </c>
    </row>
    <row r="268" spans="1:11" ht="13" x14ac:dyDescent="0.3">
      <c r="A268" s="321">
        <f t="shared" si="42"/>
        <v>200</v>
      </c>
      <c r="B268" s="104" t="s">
        <v>34</v>
      </c>
      <c r="C268" s="371">
        <v>2021</v>
      </c>
      <c r="D268" s="373">
        <v>0</v>
      </c>
      <c r="E268" s="328">
        <v>0</v>
      </c>
      <c r="F268" s="328">
        <f t="shared" si="43"/>
        <v>0</v>
      </c>
      <c r="G268" s="373">
        <v>0</v>
      </c>
      <c r="H268" s="373">
        <v>0</v>
      </c>
      <c r="I268" s="328">
        <v>0</v>
      </c>
      <c r="J268" s="328">
        <f t="shared" si="44"/>
        <v>0</v>
      </c>
      <c r="K268" s="328">
        <f t="shared" si="45"/>
        <v>0</v>
      </c>
    </row>
    <row r="269" spans="1:11" ht="13" x14ac:dyDescent="0.3">
      <c r="A269" s="321">
        <f t="shared" si="42"/>
        <v>201</v>
      </c>
      <c r="B269" s="104" t="s">
        <v>36</v>
      </c>
      <c r="C269" s="371">
        <v>2021</v>
      </c>
      <c r="D269" s="373">
        <v>0</v>
      </c>
      <c r="E269" s="328">
        <v>0</v>
      </c>
      <c r="F269" s="328">
        <f t="shared" si="43"/>
        <v>0</v>
      </c>
      <c r="G269" s="373">
        <v>0</v>
      </c>
      <c r="H269" s="373">
        <v>0</v>
      </c>
      <c r="I269" s="328">
        <v>0</v>
      </c>
      <c r="J269" s="328">
        <f t="shared" si="44"/>
        <v>0</v>
      </c>
      <c r="K269" s="328">
        <f t="shared" si="45"/>
        <v>0</v>
      </c>
    </row>
    <row r="270" spans="1:11" ht="13" x14ac:dyDescent="0.3">
      <c r="A270" s="321">
        <f t="shared" si="42"/>
        <v>202</v>
      </c>
      <c r="B270" s="104" t="s">
        <v>37</v>
      </c>
      <c r="C270" s="371">
        <v>2021</v>
      </c>
      <c r="D270" s="373">
        <v>0</v>
      </c>
      <c r="E270" s="328">
        <v>0</v>
      </c>
      <c r="F270" s="328">
        <f t="shared" si="43"/>
        <v>0</v>
      </c>
      <c r="G270" s="373">
        <v>0</v>
      </c>
      <c r="H270" s="373">
        <v>0</v>
      </c>
      <c r="I270" s="328">
        <v>0</v>
      </c>
      <c r="J270" s="328">
        <f t="shared" si="44"/>
        <v>0</v>
      </c>
      <c r="K270" s="328">
        <f t="shared" si="45"/>
        <v>0</v>
      </c>
    </row>
    <row r="271" spans="1:11" ht="13" x14ac:dyDescent="0.3">
      <c r="A271" s="321">
        <f t="shared" si="42"/>
        <v>203</v>
      </c>
      <c r="B271" s="104" t="s">
        <v>471</v>
      </c>
      <c r="C271" s="371">
        <v>2021</v>
      </c>
      <c r="D271" s="373">
        <v>0</v>
      </c>
      <c r="E271" s="328">
        <v>0</v>
      </c>
      <c r="F271" s="328">
        <f t="shared" si="43"/>
        <v>0</v>
      </c>
      <c r="G271" s="373">
        <v>0</v>
      </c>
      <c r="H271" s="373">
        <v>0</v>
      </c>
      <c r="I271" s="328">
        <v>0</v>
      </c>
      <c r="J271" s="328">
        <f t="shared" si="44"/>
        <v>0</v>
      </c>
      <c r="K271" s="328">
        <f t="shared" si="45"/>
        <v>0</v>
      </c>
    </row>
    <row r="272" spans="1:11" ht="13" x14ac:dyDescent="0.3">
      <c r="A272" s="321">
        <f t="shared" si="42"/>
        <v>204</v>
      </c>
      <c r="B272" s="104" t="s">
        <v>39</v>
      </c>
      <c r="C272" s="371">
        <v>2021</v>
      </c>
      <c r="D272" s="373">
        <v>0</v>
      </c>
      <c r="E272" s="328">
        <v>0</v>
      </c>
      <c r="F272" s="328">
        <f t="shared" si="43"/>
        <v>0</v>
      </c>
      <c r="G272" s="373">
        <v>0</v>
      </c>
      <c r="H272" s="373">
        <v>0</v>
      </c>
      <c r="I272" s="328">
        <v>0</v>
      </c>
      <c r="J272" s="328">
        <f t="shared" si="44"/>
        <v>0</v>
      </c>
      <c r="K272" s="328">
        <f t="shared" si="45"/>
        <v>0</v>
      </c>
    </row>
    <row r="273" spans="1:11" ht="13" x14ac:dyDescent="0.3">
      <c r="A273" s="321">
        <f t="shared" si="42"/>
        <v>205</v>
      </c>
      <c r="B273" s="104" t="s">
        <v>40</v>
      </c>
      <c r="C273" s="371">
        <v>2021</v>
      </c>
      <c r="D273" s="373">
        <v>0</v>
      </c>
      <c r="E273" s="328">
        <v>0</v>
      </c>
      <c r="F273" s="328">
        <f t="shared" si="43"/>
        <v>0</v>
      </c>
      <c r="G273" s="373">
        <v>0</v>
      </c>
      <c r="H273" s="373">
        <v>0</v>
      </c>
      <c r="I273" s="328">
        <v>0</v>
      </c>
      <c r="J273" s="328">
        <f t="shared" si="44"/>
        <v>0</v>
      </c>
      <c r="K273" s="328">
        <f t="shared" si="45"/>
        <v>0</v>
      </c>
    </row>
    <row r="274" spans="1:11" ht="13" x14ac:dyDescent="0.3">
      <c r="A274" s="321">
        <f t="shared" si="42"/>
        <v>206</v>
      </c>
      <c r="B274" s="104" t="s">
        <v>41</v>
      </c>
      <c r="C274" s="371">
        <v>2021</v>
      </c>
      <c r="D274" s="373">
        <v>0</v>
      </c>
      <c r="E274" s="328">
        <v>0</v>
      </c>
      <c r="F274" s="328">
        <f t="shared" si="43"/>
        <v>0</v>
      </c>
      <c r="G274" s="373">
        <v>0</v>
      </c>
      <c r="H274" s="373">
        <v>0</v>
      </c>
      <c r="I274" s="328">
        <v>0</v>
      </c>
      <c r="J274" s="328">
        <f t="shared" si="44"/>
        <v>0</v>
      </c>
      <c r="K274" s="328">
        <f t="shared" si="45"/>
        <v>0</v>
      </c>
    </row>
    <row r="275" spans="1:11" ht="13" x14ac:dyDescent="0.3">
      <c r="A275" s="321">
        <f t="shared" si="42"/>
        <v>207</v>
      </c>
      <c r="B275" s="104" t="s">
        <v>42</v>
      </c>
      <c r="C275" s="371">
        <v>2021</v>
      </c>
      <c r="D275" s="373">
        <v>0</v>
      </c>
      <c r="E275" s="328">
        <v>0</v>
      </c>
      <c r="F275" s="328">
        <f t="shared" si="43"/>
        <v>0</v>
      </c>
      <c r="G275" s="373">
        <v>0</v>
      </c>
      <c r="H275" s="373">
        <v>0</v>
      </c>
      <c r="I275" s="328">
        <v>0</v>
      </c>
      <c r="J275" s="328">
        <f t="shared" si="44"/>
        <v>0</v>
      </c>
      <c r="K275" s="328">
        <f t="shared" si="45"/>
        <v>0</v>
      </c>
    </row>
    <row r="276" spans="1:11" ht="13" x14ac:dyDescent="0.3">
      <c r="A276" s="321">
        <f t="shared" si="42"/>
        <v>208</v>
      </c>
      <c r="B276" s="104" t="s">
        <v>43</v>
      </c>
      <c r="C276" s="371">
        <v>2021</v>
      </c>
      <c r="D276" s="373">
        <v>0</v>
      </c>
      <c r="E276" s="328">
        <v>0</v>
      </c>
      <c r="F276" s="328">
        <f t="shared" si="43"/>
        <v>0</v>
      </c>
      <c r="G276" s="373">
        <v>0</v>
      </c>
      <c r="H276" s="373">
        <v>0</v>
      </c>
      <c r="I276" s="328">
        <v>0</v>
      </c>
      <c r="J276" s="328">
        <f t="shared" si="44"/>
        <v>0</v>
      </c>
      <c r="K276" s="328">
        <f t="shared" si="45"/>
        <v>0</v>
      </c>
    </row>
    <row r="277" spans="1:11" ht="13" x14ac:dyDescent="0.3">
      <c r="A277" s="321">
        <f t="shared" si="42"/>
        <v>209</v>
      </c>
      <c r="B277" s="104" t="s">
        <v>27</v>
      </c>
      <c r="C277" s="371">
        <v>2021</v>
      </c>
      <c r="D277" s="373">
        <v>0</v>
      </c>
      <c r="E277" s="328">
        <v>0</v>
      </c>
      <c r="F277" s="328">
        <f t="shared" si="43"/>
        <v>0</v>
      </c>
      <c r="G277" s="373">
        <v>0</v>
      </c>
      <c r="H277" s="373">
        <v>0</v>
      </c>
      <c r="I277" s="328">
        <v>0</v>
      </c>
      <c r="J277" s="328">
        <f t="shared" si="44"/>
        <v>0</v>
      </c>
      <c r="K277" s="335">
        <f t="shared" si="45"/>
        <v>0</v>
      </c>
    </row>
    <row r="278" spans="1:11" ht="13" x14ac:dyDescent="0.3">
      <c r="A278" s="321">
        <f t="shared" si="42"/>
        <v>210</v>
      </c>
      <c r="C278" s="396" t="s">
        <v>880</v>
      </c>
      <c r="K278" s="397">
        <f>AVERAGE(K265:K277)</f>
        <v>0</v>
      </c>
    </row>
    <row r="279" spans="1:11" ht="12.75" customHeight="1" x14ac:dyDescent="0.3">
      <c r="A279" s="321"/>
      <c r="C279" s="396"/>
      <c r="K279" s="397"/>
    </row>
    <row r="280" spans="1:11" ht="13" x14ac:dyDescent="0.3">
      <c r="B280" s="399" t="s">
        <v>898</v>
      </c>
      <c r="D280" s="429" t="s">
        <v>899</v>
      </c>
      <c r="E280" s="429"/>
    </row>
    <row r="281" spans="1:11" ht="13" x14ac:dyDescent="0.3">
      <c r="B281" s="399"/>
      <c r="D281" s="326" t="s">
        <v>12</v>
      </c>
      <c r="E281" s="326" t="s">
        <v>343</v>
      </c>
      <c r="F281" s="326" t="s">
        <v>361</v>
      </c>
      <c r="G281" s="326" t="s">
        <v>13</v>
      </c>
      <c r="H281" s="326" t="s">
        <v>362</v>
      </c>
      <c r="I281" s="326" t="s">
        <v>363</v>
      </c>
      <c r="J281" s="326" t="s">
        <v>364</v>
      </c>
      <c r="K281" s="326" t="s">
        <v>451</v>
      </c>
    </row>
    <row r="282" spans="1:11" ht="25.5" x14ac:dyDescent="0.3">
      <c r="B282" s="399"/>
      <c r="D282" s="363"/>
      <c r="E282" s="400" t="s">
        <v>883</v>
      </c>
      <c r="F282" s="356" t="s">
        <v>884</v>
      </c>
      <c r="G282" s="356"/>
      <c r="H282" s="363"/>
      <c r="I282" s="400" t="s">
        <v>885</v>
      </c>
      <c r="J282" s="400" t="s">
        <v>886</v>
      </c>
      <c r="K282" s="400" t="s">
        <v>887</v>
      </c>
    </row>
    <row r="283" spans="1:11" ht="13" x14ac:dyDescent="0.3">
      <c r="D283" s="363"/>
      <c r="E283" s="400"/>
      <c r="F283" s="356"/>
      <c r="G283" s="321" t="str">
        <f>G51</f>
        <v>Unloaded</v>
      </c>
      <c r="H283" s="363"/>
      <c r="I283" s="400"/>
      <c r="J283" s="400"/>
      <c r="K283" s="400"/>
    </row>
    <row r="284" spans="1:11" ht="13" x14ac:dyDescent="0.3">
      <c r="A284" s="321"/>
      <c r="B284" s="321"/>
      <c r="C284" s="321"/>
      <c r="D284" s="321" t="str">
        <f>D$52</f>
        <v>Forecast</v>
      </c>
      <c r="E284" s="321" t="str">
        <f t="shared" ref="E284:J284" si="46">E$52</f>
        <v>Corporate</v>
      </c>
      <c r="F284" s="321" t="str">
        <f t="shared" si="46"/>
        <v xml:space="preserve">Total </v>
      </c>
      <c r="G284" s="321" t="str">
        <f>G52</f>
        <v>Total</v>
      </c>
      <c r="H284" s="321" t="str">
        <f t="shared" si="46"/>
        <v>Prior Period</v>
      </c>
      <c r="I284" s="321" t="str">
        <f t="shared" si="46"/>
        <v>Over Heads</v>
      </c>
      <c r="J284" s="321" t="str">
        <f t="shared" si="46"/>
        <v>Forecast</v>
      </c>
      <c r="K284" s="321" t="str">
        <f>K$52</f>
        <v>Forecast Period</v>
      </c>
    </row>
    <row r="285" spans="1:11" ht="13" x14ac:dyDescent="0.3">
      <c r="A285" s="325" t="s">
        <v>22</v>
      </c>
      <c r="B285" s="94" t="s">
        <v>23</v>
      </c>
      <c r="C285" s="94" t="s">
        <v>24</v>
      </c>
      <c r="D285" s="326" t="str">
        <f>D$53</f>
        <v>Expenditures</v>
      </c>
      <c r="E285" s="326" t="str">
        <f t="shared" ref="E285:J285" si="47">E$53</f>
        <v>Overheads</v>
      </c>
      <c r="F285" s="326" t="str">
        <f t="shared" si="47"/>
        <v>CWIP Exp</v>
      </c>
      <c r="G285" s="326" t="str">
        <f>G53</f>
        <v>Plant Adds</v>
      </c>
      <c r="H285" s="326" t="str">
        <f t="shared" si="47"/>
        <v>CWIP Closed</v>
      </c>
      <c r="I285" s="326" t="str">
        <f t="shared" si="47"/>
        <v>Closed to PIS</v>
      </c>
      <c r="J285" s="326" t="str">
        <f t="shared" si="47"/>
        <v>Period CWIP</v>
      </c>
      <c r="K285" s="326" t="str">
        <f>K$53</f>
        <v>Incremental CWIP</v>
      </c>
    </row>
    <row r="286" spans="1:11" ht="13" x14ac:dyDescent="0.3">
      <c r="A286" s="321">
        <f>A278+1</f>
        <v>211</v>
      </c>
      <c r="B286" s="104" t="s">
        <v>27</v>
      </c>
      <c r="C286" s="371">
        <v>2019</v>
      </c>
      <c r="D286" s="356" t="s">
        <v>28</v>
      </c>
      <c r="E286" s="356" t="s">
        <v>28</v>
      </c>
      <c r="F286" s="356" t="s">
        <v>28</v>
      </c>
      <c r="G286" s="356" t="s">
        <v>28</v>
      </c>
      <c r="H286" s="356" t="s">
        <v>28</v>
      </c>
      <c r="I286" s="356" t="s">
        <v>28</v>
      </c>
      <c r="J286" s="328">
        <f>E45</f>
        <v>301246.76</v>
      </c>
      <c r="K286" s="356" t="s">
        <v>28</v>
      </c>
    </row>
    <row r="287" spans="1:11" ht="13" x14ac:dyDescent="0.3">
      <c r="A287" s="321">
        <f>A286+1</f>
        <v>212</v>
      </c>
      <c r="B287" s="104" t="s">
        <v>30</v>
      </c>
      <c r="C287" s="371">
        <v>2020</v>
      </c>
      <c r="D287" s="373">
        <v>11020</v>
      </c>
      <c r="E287" s="328">
        <v>826.5</v>
      </c>
      <c r="F287" s="328">
        <f>E287+D287</f>
        <v>11846.5</v>
      </c>
      <c r="G287" s="373">
        <v>0</v>
      </c>
      <c r="H287" s="373">
        <v>0</v>
      </c>
      <c r="I287" s="328">
        <v>0</v>
      </c>
      <c r="J287" s="328">
        <f>J286+F287-G287-I287</f>
        <v>313093.26</v>
      </c>
      <c r="K287" s="328">
        <f>J287-$J$286</f>
        <v>11846.5</v>
      </c>
    </row>
    <row r="288" spans="1:11" ht="13" x14ac:dyDescent="0.3">
      <c r="A288" s="321">
        <f t="shared" ref="A288:A311" si="48">A287+1</f>
        <v>213</v>
      </c>
      <c r="B288" s="104" t="s">
        <v>32</v>
      </c>
      <c r="C288" s="371">
        <v>2020</v>
      </c>
      <c r="D288" s="373">
        <v>8146.0000000000009</v>
      </c>
      <c r="E288" s="328">
        <v>610.95000000000005</v>
      </c>
      <c r="F288" s="328">
        <f t="shared" ref="F288:F310" si="49">E288+D288</f>
        <v>8756.9500000000007</v>
      </c>
      <c r="G288" s="373">
        <v>0</v>
      </c>
      <c r="H288" s="373">
        <v>0</v>
      </c>
      <c r="I288" s="328">
        <v>0</v>
      </c>
      <c r="J288" s="328">
        <f t="shared" ref="J288:J310" si="50">J287+F288-G288-I288</f>
        <v>321850.21000000002</v>
      </c>
      <c r="K288" s="328">
        <f t="shared" ref="K288:K310" si="51">J288-$J$286</f>
        <v>20603.450000000012</v>
      </c>
    </row>
    <row r="289" spans="1:13" ht="13" x14ac:dyDescent="0.3">
      <c r="A289" s="321">
        <f t="shared" si="48"/>
        <v>214</v>
      </c>
      <c r="B289" s="104" t="s">
        <v>34</v>
      </c>
      <c r="C289" s="371">
        <v>2020</v>
      </c>
      <c r="D289" s="373">
        <v>18479</v>
      </c>
      <c r="E289" s="328">
        <v>1385.925</v>
      </c>
      <c r="F289" s="328">
        <f t="shared" si="49"/>
        <v>19864.924999999999</v>
      </c>
      <c r="G289" s="373">
        <v>0</v>
      </c>
      <c r="H289" s="373">
        <v>0</v>
      </c>
      <c r="I289" s="328">
        <v>0</v>
      </c>
      <c r="J289" s="328">
        <f t="shared" si="50"/>
        <v>341715.13500000001</v>
      </c>
      <c r="K289" s="328">
        <f t="shared" si="51"/>
        <v>40468.375</v>
      </c>
    </row>
    <row r="290" spans="1:13" ht="13" x14ac:dyDescent="0.3">
      <c r="A290" s="321">
        <f t="shared" si="48"/>
        <v>215</v>
      </c>
      <c r="B290" s="104" t="s">
        <v>36</v>
      </c>
      <c r="C290" s="371">
        <v>2020</v>
      </c>
      <c r="D290" s="373">
        <v>40000</v>
      </c>
      <c r="E290" s="328">
        <v>3000</v>
      </c>
      <c r="F290" s="328">
        <f t="shared" si="49"/>
        <v>43000</v>
      </c>
      <c r="G290" s="373">
        <v>0</v>
      </c>
      <c r="H290" s="373">
        <v>0</v>
      </c>
      <c r="I290" s="328">
        <v>0</v>
      </c>
      <c r="J290" s="328">
        <f t="shared" si="50"/>
        <v>384715.13500000001</v>
      </c>
      <c r="K290" s="328">
        <f t="shared" si="51"/>
        <v>83468.375</v>
      </c>
    </row>
    <row r="291" spans="1:13" ht="13" x14ac:dyDescent="0.3">
      <c r="A291" s="321">
        <f t="shared" si="48"/>
        <v>216</v>
      </c>
      <c r="B291" s="104" t="s">
        <v>37</v>
      </c>
      <c r="C291" s="371">
        <v>2020</v>
      </c>
      <c r="D291" s="373">
        <v>326231</v>
      </c>
      <c r="E291" s="328">
        <v>24467.325000000001</v>
      </c>
      <c r="F291" s="328">
        <f t="shared" si="49"/>
        <v>350698.32500000001</v>
      </c>
      <c r="G291" s="373">
        <v>0</v>
      </c>
      <c r="H291" s="373">
        <v>0</v>
      </c>
      <c r="I291" s="328">
        <v>0</v>
      </c>
      <c r="J291" s="328">
        <f t="shared" si="50"/>
        <v>735413.46</v>
      </c>
      <c r="K291" s="328">
        <f t="shared" si="51"/>
        <v>434166.69999999995</v>
      </c>
      <c r="L291" s="321"/>
      <c r="M291" s="321"/>
    </row>
    <row r="292" spans="1:13" ht="13" x14ac:dyDescent="0.3">
      <c r="A292" s="321">
        <f t="shared" si="48"/>
        <v>217</v>
      </c>
      <c r="B292" s="104" t="s">
        <v>471</v>
      </c>
      <c r="C292" s="371">
        <v>2020</v>
      </c>
      <c r="D292" s="373">
        <v>350000</v>
      </c>
      <c r="E292" s="328">
        <v>26250</v>
      </c>
      <c r="F292" s="328">
        <f t="shared" si="49"/>
        <v>376250</v>
      </c>
      <c r="G292" s="373">
        <v>0</v>
      </c>
      <c r="H292" s="373">
        <v>0</v>
      </c>
      <c r="I292" s="328">
        <v>0</v>
      </c>
      <c r="J292" s="328">
        <f t="shared" si="50"/>
        <v>1111663.46</v>
      </c>
      <c r="K292" s="328">
        <f t="shared" si="51"/>
        <v>810416.7</v>
      </c>
      <c r="L292" s="326"/>
      <c r="M292" s="326"/>
    </row>
    <row r="293" spans="1:13" ht="13" x14ac:dyDescent="0.3">
      <c r="A293" s="321">
        <f t="shared" si="48"/>
        <v>218</v>
      </c>
      <c r="B293" s="104" t="s">
        <v>39</v>
      </c>
      <c r="C293" s="371">
        <v>2020</v>
      </c>
      <c r="D293" s="373">
        <v>336231</v>
      </c>
      <c r="E293" s="328">
        <v>25217.325000000001</v>
      </c>
      <c r="F293" s="328">
        <f t="shared" si="49"/>
        <v>361448.32500000001</v>
      </c>
      <c r="G293" s="373">
        <v>0</v>
      </c>
      <c r="H293" s="373">
        <v>0</v>
      </c>
      <c r="I293" s="328">
        <v>0</v>
      </c>
      <c r="J293" s="328">
        <f t="shared" si="50"/>
        <v>1473111.7849999999</v>
      </c>
      <c r="K293" s="328">
        <f t="shared" si="51"/>
        <v>1171865.0249999999</v>
      </c>
    </row>
    <row r="294" spans="1:13" ht="13" x14ac:dyDescent="0.3">
      <c r="A294" s="321">
        <f t="shared" si="48"/>
        <v>219</v>
      </c>
      <c r="B294" s="104" t="s">
        <v>40</v>
      </c>
      <c r="C294" s="371">
        <v>2020</v>
      </c>
      <c r="D294" s="373">
        <v>435864</v>
      </c>
      <c r="E294" s="328">
        <v>32689.8</v>
      </c>
      <c r="F294" s="328">
        <f t="shared" si="49"/>
        <v>468553.8</v>
      </c>
      <c r="G294" s="373">
        <v>0</v>
      </c>
      <c r="H294" s="373">
        <v>0</v>
      </c>
      <c r="I294" s="328">
        <v>0</v>
      </c>
      <c r="J294" s="328">
        <f t="shared" si="50"/>
        <v>1941665.585</v>
      </c>
      <c r="K294" s="328">
        <f t="shared" si="51"/>
        <v>1640418.825</v>
      </c>
    </row>
    <row r="295" spans="1:13" ht="13" x14ac:dyDescent="0.3">
      <c r="A295" s="321">
        <f t="shared" si="48"/>
        <v>220</v>
      </c>
      <c r="B295" s="104" t="s">
        <v>41</v>
      </c>
      <c r="C295" s="371">
        <v>2020</v>
      </c>
      <c r="D295" s="373">
        <v>455000</v>
      </c>
      <c r="E295" s="328">
        <v>34125</v>
      </c>
      <c r="F295" s="328">
        <f t="shared" si="49"/>
        <v>489125</v>
      </c>
      <c r="G295" s="373">
        <v>0</v>
      </c>
      <c r="H295" s="373">
        <v>0</v>
      </c>
      <c r="I295" s="328">
        <v>0</v>
      </c>
      <c r="J295" s="328">
        <f t="shared" si="50"/>
        <v>2430790.585</v>
      </c>
      <c r="K295" s="328">
        <f t="shared" si="51"/>
        <v>2129543.8250000002</v>
      </c>
    </row>
    <row r="296" spans="1:13" ht="13" x14ac:dyDescent="0.3">
      <c r="A296" s="321">
        <f t="shared" si="48"/>
        <v>221</v>
      </c>
      <c r="B296" s="104" t="s">
        <v>42</v>
      </c>
      <c r="C296" s="371">
        <v>2020</v>
      </c>
      <c r="D296" s="373">
        <v>1123537</v>
      </c>
      <c r="E296" s="328">
        <v>84265.274999999994</v>
      </c>
      <c r="F296" s="328">
        <f t="shared" si="49"/>
        <v>1207802.2749999999</v>
      </c>
      <c r="G296" s="373">
        <v>0</v>
      </c>
      <c r="H296" s="373">
        <v>0</v>
      </c>
      <c r="I296" s="328">
        <v>0</v>
      </c>
      <c r="J296" s="328">
        <f t="shared" si="50"/>
        <v>3638592.86</v>
      </c>
      <c r="K296" s="328">
        <f t="shared" si="51"/>
        <v>3337346.0999999996</v>
      </c>
    </row>
    <row r="297" spans="1:13" ht="13" x14ac:dyDescent="0.3">
      <c r="A297" s="321">
        <f t="shared" si="48"/>
        <v>222</v>
      </c>
      <c r="B297" s="104" t="s">
        <v>43</v>
      </c>
      <c r="C297" s="371">
        <v>2020</v>
      </c>
      <c r="D297" s="373">
        <v>1266818</v>
      </c>
      <c r="E297" s="328">
        <v>95011.349999999991</v>
      </c>
      <c r="F297" s="328">
        <f t="shared" si="49"/>
        <v>1361829.35</v>
      </c>
      <c r="G297" s="373">
        <v>0</v>
      </c>
      <c r="H297" s="373">
        <v>0</v>
      </c>
      <c r="I297" s="328">
        <v>0</v>
      </c>
      <c r="J297" s="328">
        <f t="shared" si="50"/>
        <v>5000422.21</v>
      </c>
      <c r="K297" s="328">
        <f t="shared" si="51"/>
        <v>4699175.45</v>
      </c>
    </row>
    <row r="298" spans="1:13" ht="13" x14ac:dyDescent="0.3">
      <c r="A298" s="321">
        <f t="shared" si="48"/>
        <v>223</v>
      </c>
      <c r="B298" s="104" t="s">
        <v>27</v>
      </c>
      <c r="C298" s="371">
        <v>2020</v>
      </c>
      <c r="D298" s="373">
        <v>669293</v>
      </c>
      <c r="E298" s="328">
        <v>50196.974999999999</v>
      </c>
      <c r="F298" s="328">
        <f t="shared" si="49"/>
        <v>719489.97499999998</v>
      </c>
      <c r="G298" s="373">
        <v>0</v>
      </c>
      <c r="H298" s="373">
        <v>0</v>
      </c>
      <c r="I298" s="328">
        <v>0</v>
      </c>
      <c r="J298" s="328">
        <f t="shared" si="50"/>
        <v>5719912.1849999996</v>
      </c>
      <c r="K298" s="328">
        <f t="shared" si="51"/>
        <v>5418665.4249999998</v>
      </c>
    </row>
    <row r="299" spans="1:13" ht="13" x14ac:dyDescent="0.3">
      <c r="A299" s="321">
        <f t="shared" si="48"/>
        <v>224</v>
      </c>
      <c r="B299" s="104" t="s">
        <v>30</v>
      </c>
      <c r="C299" s="371">
        <v>2021</v>
      </c>
      <c r="D299" s="373">
        <v>370000</v>
      </c>
      <c r="E299" s="328">
        <v>27750</v>
      </c>
      <c r="F299" s="328">
        <f t="shared" si="49"/>
        <v>397750</v>
      </c>
      <c r="G299" s="373">
        <v>0</v>
      </c>
      <c r="H299" s="373">
        <v>0</v>
      </c>
      <c r="I299" s="328">
        <v>0</v>
      </c>
      <c r="J299" s="328">
        <f t="shared" si="50"/>
        <v>6117662.1849999996</v>
      </c>
      <c r="K299" s="328">
        <f t="shared" si="51"/>
        <v>5816415.4249999998</v>
      </c>
    </row>
    <row r="300" spans="1:13" ht="13" x14ac:dyDescent="0.3">
      <c r="A300" s="321">
        <f t="shared" si="48"/>
        <v>225</v>
      </c>
      <c r="B300" s="104" t="s">
        <v>32</v>
      </c>
      <c r="C300" s="371">
        <v>2021</v>
      </c>
      <c r="D300" s="373">
        <v>370000</v>
      </c>
      <c r="E300" s="328">
        <v>27750</v>
      </c>
      <c r="F300" s="328">
        <f t="shared" si="49"/>
        <v>397750</v>
      </c>
      <c r="G300" s="373">
        <v>0</v>
      </c>
      <c r="H300" s="373">
        <v>0</v>
      </c>
      <c r="I300" s="328">
        <v>0</v>
      </c>
      <c r="J300" s="328">
        <f t="shared" si="50"/>
        <v>6515412.1849999996</v>
      </c>
      <c r="K300" s="328">
        <f t="shared" si="51"/>
        <v>6214165.4249999998</v>
      </c>
    </row>
    <row r="301" spans="1:13" ht="13" x14ac:dyDescent="0.3">
      <c r="A301" s="321">
        <f t="shared" si="48"/>
        <v>226</v>
      </c>
      <c r="B301" s="104" t="s">
        <v>34</v>
      </c>
      <c r="C301" s="371">
        <v>2021</v>
      </c>
      <c r="D301" s="373">
        <v>370000</v>
      </c>
      <c r="E301" s="328">
        <v>27750</v>
      </c>
      <c r="F301" s="328">
        <f t="shared" si="49"/>
        <v>397750</v>
      </c>
      <c r="G301" s="373">
        <v>0</v>
      </c>
      <c r="H301" s="373">
        <v>0</v>
      </c>
      <c r="I301" s="328">
        <v>0</v>
      </c>
      <c r="J301" s="328">
        <f t="shared" si="50"/>
        <v>6913162.1849999996</v>
      </c>
      <c r="K301" s="328">
        <f t="shared" si="51"/>
        <v>6611915.4249999998</v>
      </c>
    </row>
    <row r="302" spans="1:13" ht="13" x14ac:dyDescent="0.3">
      <c r="A302" s="321">
        <f t="shared" si="48"/>
        <v>227</v>
      </c>
      <c r="B302" s="104" t="s">
        <v>36</v>
      </c>
      <c r="C302" s="371">
        <v>2021</v>
      </c>
      <c r="D302" s="373">
        <v>370000</v>
      </c>
      <c r="E302" s="328">
        <v>27750</v>
      </c>
      <c r="F302" s="328">
        <f t="shared" si="49"/>
        <v>397750</v>
      </c>
      <c r="G302" s="373">
        <v>0</v>
      </c>
      <c r="H302" s="373">
        <v>0</v>
      </c>
      <c r="I302" s="328">
        <v>0</v>
      </c>
      <c r="J302" s="328">
        <f t="shared" si="50"/>
        <v>7310912.1849999996</v>
      </c>
      <c r="K302" s="328">
        <f t="shared" si="51"/>
        <v>7009665.4249999998</v>
      </c>
    </row>
    <row r="303" spans="1:13" ht="13" x14ac:dyDescent="0.3">
      <c r="A303" s="321">
        <f t="shared" si="48"/>
        <v>228</v>
      </c>
      <c r="B303" s="104" t="s">
        <v>37</v>
      </c>
      <c r="C303" s="371">
        <v>2021</v>
      </c>
      <c r="D303" s="373">
        <v>370000</v>
      </c>
      <c r="E303" s="328">
        <v>27750</v>
      </c>
      <c r="F303" s="328">
        <f t="shared" si="49"/>
        <v>397750</v>
      </c>
      <c r="G303" s="373">
        <v>0</v>
      </c>
      <c r="H303" s="373">
        <v>0</v>
      </c>
      <c r="I303" s="328">
        <v>0</v>
      </c>
      <c r="J303" s="328">
        <f t="shared" si="50"/>
        <v>7708662.1849999996</v>
      </c>
      <c r="K303" s="328">
        <f t="shared" si="51"/>
        <v>7407415.4249999998</v>
      </c>
    </row>
    <row r="304" spans="1:13" ht="13" x14ac:dyDescent="0.3">
      <c r="A304" s="321">
        <f t="shared" si="48"/>
        <v>229</v>
      </c>
      <c r="B304" s="104" t="s">
        <v>471</v>
      </c>
      <c r="C304" s="371">
        <v>2021</v>
      </c>
      <c r="D304" s="373">
        <v>370000</v>
      </c>
      <c r="E304" s="328">
        <v>27750</v>
      </c>
      <c r="F304" s="328">
        <f t="shared" si="49"/>
        <v>397750</v>
      </c>
      <c r="G304" s="373">
        <v>0</v>
      </c>
      <c r="H304" s="373">
        <v>0</v>
      </c>
      <c r="I304" s="328">
        <v>0</v>
      </c>
      <c r="J304" s="328">
        <f t="shared" si="50"/>
        <v>8106412.1849999996</v>
      </c>
      <c r="K304" s="328">
        <f t="shared" si="51"/>
        <v>7805165.4249999998</v>
      </c>
    </row>
    <row r="305" spans="1:12" ht="13" x14ac:dyDescent="0.3">
      <c r="A305" s="321">
        <f t="shared" si="48"/>
        <v>230</v>
      </c>
      <c r="B305" s="104" t="s">
        <v>39</v>
      </c>
      <c r="C305" s="371">
        <v>2021</v>
      </c>
      <c r="D305" s="373">
        <v>370000</v>
      </c>
      <c r="E305" s="328">
        <v>27750</v>
      </c>
      <c r="F305" s="328">
        <f t="shared" si="49"/>
        <v>397750</v>
      </c>
      <c r="G305" s="373">
        <v>0</v>
      </c>
      <c r="H305" s="373">
        <v>0</v>
      </c>
      <c r="I305" s="328">
        <v>0</v>
      </c>
      <c r="J305" s="328">
        <f t="shared" si="50"/>
        <v>8504162.1849999987</v>
      </c>
      <c r="K305" s="328">
        <f t="shared" si="51"/>
        <v>8202915.4249999989</v>
      </c>
    </row>
    <row r="306" spans="1:12" ht="13" x14ac:dyDescent="0.3">
      <c r="A306" s="321">
        <f t="shared" si="48"/>
        <v>231</v>
      </c>
      <c r="B306" s="104" t="s">
        <v>40</v>
      </c>
      <c r="C306" s="371">
        <v>2021</v>
      </c>
      <c r="D306" s="373">
        <v>370000</v>
      </c>
      <c r="E306" s="328">
        <v>27750</v>
      </c>
      <c r="F306" s="328">
        <f t="shared" si="49"/>
        <v>397750</v>
      </c>
      <c r="G306" s="373">
        <v>0</v>
      </c>
      <c r="H306" s="373">
        <v>0</v>
      </c>
      <c r="I306" s="328">
        <v>0</v>
      </c>
      <c r="J306" s="328">
        <f t="shared" si="50"/>
        <v>8901912.1849999987</v>
      </c>
      <c r="K306" s="328">
        <f t="shared" si="51"/>
        <v>8600665.4249999989</v>
      </c>
    </row>
    <row r="307" spans="1:12" ht="13" x14ac:dyDescent="0.3">
      <c r="A307" s="321">
        <f t="shared" si="48"/>
        <v>232</v>
      </c>
      <c r="B307" s="104" t="s">
        <v>41</v>
      </c>
      <c r="C307" s="371">
        <v>2021</v>
      </c>
      <c r="D307" s="373">
        <v>370000</v>
      </c>
      <c r="E307" s="328">
        <v>27750</v>
      </c>
      <c r="F307" s="328">
        <f t="shared" si="49"/>
        <v>397750</v>
      </c>
      <c r="G307" s="373">
        <v>8671865.7599999979</v>
      </c>
      <c r="H307" s="373">
        <v>301246.76</v>
      </c>
      <c r="I307" s="328">
        <v>627796.42499999981</v>
      </c>
      <c r="J307" s="328">
        <f t="shared" si="50"/>
        <v>9.3132257461547852E-10</v>
      </c>
      <c r="K307" s="328">
        <f t="shared" si="51"/>
        <v>-301246.75999999908</v>
      </c>
    </row>
    <row r="308" spans="1:12" ht="13" x14ac:dyDescent="0.3">
      <c r="A308" s="321">
        <f t="shared" si="48"/>
        <v>233</v>
      </c>
      <c r="B308" s="104" t="s">
        <v>42</v>
      </c>
      <c r="C308" s="371">
        <v>2021</v>
      </c>
      <c r="D308" s="373">
        <v>370000</v>
      </c>
      <c r="E308" s="328">
        <v>27750</v>
      </c>
      <c r="F308" s="328">
        <f t="shared" si="49"/>
        <v>397750</v>
      </c>
      <c r="G308" s="373">
        <v>370000</v>
      </c>
      <c r="H308" s="373">
        <v>0</v>
      </c>
      <c r="I308" s="328">
        <v>27750</v>
      </c>
      <c r="J308" s="328">
        <f t="shared" si="50"/>
        <v>9.3132257461547852E-10</v>
      </c>
      <c r="K308" s="328">
        <f t="shared" si="51"/>
        <v>-301246.75999999908</v>
      </c>
    </row>
    <row r="309" spans="1:12" ht="13" x14ac:dyDescent="0.3">
      <c r="A309" s="321">
        <f t="shared" si="48"/>
        <v>234</v>
      </c>
      <c r="B309" s="104" t="s">
        <v>43</v>
      </c>
      <c r="C309" s="371">
        <v>2021</v>
      </c>
      <c r="D309" s="373">
        <v>370000</v>
      </c>
      <c r="E309" s="328">
        <v>27750</v>
      </c>
      <c r="F309" s="328">
        <f t="shared" si="49"/>
        <v>397750</v>
      </c>
      <c r="G309" s="373">
        <v>370000</v>
      </c>
      <c r="H309" s="373">
        <v>0</v>
      </c>
      <c r="I309" s="328">
        <v>27750</v>
      </c>
      <c r="J309" s="328">
        <f t="shared" si="50"/>
        <v>9.3132257461547852E-10</v>
      </c>
      <c r="K309" s="328">
        <f t="shared" si="51"/>
        <v>-301246.75999999908</v>
      </c>
    </row>
    <row r="310" spans="1:12" ht="13" x14ac:dyDescent="0.3">
      <c r="A310" s="321">
        <f t="shared" si="48"/>
        <v>235</v>
      </c>
      <c r="B310" s="104" t="s">
        <v>27</v>
      </c>
      <c r="C310" s="371">
        <v>2021</v>
      </c>
      <c r="D310" s="373">
        <v>369733</v>
      </c>
      <c r="E310" s="328">
        <v>27729.974999999999</v>
      </c>
      <c r="F310" s="328">
        <f t="shared" si="49"/>
        <v>397462.97499999998</v>
      </c>
      <c r="G310" s="373">
        <v>369733</v>
      </c>
      <c r="H310" s="373">
        <v>0</v>
      </c>
      <c r="I310" s="328">
        <v>27729.974999999999</v>
      </c>
      <c r="J310" s="328">
        <f t="shared" si="50"/>
        <v>9.0949470177292824E-10</v>
      </c>
      <c r="K310" s="335">
        <f t="shared" si="51"/>
        <v>-301246.75999999908</v>
      </c>
    </row>
    <row r="311" spans="1:12" ht="13" x14ac:dyDescent="0.3">
      <c r="A311" s="321">
        <f t="shared" si="48"/>
        <v>236</v>
      </c>
      <c r="C311" s="396" t="s">
        <v>880</v>
      </c>
      <c r="K311" s="397">
        <f>AVERAGE(K298:K310)</f>
        <v>4760153.9834615383</v>
      </c>
    </row>
    <row r="312" spans="1:12" ht="13" x14ac:dyDescent="0.3">
      <c r="A312" s="321"/>
      <c r="C312" s="396"/>
      <c r="K312" s="397"/>
    </row>
    <row r="313" spans="1:12" ht="13" x14ac:dyDescent="0.3">
      <c r="B313" s="399" t="s">
        <v>900</v>
      </c>
      <c r="D313" s="429" t="s">
        <v>861</v>
      </c>
      <c r="E313" s="429"/>
    </row>
    <row r="314" spans="1:12" ht="13" x14ac:dyDescent="0.3">
      <c r="A314" s="326"/>
      <c r="B314" s="326"/>
      <c r="C314" s="326"/>
      <c r="D314" s="326" t="s">
        <v>12</v>
      </c>
      <c r="E314" s="326" t="s">
        <v>343</v>
      </c>
      <c r="F314" s="326" t="s">
        <v>361</v>
      </c>
      <c r="G314" s="326" t="s">
        <v>13</v>
      </c>
      <c r="H314" s="326" t="s">
        <v>362</v>
      </c>
      <c r="I314" s="326" t="s">
        <v>363</v>
      </c>
      <c r="J314" s="326" t="s">
        <v>364</v>
      </c>
      <c r="K314" s="326" t="s">
        <v>451</v>
      </c>
    </row>
    <row r="315" spans="1:12" ht="25.5" x14ac:dyDescent="0.3">
      <c r="D315" s="363"/>
      <c r="E315" s="400" t="s">
        <v>883</v>
      </c>
      <c r="F315" s="356" t="s">
        <v>884</v>
      </c>
      <c r="G315" s="356"/>
      <c r="H315" s="363"/>
      <c r="I315" s="400" t="s">
        <v>885</v>
      </c>
      <c r="J315" s="400" t="s">
        <v>886</v>
      </c>
      <c r="K315" s="400" t="s">
        <v>887</v>
      </c>
    </row>
    <row r="316" spans="1:12" ht="13" x14ac:dyDescent="0.3">
      <c r="D316" s="363"/>
      <c r="E316" s="363"/>
      <c r="F316" s="363"/>
      <c r="G316" s="321" t="str">
        <f>G51</f>
        <v>Unloaded</v>
      </c>
      <c r="H316" s="363"/>
      <c r="I316" s="363"/>
    </row>
    <row r="317" spans="1:12" ht="13" x14ac:dyDescent="0.3">
      <c r="A317" s="321"/>
      <c r="B317" s="321"/>
      <c r="C317" s="321"/>
      <c r="D317" s="321" t="str">
        <f>D$52</f>
        <v>Forecast</v>
      </c>
      <c r="E317" s="321" t="str">
        <f t="shared" ref="E317:J317" si="52">E$52</f>
        <v>Corporate</v>
      </c>
      <c r="F317" s="321" t="str">
        <f t="shared" si="52"/>
        <v xml:space="preserve">Total </v>
      </c>
      <c r="G317" s="321" t="str">
        <f>G52</f>
        <v>Total</v>
      </c>
      <c r="H317" s="321" t="str">
        <f t="shared" si="52"/>
        <v>Prior Period</v>
      </c>
      <c r="I317" s="321" t="str">
        <f t="shared" si="52"/>
        <v>Over Heads</v>
      </c>
      <c r="J317" s="321" t="str">
        <f t="shared" si="52"/>
        <v>Forecast</v>
      </c>
      <c r="K317" s="321" t="str">
        <f>K$52</f>
        <v>Forecast Period</v>
      </c>
    </row>
    <row r="318" spans="1:12" ht="13" x14ac:dyDescent="0.3">
      <c r="A318" s="325" t="s">
        <v>22</v>
      </c>
      <c r="B318" s="94" t="s">
        <v>23</v>
      </c>
      <c r="C318" s="94" t="s">
        <v>24</v>
      </c>
      <c r="D318" s="326" t="str">
        <f>D$53</f>
        <v>Expenditures</v>
      </c>
      <c r="E318" s="326" t="str">
        <f t="shared" ref="E318:J318" si="53">E$53</f>
        <v>Overheads</v>
      </c>
      <c r="F318" s="326" t="str">
        <f t="shared" si="53"/>
        <v>CWIP Exp</v>
      </c>
      <c r="G318" s="326" t="str">
        <f>G53</f>
        <v>Plant Adds</v>
      </c>
      <c r="H318" s="326" t="str">
        <f t="shared" si="53"/>
        <v>CWIP Closed</v>
      </c>
      <c r="I318" s="326" t="str">
        <f t="shared" si="53"/>
        <v>Closed to PIS</v>
      </c>
      <c r="J318" s="326" t="str">
        <f t="shared" si="53"/>
        <v>Period CWIP</v>
      </c>
      <c r="K318" s="326" t="str">
        <f>K$53</f>
        <v>Incremental CWIP</v>
      </c>
    </row>
    <row r="319" spans="1:12" ht="13" x14ac:dyDescent="0.3">
      <c r="A319" s="321">
        <f>A311+1</f>
        <v>237</v>
      </c>
      <c r="B319" s="104" t="s">
        <v>27</v>
      </c>
      <c r="C319" s="371">
        <v>2019</v>
      </c>
      <c r="D319" s="356" t="s">
        <v>28</v>
      </c>
      <c r="E319" s="356" t="s">
        <v>28</v>
      </c>
      <c r="F319" s="356" t="s">
        <v>28</v>
      </c>
      <c r="G319" s="356" t="s">
        <v>28</v>
      </c>
      <c r="H319" s="356" t="s">
        <v>28</v>
      </c>
      <c r="I319" s="356" t="s">
        <v>28</v>
      </c>
      <c r="J319" s="328">
        <f>F45</f>
        <v>49854942.909999996</v>
      </c>
      <c r="K319" s="356" t="s">
        <v>28</v>
      </c>
    </row>
    <row r="320" spans="1:12" ht="13" x14ac:dyDescent="0.3">
      <c r="A320" s="321">
        <f>A319+1</f>
        <v>238</v>
      </c>
      <c r="B320" s="104" t="s">
        <v>30</v>
      </c>
      <c r="C320" s="371">
        <v>2020</v>
      </c>
      <c r="D320" s="373">
        <v>4061738.8068000008</v>
      </c>
      <c r="E320" s="328">
        <v>304630.41051000007</v>
      </c>
      <c r="F320" s="328">
        <f>E320+D320</f>
        <v>4366369.2173100011</v>
      </c>
      <c r="G320" s="373">
        <v>1498716.8068000001</v>
      </c>
      <c r="H320" s="373">
        <v>0</v>
      </c>
      <c r="I320" s="328">
        <v>112403.76051000001</v>
      </c>
      <c r="J320" s="328">
        <f>J319+F320-G320-I320</f>
        <v>52610191.560000002</v>
      </c>
      <c r="K320" s="328">
        <f>J320-$J$319</f>
        <v>2755248.650000006</v>
      </c>
      <c r="L320" s="321"/>
    </row>
    <row r="321" spans="1:12" ht="13" x14ac:dyDescent="0.3">
      <c r="A321" s="321">
        <f t="shared" ref="A321:A344" si="54">A320+1</f>
        <v>239</v>
      </c>
      <c r="B321" s="104" t="s">
        <v>32</v>
      </c>
      <c r="C321" s="371">
        <v>2020</v>
      </c>
      <c r="D321" s="373">
        <v>5880074.051</v>
      </c>
      <c r="E321" s="328">
        <v>441005.55382500001</v>
      </c>
      <c r="F321" s="328">
        <f t="shared" ref="F321:F343" si="55">E321+D321</f>
        <v>6321079.6048250003</v>
      </c>
      <c r="G321" s="373">
        <v>821950.05100000021</v>
      </c>
      <c r="H321" s="373">
        <v>0</v>
      </c>
      <c r="I321" s="328">
        <v>61646.253825000014</v>
      </c>
      <c r="J321" s="328">
        <f t="shared" ref="J321:J343" si="56">J320+F321-G321-I321</f>
        <v>58047674.859999999</v>
      </c>
      <c r="K321" s="328">
        <f t="shared" ref="K321:K343" si="57">J321-$J$319</f>
        <v>8192731.950000003</v>
      </c>
      <c r="L321" s="321"/>
    </row>
    <row r="322" spans="1:12" ht="13" x14ac:dyDescent="0.3">
      <c r="A322" s="321">
        <f t="shared" si="54"/>
        <v>240</v>
      </c>
      <c r="B322" s="104" t="s">
        <v>34</v>
      </c>
      <c r="C322" s="371">
        <v>2020</v>
      </c>
      <c r="D322" s="373">
        <v>4900388.102</v>
      </c>
      <c r="E322" s="328">
        <v>367529.10764999996</v>
      </c>
      <c r="F322" s="328">
        <f t="shared" si="55"/>
        <v>5267917.2096499996</v>
      </c>
      <c r="G322" s="373">
        <v>662429.10199999996</v>
      </c>
      <c r="H322" s="373">
        <v>0</v>
      </c>
      <c r="I322" s="328">
        <v>49682.182649999995</v>
      </c>
      <c r="J322" s="328">
        <f t="shared" si="56"/>
        <v>62603480.785000004</v>
      </c>
      <c r="K322" s="328">
        <f t="shared" si="57"/>
        <v>12748537.875000007</v>
      </c>
      <c r="L322" s="321"/>
    </row>
    <row r="323" spans="1:12" ht="13" x14ac:dyDescent="0.3">
      <c r="A323" s="321">
        <f t="shared" si="54"/>
        <v>241</v>
      </c>
      <c r="B323" s="104" t="s">
        <v>36</v>
      </c>
      <c r="C323" s="371">
        <v>2020</v>
      </c>
      <c r="D323" s="373">
        <v>10164324.310000001</v>
      </c>
      <c r="E323" s="328">
        <v>762324.32325000002</v>
      </c>
      <c r="F323" s="328">
        <f t="shared" si="55"/>
        <v>10926648.63325</v>
      </c>
      <c r="G323" s="373">
        <v>123635.31</v>
      </c>
      <c r="H323" s="373">
        <v>0</v>
      </c>
      <c r="I323" s="328">
        <v>9272.6482500000002</v>
      </c>
      <c r="J323" s="328">
        <f t="shared" si="56"/>
        <v>73397221.460000008</v>
      </c>
      <c r="K323" s="328">
        <f t="shared" si="57"/>
        <v>23542278.550000012</v>
      </c>
      <c r="L323" s="326"/>
    </row>
    <row r="324" spans="1:12" ht="13" x14ac:dyDescent="0.3">
      <c r="A324" s="321">
        <f t="shared" si="54"/>
        <v>242</v>
      </c>
      <c r="B324" s="104" t="s">
        <v>37</v>
      </c>
      <c r="C324" s="371">
        <v>2020</v>
      </c>
      <c r="D324" s="373">
        <v>14976454.309999999</v>
      </c>
      <c r="E324" s="328">
        <v>1123234.0732499999</v>
      </c>
      <c r="F324" s="328">
        <f t="shared" si="55"/>
        <v>16099688.383249998</v>
      </c>
      <c r="G324" s="373">
        <v>440868.45000000007</v>
      </c>
      <c r="H324" s="373">
        <v>344737.14</v>
      </c>
      <c r="I324" s="328">
        <v>7209.8482500000036</v>
      </c>
      <c r="J324" s="328">
        <f t="shared" si="56"/>
        <v>89048831.545000002</v>
      </c>
      <c r="K324" s="328">
        <f t="shared" si="57"/>
        <v>39193888.635000005</v>
      </c>
    </row>
    <row r="325" spans="1:12" ht="13" x14ac:dyDescent="0.3">
      <c r="A325" s="321">
        <f t="shared" si="54"/>
        <v>243</v>
      </c>
      <c r="B325" s="104" t="s">
        <v>471</v>
      </c>
      <c r="C325" s="371">
        <v>2020</v>
      </c>
      <c r="D325" s="373">
        <v>9728852.5857999995</v>
      </c>
      <c r="E325" s="328">
        <v>729663.94393499999</v>
      </c>
      <c r="F325" s="328">
        <f t="shared" si="55"/>
        <v>10458516.529734999</v>
      </c>
      <c r="G325" s="373">
        <v>541379.6057999999</v>
      </c>
      <c r="H325" s="373">
        <v>253117.02</v>
      </c>
      <c r="I325" s="328">
        <v>21619.693934999992</v>
      </c>
      <c r="J325" s="328">
        <f t="shared" si="56"/>
        <v>98944348.774999991</v>
      </c>
      <c r="K325" s="328">
        <f t="shared" si="57"/>
        <v>49089405.864999995</v>
      </c>
    </row>
    <row r="326" spans="1:12" ht="13" x14ac:dyDescent="0.3">
      <c r="A326" s="321">
        <f t="shared" si="54"/>
        <v>244</v>
      </c>
      <c r="B326" s="104" t="s">
        <v>39</v>
      </c>
      <c r="C326" s="371">
        <v>2020</v>
      </c>
      <c r="D326" s="373">
        <v>11353872.139999999</v>
      </c>
      <c r="E326" s="328">
        <v>851540.41049999988</v>
      </c>
      <c r="F326" s="328">
        <f t="shared" si="55"/>
        <v>12205412.550499998</v>
      </c>
      <c r="G326" s="373">
        <v>5632.1399999999994</v>
      </c>
      <c r="H326" s="373">
        <v>0</v>
      </c>
      <c r="I326" s="328">
        <v>422.41049999999996</v>
      </c>
      <c r="J326" s="328">
        <f t="shared" si="56"/>
        <v>111143706.77499998</v>
      </c>
      <c r="K326" s="328">
        <f t="shared" si="57"/>
        <v>61288763.86499998</v>
      </c>
    </row>
    <row r="327" spans="1:12" ht="13" x14ac:dyDescent="0.3">
      <c r="A327" s="321">
        <f t="shared" si="54"/>
        <v>245</v>
      </c>
      <c r="B327" s="104" t="s">
        <v>40</v>
      </c>
      <c r="C327" s="371">
        <v>2020</v>
      </c>
      <c r="D327" s="373">
        <v>7061094.1400000006</v>
      </c>
      <c r="E327" s="328">
        <v>529582.06050000002</v>
      </c>
      <c r="F327" s="328">
        <f t="shared" si="55"/>
        <v>7590676.2005000003</v>
      </c>
      <c r="G327" s="373">
        <v>5632.1399999999994</v>
      </c>
      <c r="H327" s="373">
        <v>0</v>
      </c>
      <c r="I327" s="328">
        <v>422.41049999999996</v>
      </c>
      <c r="J327" s="328">
        <f t="shared" si="56"/>
        <v>118728328.42499997</v>
      </c>
      <c r="K327" s="328">
        <f t="shared" si="57"/>
        <v>68873385.514999971</v>
      </c>
    </row>
    <row r="328" spans="1:12" ht="13" x14ac:dyDescent="0.3">
      <c r="A328" s="321">
        <f t="shared" si="54"/>
        <v>246</v>
      </c>
      <c r="B328" s="104" t="s">
        <v>41</v>
      </c>
      <c r="C328" s="371">
        <v>2020</v>
      </c>
      <c r="D328" s="373">
        <v>9451395.1399999987</v>
      </c>
      <c r="E328" s="328">
        <v>708854.63549999986</v>
      </c>
      <c r="F328" s="328">
        <f t="shared" si="55"/>
        <v>10160249.7755</v>
      </c>
      <c r="G328" s="373">
        <v>5632.1399999999994</v>
      </c>
      <c r="H328" s="373">
        <v>0</v>
      </c>
      <c r="I328" s="328">
        <v>422.41049999999996</v>
      </c>
      <c r="J328" s="328">
        <f t="shared" si="56"/>
        <v>128882523.64999996</v>
      </c>
      <c r="K328" s="328">
        <f t="shared" si="57"/>
        <v>79027580.739999965</v>
      </c>
    </row>
    <row r="329" spans="1:12" ht="13" x14ac:dyDescent="0.3">
      <c r="A329" s="321">
        <f t="shared" si="54"/>
        <v>247</v>
      </c>
      <c r="B329" s="104" t="s">
        <v>42</v>
      </c>
      <c r="C329" s="371">
        <v>2020</v>
      </c>
      <c r="D329" s="373">
        <v>5025379.1399999997</v>
      </c>
      <c r="E329" s="328">
        <v>376903.43549999996</v>
      </c>
      <c r="F329" s="328">
        <f t="shared" si="55"/>
        <v>5402282.5754999993</v>
      </c>
      <c r="G329" s="373">
        <v>5632.1399999999994</v>
      </c>
      <c r="H329" s="373">
        <v>0</v>
      </c>
      <c r="I329" s="328">
        <v>422.41049999999996</v>
      </c>
      <c r="J329" s="328">
        <f t="shared" si="56"/>
        <v>134278751.67499998</v>
      </c>
      <c r="K329" s="328">
        <f t="shared" si="57"/>
        <v>84423808.764999986</v>
      </c>
    </row>
    <row r="330" spans="1:12" ht="13" x14ac:dyDescent="0.3">
      <c r="A330" s="321">
        <f t="shared" si="54"/>
        <v>248</v>
      </c>
      <c r="B330" s="104" t="s">
        <v>43</v>
      </c>
      <c r="C330" s="371">
        <v>2020</v>
      </c>
      <c r="D330" s="373">
        <v>3190394.1399999997</v>
      </c>
      <c r="E330" s="328">
        <v>239279.56049999996</v>
      </c>
      <c r="F330" s="328">
        <f t="shared" si="55"/>
        <v>3429673.7004999998</v>
      </c>
      <c r="G330" s="373">
        <v>5632.1399999999994</v>
      </c>
      <c r="H330" s="373">
        <v>0</v>
      </c>
      <c r="I330" s="328">
        <v>422.41049999999996</v>
      </c>
      <c r="J330" s="328">
        <f t="shared" si="56"/>
        <v>137702370.82500002</v>
      </c>
      <c r="K330" s="328">
        <f t="shared" si="57"/>
        <v>87847427.915000021</v>
      </c>
    </row>
    <row r="331" spans="1:12" ht="13" x14ac:dyDescent="0.3">
      <c r="A331" s="321">
        <f t="shared" si="54"/>
        <v>249</v>
      </c>
      <c r="B331" s="104" t="s">
        <v>27</v>
      </c>
      <c r="C331" s="371">
        <v>2020</v>
      </c>
      <c r="D331" s="373">
        <v>22425697.471199997</v>
      </c>
      <c r="E331" s="328">
        <v>1681927.3103399996</v>
      </c>
      <c r="F331" s="328">
        <f t="shared" si="55"/>
        <v>24107624.781539995</v>
      </c>
      <c r="G331" s="373">
        <v>25164759.4912</v>
      </c>
      <c r="H331" s="373">
        <v>15559979.02</v>
      </c>
      <c r="I331" s="328">
        <v>720358.53534000006</v>
      </c>
      <c r="J331" s="328">
        <f t="shared" si="56"/>
        <v>135924877.58000001</v>
      </c>
      <c r="K331" s="328">
        <f t="shared" si="57"/>
        <v>86069934.670000017</v>
      </c>
    </row>
    <row r="332" spans="1:12" ht="13" x14ac:dyDescent="0.3">
      <c r="A332" s="321">
        <f t="shared" si="54"/>
        <v>250</v>
      </c>
      <c r="B332" s="104" t="s">
        <v>30</v>
      </c>
      <c r="C332" s="371">
        <v>2021</v>
      </c>
      <c r="D332" s="373">
        <v>8468791.0000000019</v>
      </c>
      <c r="E332" s="328">
        <v>635159.32500000007</v>
      </c>
      <c r="F332" s="328">
        <f t="shared" si="55"/>
        <v>9103950.3250000011</v>
      </c>
      <c r="G332" s="373">
        <v>386600</v>
      </c>
      <c r="H332" s="373">
        <v>0</v>
      </c>
      <c r="I332" s="328">
        <v>28995</v>
      </c>
      <c r="J332" s="328">
        <f t="shared" si="56"/>
        <v>144613232.905</v>
      </c>
      <c r="K332" s="328">
        <f t="shared" si="57"/>
        <v>94758289.995000005</v>
      </c>
    </row>
    <row r="333" spans="1:12" ht="13" x14ac:dyDescent="0.3">
      <c r="A333" s="321">
        <f t="shared" si="54"/>
        <v>251</v>
      </c>
      <c r="B333" s="104" t="s">
        <v>32</v>
      </c>
      <c r="C333" s="371">
        <v>2021</v>
      </c>
      <c r="D333" s="373">
        <v>6702363</v>
      </c>
      <c r="E333" s="328">
        <v>502677.22499999998</v>
      </c>
      <c r="F333" s="328">
        <f t="shared" si="55"/>
        <v>7205040.2249999996</v>
      </c>
      <c r="G333" s="373">
        <v>386600</v>
      </c>
      <c r="H333" s="373">
        <v>0</v>
      </c>
      <c r="I333" s="328">
        <v>28995</v>
      </c>
      <c r="J333" s="328">
        <f t="shared" si="56"/>
        <v>151402678.13</v>
      </c>
      <c r="K333" s="328">
        <f t="shared" si="57"/>
        <v>101547735.22</v>
      </c>
    </row>
    <row r="334" spans="1:12" ht="13" x14ac:dyDescent="0.3">
      <c r="A334" s="321">
        <f t="shared" si="54"/>
        <v>252</v>
      </c>
      <c r="B334" s="104" t="s">
        <v>34</v>
      </c>
      <c r="C334" s="371">
        <v>2021</v>
      </c>
      <c r="D334" s="373">
        <v>6702363</v>
      </c>
      <c r="E334" s="328">
        <v>502677.22499999998</v>
      </c>
      <c r="F334" s="328">
        <f t="shared" si="55"/>
        <v>7205040.2249999996</v>
      </c>
      <c r="G334" s="373">
        <v>386600</v>
      </c>
      <c r="H334" s="373">
        <v>0</v>
      </c>
      <c r="I334" s="328">
        <v>28995</v>
      </c>
      <c r="J334" s="328">
        <f>J333+F334-G334-I334</f>
        <v>158192123.35499999</v>
      </c>
      <c r="K334" s="328">
        <f t="shared" si="57"/>
        <v>108337180.44499999</v>
      </c>
    </row>
    <row r="335" spans="1:12" ht="13" x14ac:dyDescent="0.3">
      <c r="A335" s="321">
        <f t="shared" si="54"/>
        <v>253</v>
      </c>
      <c r="B335" s="104" t="s">
        <v>36</v>
      </c>
      <c r="C335" s="371">
        <v>2021</v>
      </c>
      <c r="D335" s="373">
        <v>5742718</v>
      </c>
      <c r="E335" s="328">
        <v>430703.85</v>
      </c>
      <c r="F335" s="328">
        <f t="shared" si="55"/>
        <v>6173421.8499999996</v>
      </c>
      <c r="G335" s="373">
        <v>276600</v>
      </c>
      <c r="H335" s="373">
        <v>0</v>
      </c>
      <c r="I335" s="328">
        <v>20745</v>
      </c>
      <c r="J335" s="328">
        <f t="shared" si="56"/>
        <v>164068200.20499998</v>
      </c>
      <c r="K335" s="328">
        <f t="shared" si="57"/>
        <v>114213257.29499999</v>
      </c>
    </row>
    <row r="336" spans="1:12" ht="13" x14ac:dyDescent="0.3">
      <c r="A336" s="321">
        <f t="shared" si="54"/>
        <v>254</v>
      </c>
      <c r="B336" s="104" t="s">
        <v>37</v>
      </c>
      <c r="C336" s="371">
        <v>2021</v>
      </c>
      <c r="D336" s="373">
        <v>5687218</v>
      </c>
      <c r="E336" s="328">
        <v>426541.35</v>
      </c>
      <c r="F336" s="328">
        <f t="shared" si="55"/>
        <v>6113759.3499999996</v>
      </c>
      <c r="G336" s="373">
        <v>586046.6</v>
      </c>
      <c r="H336" s="373">
        <v>218065.59999999998</v>
      </c>
      <c r="I336" s="328">
        <v>27598.575000000001</v>
      </c>
      <c r="J336" s="328">
        <f t="shared" si="56"/>
        <v>169568314.38</v>
      </c>
      <c r="K336" s="328">
        <f t="shared" si="57"/>
        <v>119713371.47</v>
      </c>
    </row>
    <row r="337" spans="1:11" ht="13" x14ac:dyDescent="0.3">
      <c r="A337" s="321">
        <f t="shared" si="54"/>
        <v>255</v>
      </c>
      <c r="B337" s="104" t="s">
        <v>471</v>
      </c>
      <c r="C337" s="371">
        <v>2021</v>
      </c>
      <c r="D337" s="373">
        <v>5687218</v>
      </c>
      <c r="E337" s="328">
        <v>426541.35</v>
      </c>
      <c r="F337" s="328">
        <f t="shared" si="55"/>
        <v>6113759.3499999996</v>
      </c>
      <c r="G337" s="373">
        <v>281799.00000000006</v>
      </c>
      <c r="H337" s="373">
        <v>0</v>
      </c>
      <c r="I337" s="328">
        <v>21134.925000000003</v>
      </c>
      <c r="J337" s="328">
        <f t="shared" si="56"/>
        <v>175379139.80499998</v>
      </c>
      <c r="K337" s="328">
        <f t="shared" si="57"/>
        <v>125524196.89499998</v>
      </c>
    </row>
    <row r="338" spans="1:11" ht="13" x14ac:dyDescent="0.3">
      <c r="A338" s="321">
        <f t="shared" si="54"/>
        <v>256</v>
      </c>
      <c r="B338" s="104" t="s">
        <v>39</v>
      </c>
      <c r="C338" s="371">
        <v>2021</v>
      </c>
      <c r="D338" s="373">
        <v>5570617.9999999991</v>
      </c>
      <c r="E338" s="328">
        <v>417796.34999999992</v>
      </c>
      <c r="F338" s="328">
        <f t="shared" si="55"/>
        <v>5988414.3499999987</v>
      </c>
      <c r="G338" s="373">
        <v>165199</v>
      </c>
      <c r="H338" s="373">
        <v>0</v>
      </c>
      <c r="I338" s="328">
        <v>12389.924999999999</v>
      </c>
      <c r="J338" s="328">
        <f t="shared" si="56"/>
        <v>181189965.22999996</v>
      </c>
      <c r="K338" s="328">
        <f t="shared" si="57"/>
        <v>131335022.31999996</v>
      </c>
    </row>
    <row r="339" spans="1:11" ht="13" x14ac:dyDescent="0.3">
      <c r="A339" s="321">
        <f t="shared" si="54"/>
        <v>257</v>
      </c>
      <c r="B339" s="104" t="s">
        <v>40</v>
      </c>
      <c r="C339" s="371">
        <v>2021</v>
      </c>
      <c r="D339" s="373">
        <v>5570617.9999999991</v>
      </c>
      <c r="E339" s="328">
        <v>417796.34999999992</v>
      </c>
      <c r="F339" s="328">
        <f t="shared" si="55"/>
        <v>5988414.3499999987</v>
      </c>
      <c r="G339" s="373">
        <v>172165582.88999996</v>
      </c>
      <c r="H339" s="373">
        <v>29189456.889999997</v>
      </c>
      <c r="I339" s="328">
        <v>10723209.449999997</v>
      </c>
      <c r="J339" s="328">
        <f t="shared" si="56"/>
        <v>4289587.24</v>
      </c>
      <c r="K339" s="328">
        <f t="shared" si="57"/>
        <v>-45565355.669999994</v>
      </c>
    </row>
    <row r="340" spans="1:11" ht="13" x14ac:dyDescent="0.3">
      <c r="A340" s="321">
        <f t="shared" si="54"/>
        <v>258</v>
      </c>
      <c r="B340" s="104" t="s">
        <v>41</v>
      </c>
      <c r="C340" s="371">
        <v>2021</v>
      </c>
      <c r="D340" s="373">
        <v>5570617.9999999991</v>
      </c>
      <c r="E340" s="328">
        <v>417796.34999999992</v>
      </c>
      <c r="F340" s="328">
        <f t="shared" si="55"/>
        <v>5988414.3499999987</v>
      </c>
      <c r="G340" s="373">
        <v>5570617.9999999991</v>
      </c>
      <c r="H340" s="373">
        <v>0</v>
      </c>
      <c r="I340" s="328">
        <v>417796.34999999992</v>
      </c>
      <c r="J340" s="328">
        <f t="shared" si="56"/>
        <v>4289587.2400000012</v>
      </c>
      <c r="K340" s="328">
        <f t="shared" si="57"/>
        <v>-45565355.669999994</v>
      </c>
    </row>
    <row r="341" spans="1:11" ht="13" x14ac:dyDescent="0.3">
      <c r="A341" s="321">
        <f t="shared" si="54"/>
        <v>259</v>
      </c>
      <c r="B341" s="104" t="s">
        <v>42</v>
      </c>
      <c r="C341" s="371">
        <v>2021</v>
      </c>
      <c r="D341" s="373">
        <v>5570617.9999999991</v>
      </c>
      <c r="E341" s="328">
        <v>417796.34999999992</v>
      </c>
      <c r="F341" s="328">
        <f t="shared" si="55"/>
        <v>5988414.3499999987</v>
      </c>
      <c r="G341" s="373">
        <v>5570617.9999999991</v>
      </c>
      <c r="H341" s="373">
        <v>0</v>
      </c>
      <c r="I341" s="328">
        <v>417796.34999999992</v>
      </c>
      <c r="J341" s="328">
        <f t="shared" si="56"/>
        <v>4289587.2400000012</v>
      </c>
      <c r="K341" s="328">
        <f t="shared" si="57"/>
        <v>-45565355.669999994</v>
      </c>
    </row>
    <row r="342" spans="1:11" ht="13" x14ac:dyDescent="0.3">
      <c r="A342" s="321">
        <f t="shared" si="54"/>
        <v>260</v>
      </c>
      <c r="B342" s="104" t="s">
        <v>43</v>
      </c>
      <c r="C342" s="371">
        <v>2021</v>
      </c>
      <c r="D342" s="373">
        <v>5410617.9999999991</v>
      </c>
      <c r="E342" s="328">
        <v>405796.34999999992</v>
      </c>
      <c r="F342" s="328">
        <f t="shared" si="55"/>
        <v>5816414.3499999987</v>
      </c>
      <c r="G342" s="373">
        <v>5410617.9999999991</v>
      </c>
      <c r="H342" s="373">
        <v>0</v>
      </c>
      <c r="I342" s="328">
        <v>405796.34999999992</v>
      </c>
      <c r="J342" s="328">
        <f t="shared" si="56"/>
        <v>4289587.2400000012</v>
      </c>
      <c r="K342" s="328">
        <f t="shared" si="57"/>
        <v>-45565355.669999994</v>
      </c>
    </row>
    <row r="343" spans="1:11" ht="13" x14ac:dyDescent="0.3">
      <c r="A343" s="321">
        <f t="shared" si="54"/>
        <v>261</v>
      </c>
      <c r="B343" s="104" t="s">
        <v>27</v>
      </c>
      <c r="C343" s="371">
        <v>2021</v>
      </c>
      <c r="D343" s="373">
        <v>6149090.9999999991</v>
      </c>
      <c r="E343" s="328">
        <v>461181.8249999999</v>
      </c>
      <c r="F343" s="328">
        <f t="shared" si="55"/>
        <v>6610272.8249999993</v>
      </c>
      <c r="G343" s="373">
        <v>6149090.9999999991</v>
      </c>
      <c r="H343" s="373">
        <v>0</v>
      </c>
      <c r="I343" s="328">
        <v>461181.8249999999</v>
      </c>
      <c r="J343" s="328">
        <f t="shared" si="56"/>
        <v>4289587.2400000021</v>
      </c>
      <c r="K343" s="335">
        <f t="shared" si="57"/>
        <v>-45565355.669999994</v>
      </c>
    </row>
    <row r="344" spans="1:11" ht="13" x14ac:dyDescent="0.3">
      <c r="A344" s="321">
        <f t="shared" si="54"/>
        <v>262</v>
      </c>
      <c r="C344" s="396" t="s">
        <v>880</v>
      </c>
      <c r="K344" s="397">
        <f>AVERAGE(K331:K343)</f>
        <v>50282477.689230785</v>
      </c>
    </row>
    <row r="345" spans="1:11" ht="13" x14ac:dyDescent="0.3">
      <c r="A345" s="321"/>
      <c r="C345" s="396"/>
      <c r="K345" s="397"/>
    </row>
    <row r="346" spans="1:11" ht="13" x14ac:dyDescent="0.3">
      <c r="B346" s="399" t="s">
        <v>901</v>
      </c>
      <c r="D346" s="429" t="s">
        <v>862</v>
      </c>
      <c r="E346" s="429"/>
    </row>
    <row r="347" spans="1:11" ht="13" x14ac:dyDescent="0.3">
      <c r="B347" s="399"/>
      <c r="D347" s="326" t="s">
        <v>12</v>
      </c>
      <c r="E347" s="326" t="s">
        <v>343</v>
      </c>
      <c r="F347" s="326" t="s">
        <v>361</v>
      </c>
      <c r="G347" s="326" t="s">
        <v>13</v>
      </c>
      <c r="H347" s="326" t="s">
        <v>362</v>
      </c>
      <c r="I347" s="326" t="s">
        <v>363</v>
      </c>
      <c r="J347" s="326" t="s">
        <v>364</v>
      </c>
      <c r="K347" s="326" t="s">
        <v>451</v>
      </c>
    </row>
    <row r="348" spans="1:11" ht="25.5" x14ac:dyDescent="0.3">
      <c r="B348" s="399"/>
      <c r="D348" s="363"/>
      <c r="E348" s="400" t="s">
        <v>883</v>
      </c>
      <c r="F348" s="356" t="s">
        <v>884</v>
      </c>
      <c r="G348" s="356"/>
      <c r="H348" s="363"/>
      <c r="I348" s="400" t="s">
        <v>885</v>
      </c>
      <c r="J348" s="400" t="s">
        <v>886</v>
      </c>
      <c r="K348" s="400" t="s">
        <v>887</v>
      </c>
    </row>
    <row r="349" spans="1:11" ht="13" x14ac:dyDescent="0.3">
      <c r="D349" s="363"/>
      <c r="E349" s="363"/>
      <c r="F349" s="363"/>
      <c r="G349" s="321" t="str">
        <f>G51</f>
        <v>Unloaded</v>
      </c>
      <c r="H349" s="363"/>
      <c r="I349" s="363"/>
    </row>
    <row r="350" spans="1:11" ht="13" x14ac:dyDescent="0.3">
      <c r="A350" s="321"/>
      <c r="B350" s="321"/>
      <c r="C350" s="321"/>
      <c r="D350" s="321" t="str">
        <f>D$52</f>
        <v>Forecast</v>
      </c>
      <c r="E350" s="321" t="str">
        <f t="shared" ref="E350:J350" si="58">E$52</f>
        <v>Corporate</v>
      </c>
      <c r="F350" s="321" t="str">
        <f t="shared" si="58"/>
        <v xml:space="preserve">Total </v>
      </c>
      <c r="G350" s="321" t="str">
        <f>G52</f>
        <v>Total</v>
      </c>
      <c r="H350" s="321" t="str">
        <f t="shared" si="58"/>
        <v>Prior Period</v>
      </c>
      <c r="I350" s="321" t="str">
        <f t="shared" si="58"/>
        <v>Over Heads</v>
      </c>
      <c r="J350" s="321" t="str">
        <f t="shared" si="58"/>
        <v>Forecast</v>
      </c>
      <c r="K350" s="321" t="str">
        <f>K$52</f>
        <v>Forecast Period</v>
      </c>
    </row>
    <row r="351" spans="1:11" ht="13" x14ac:dyDescent="0.3">
      <c r="A351" s="325" t="s">
        <v>22</v>
      </c>
      <c r="B351" s="94" t="s">
        <v>23</v>
      </c>
      <c r="C351" s="94" t="s">
        <v>24</v>
      </c>
      <c r="D351" s="326" t="str">
        <f>D$53</f>
        <v>Expenditures</v>
      </c>
      <c r="E351" s="326" t="str">
        <f t="shared" ref="E351:J351" si="59">E$53</f>
        <v>Overheads</v>
      </c>
      <c r="F351" s="326" t="str">
        <f t="shared" si="59"/>
        <v>CWIP Exp</v>
      </c>
      <c r="G351" s="326" t="str">
        <f>G53</f>
        <v>Plant Adds</v>
      </c>
      <c r="H351" s="326" t="str">
        <f t="shared" si="59"/>
        <v>CWIP Closed</v>
      </c>
      <c r="I351" s="326" t="str">
        <f t="shared" si="59"/>
        <v>Closed to PIS</v>
      </c>
      <c r="J351" s="326" t="str">
        <f t="shared" si="59"/>
        <v>Period CWIP</v>
      </c>
      <c r="K351" s="326" t="str">
        <f>K$53</f>
        <v>Incremental CWIP</v>
      </c>
    </row>
    <row r="352" spans="1:11" ht="13" x14ac:dyDescent="0.3">
      <c r="A352" s="321">
        <f>A344+1</f>
        <v>263</v>
      </c>
      <c r="B352" s="104" t="s">
        <v>27</v>
      </c>
      <c r="C352" s="371">
        <v>2019</v>
      </c>
      <c r="D352" s="356" t="s">
        <v>28</v>
      </c>
      <c r="E352" s="356" t="s">
        <v>28</v>
      </c>
      <c r="F352" s="356" t="s">
        <v>28</v>
      </c>
      <c r="G352" s="356" t="s">
        <v>28</v>
      </c>
      <c r="H352" s="356" t="s">
        <v>28</v>
      </c>
      <c r="I352" s="356" t="s">
        <v>28</v>
      </c>
      <c r="J352" s="328">
        <f>G45</f>
        <v>22001340.420866624</v>
      </c>
      <c r="K352" s="356" t="s">
        <v>28</v>
      </c>
    </row>
    <row r="353" spans="1:11" ht="13" x14ac:dyDescent="0.3">
      <c r="A353" s="321">
        <f>A352+1</f>
        <v>264</v>
      </c>
      <c r="B353" s="104" t="s">
        <v>30</v>
      </c>
      <c r="C353" s="371">
        <v>2020</v>
      </c>
      <c r="D353" s="373">
        <v>129945.71200000001</v>
      </c>
      <c r="E353" s="328">
        <v>9745.9284000000007</v>
      </c>
      <c r="F353" s="328">
        <f>E353+D353</f>
        <v>139691.6404</v>
      </c>
      <c r="G353" s="373">
        <v>0</v>
      </c>
      <c r="H353" s="373">
        <v>0</v>
      </c>
      <c r="I353" s="328">
        <v>0</v>
      </c>
      <c r="J353" s="328">
        <f>J352+F353-G353-I353</f>
        <v>22141032.061266623</v>
      </c>
      <c r="K353" s="328">
        <f>J353-$J$352</f>
        <v>139691.64039999992</v>
      </c>
    </row>
    <row r="354" spans="1:11" ht="13" x14ac:dyDescent="0.3">
      <c r="A354" s="321">
        <f t="shared" ref="A354:A377" si="60">A353+1</f>
        <v>265</v>
      </c>
      <c r="B354" s="104" t="s">
        <v>32</v>
      </c>
      <c r="C354" s="371">
        <v>2020</v>
      </c>
      <c r="D354" s="373">
        <v>43690.596000000005</v>
      </c>
      <c r="E354" s="328">
        <v>3276.7947000000004</v>
      </c>
      <c r="F354" s="328">
        <f t="shared" ref="F354:F376" si="61">E354+D354</f>
        <v>46967.390700000004</v>
      </c>
      <c r="G354" s="373">
        <v>0</v>
      </c>
      <c r="H354" s="373">
        <v>0</v>
      </c>
      <c r="I354" s="328">
        <v>0</v>
      </c>
      <c r="J354" s="328">
        <f t="shared" ref="J354:J376" si="62">J353+F354-G354-I354</f>
        <v>22187999.451966625</v>
      </c>
      <c r="K354" s="328">
        <f t="shared" ref="K354:K376" si="63">J354-$J$352</f>
        <v>186659.03110000119</v>
      </c>
    </row>
    <row r="355" spans="1:11" ht="13" x14ac:dyDescent="0.3">
      <c r="A355" s="321">
        <f t="shared" si="60"/>
        <v>266</v>
      </c>
      <c r="B355" s="104" t="s">
        <v>34</v>
      </c>
      <c r="C355" s="371">
        <v>2020</v>
      </c>
      <c r="D355" s="373">
        <v>85275.760000000009</v>
      </c>
      <c r="E355" s="328">
        <v>6395.6820000000007</v>
      </c>
      <c r="F355" s="328">
        <f t="shared" si="61"/>
        <v>91671.44200000001</v>
      </c>
      <c r="G355" s="373">
        <v>0</v>
      </c>
      <c r="H355" s="373">
        <v>0</v>
      </c>
      <c r="I355" s="328">
        <v>0</v>
      </c>
      <c r="J355" s="328">
        <f t="shared" si="62"/>
        <v>22279670.893966626</v>
      </c>
      <c r="K355" s="328">
        <f t="shared" si="63"/>
        <v>278330.47310000286</v>
      </c>
    </row>
    <row r="356" spans="1:11" ht="13" x14ac:dyDescent="0.3">
      <c r="A356" s="321">
        <f t="shared" si="60"/>
        <v>267</v>
      </c>
      <c r="B356" s="104" t="s">
        <v>36</v>
      </c>
      <c r="C356" s="371">
        <v>2020</v>
      </c>
      <c r="D356" s="373">
        <v>131000</v>
      </c>
      <c r="E356" s="328">
        <v>9825</v>
      </c>
      <c r="F356" s="328">
        <f t="shared" si="61"/>
        <v>140825</v>
      </c>
      <c r="G356" s="373">
        <v>0</v>
      </c>
      <c r="H356" s="373">
        <v>0</v>
      </c>
      <c r="I356" s="328">
        <v>0</v>
      </c>
      <c r="J356" s="328">
        <f t="shared" si="62"/>
        <v>22420495.893966626</v>
      </c>
      <c r="K356" s="328">
        <f t="shared" si="63"/>
        <v>419155.47310000286</v>
      </c>
    </row>
    <row r="357" spans="1:11" ht="13" x14ac:dyDescent="0.3">
      <c r="A357" s="321">
        <f t="shared" si="60"/>
        <v>268</v>
      </c>
      <c r="B357" s="104" t="s">
        <v>37</v>
      </c>
      <c r="C357" s="371">
        <v>2020</v>
      </c>
      <c r="D357" s="373">
        <v>49654.764000000003</v>
      </c>
      <c r="E357" s="328">
        <v>3724.1073000000001</v>
      </c>
      <c r="F357" s="328">
        <f t="shared" si="61"/>
        <v>53378.871300000006</v>
      </c>
      <c r="G357" s="373">
        <v>0</v>
      </c>
      <c r="H357" s="373">
        <v>0</v>
      </c>
      <c r="I357" s="328">
        <v>0</v>
      </c>
      <c r="J357" s="328">
        <f t="shared" si="62"/>
        <v>22473874.765266627</v>
      </c>
      <c r="K357" s="328">
        <f t="shared" si="63"/>
        <v>472534.34440000355</v>
      </c>
    </row>
    <row r="358" spans="1:11" ht="13" x14ac:dyDescent="0.3">
      <c r="A358" s="321">
        <f t="shared" si="60"/>
        <v>269</v>
      </c>
      <c r="B358" s="104" t="s">
        <v>471</v>
      </c>
      <c r="C358" s="371">
        <v>2020</v>
      </c>
      <c r="D358" s="373">
        <v>49654.764000000003</v>
      </c>
      <c r="E358" s="328">
        <v>3724.1073000000001</v>
      </c>
      <c r="F358" s="328">
        <f t="shared" si="61"/>
        <v>53378.871300000006</v>
      </c>
      <c r="G358" s="373">
        <v>0</v>
      </c>
      <c r="H358" s="373">
        <v>0</v>
      </c>
      <c r="I358" s="328">
        <v>0</v>
      </c>
      <c r="J358" s="328">
        <f t="shared" si="62"/>
        <v>22527253.636566628</v>
      </c>
      <c r="K358" s="328">
        <f t="shared" si="63"/>
        <v>525913.21570000425</v>
      </c>
    </row>
    <row r="359" spans="1:11" ht="13" x14ac:dyDescent="0.3">
      <c r="A359" s="321">
        <f t="shared" si="60"/>
        <v>270</v>
      </c>
      <c r="B359" s="104" t="s">
        <v>39</v>
      </c>
      <c r="C359" s="371">
        <v>2020</v>
      </c>
      <c r="D359" s="373">
        <v>49654.764000000003</v>
      </c>
      <c r="E359" s="328">
        <v>3724.1073000000001</v>
      </c>
      <c r="F359" s="328">
        <f t="shared" si="61"/>
        <v>53378.871300000006</v>
      </c>
      <c r="G359" s="373">
        <v>0</v>
      </c>
      <c r="H359" s="373">
        <v>0</v>
      </c>
      <c r="I359" s="328">
        <v>0</v>
      </c>
      <c r="J359" s="328">
        <f t="shared" si="62"/>
        <v>22580632.507866628</v>
      </c>
      <c r="K359" s="328">
        <f t="shared" si="63"/>
        <v>579292.08700000495</v>
      </c>
    </row>
    <row r="360" spans="1:11" ht="13" x14ac:dyDescent="0.3">
      <c r="A360" s="321">
        <f t="shared" si="60"/>
        <v>271</v>
      </c>
      <c r="B360" s="104" t="s">
        <v>40</v>
      </c>
      <c r="C360" s="371">
        <v>2020</v>
      </c>
      <c r="D360" s="373">
        <v>33438.536</v>
      </c>
      <c r="E360" s="328">
        <v>2507.8901999999998</v>
      </c>
      <c r="F360" s="328">
        <f t="shared" si="61"/>
        <v>35946.426200000002</v>
      </c>
      <c r="G360" s="373">
        <v>0</v>
      </c>
      <c r="H360" s="373">
        <v>0</v>
      </c>
      <c r="I360" s="328">
        <v>0</v>
      </c>
      <c r="J360" s="328">
        <f t="shared" si="62"/>
        <v>22616578.934066627</v>
      </c>
      <c r="K360" s="328">
        <f t="shared" si="63"/>
        <v>615238.51320000365</v>
      </c>
    </row>
    <row r="361" spans="1:11" ht="13" x14ac:dyDescent="0.3">
      <c r="A361" s="321">
        <f t="shared" si="60"/>
        <v>272</v>
      </c>
      <c r="B361" s="104" t="s">
        <v>41</v>
      </c>
      <c r="C361" s="371">
        <v>2020</v>
      </c>
      <c r="D361" s="373">
        <v>28694.764000000003</v>
      </c>
      <c r="E361" s="328">
        <v>2152.1073000000001</v>
      </c>
      <c r="F361" s="328">
        <f t="shared" si="61"/>
        <v>30846.871300000003</v>
      </c>
      <c r="G361" s="373">
        <v>0</v>
      </c>
      <c r="H361" s="373">
        <v>0</v>
      </c>
      <c r="I361" s="328">
        <v>0</v>
      </c>
      <c r="J361" s="328">
        <f t="shared" si="62"/>
        <v>22647425.805366628</v>
      </c>
      <c r="K361" s="328">
        <f t="shared" si="63"/>
        <v>646085.38450000435</v>
      </c>
    </row>
    <row r="362" spans="1:11" ht="13" x14ac:dyDescent="0.3">
      <c r="A362" s="321">
        <f t="shared" si="60"/>
        <v>273</v>
      </c>
      <c r="B362" s="104" t="s">
        <v>42</v>
      </c>
      <c r="C362" s="371">
        <v>2020</v>
      </c>
      <c r="D362" s="373">
        <v>28694.764000000003</v>
      </c>
      <c r="E362" s="328">
        <v>2152.1073000000001</v>
      </c>
      <c r="F362" s="328">
        <f t="shared" si="61"/>
        <v>30846.871300000003</v>
      </c>
      <c r="G362" s="373">
        <v>0</v>
      </c>
      <c r="H362" s="373">
        <v>0</v>
      </c>
      <c r="I362" s="328">
        <v>0</v>
      </c>
      <c r="J362" s="328">
        <f t="shared" si="62"/>
        <v>22678272.676666629</v>
      </c>
      <c r="K362" s="328">
        <f t="shared" si="63"/>
        <v>676932.25580000505</v>
      </c>
    </row>
    <row r="363" spans="1:11" ht="13" x14ac:dyDescent="0.3">
      <c r="A363" s="321">
        <f t="shared" si="60"/>
        <v>274</v>
      </c>
      <c r="B363" s="104" t="s">
        <v>43</v>
      </c>
      <c r="C363" s="371">
        <v>2020</v>
      </c>
      <c r="D363" s="373">
        <v>23501.4</v>
      </c>
      <c r="E363" s="328">
        <v>1762.605</v>
      </c>
      <c r="F363" s="328">
        <f t="shared" si="61"/>
        <v>25264.005000000001</v>
      </c>
      <c r="G363" s="373">
        <v>0</v>
      </c>
      <c r="H363" s="373">
        <v>0</v>
      </c>
      <c r="I363" s="328">
        <v>0</v>
      </c>
      <c r="J363" s="328">
        <f t="shared" si="62"/>
        <v>22703536.681666628</v>
      </c>
      <c r="K363" s="328">
        <f t="shared" si="63"/>
        <v>702196.26080000401</v>
      </c>
    </row>
    <row r="364" spans="1:11" ht="13" x14ac:dyDescent="0.3">
      <c r="A364" s="321">
        <f t="shared" si="60"/>
        <v>275</v>
      </c>
      <c r="B364" s="104" t="s">
        <v>27</v>
      </c>
      <c r="C364" s="371">
        <v>2020</v>
      </c>
      <c r="D364" s="373">
        <v>26121.4</v>
      </c>
      <c r="E364" s="328">
        <v>1959.105</v>
      </c>
      <c r="F364" s="328">
        <f t="shared" si="61"/>
        <v>28080.505000000001</v>
      </c>
      <c r="G364" s="373">
        <v>405712.10000000003</v>
      </c>
      <c r="H364" s="373">
        <v>405712.10000000003</v>
      </c>
      <c r="I364" s="328">
        <v>0</v>
      </c>
      <c r="J364" s="328">
        <f t="shared" si="62"/>
        <v>22325905.086666625</v>
      </c>
      <c r="K364" s="328">
        <f t="shared" si="63"/>
        <v>324564.66580000147</v>
      </c>
    </row>
    <row r="365" spans="1:11" ht="13" x14ac:dyDescent="0.3">
      <c r="A365" s="321">
        <f t="shared" si="60"/>
        <v>276</v>
      </c>
      <c r="B365" s="104" t="s">
        <v>30</v>
      </c>
      <c r="C365" s="371">
        <v>2021</v>
      </c>
      <c r="D365" s="373">
        <v>78600.000000000015</v>
      </c>
      <c r="E365" s="328">
        <v>5895.0000000000009</v>
      </c>
      <c r="F365" s="328">
        <f t="shared" si="61"/>
        <v>84495.000000000015</v>
      </c>
      <c r="G365" s="373">
        <v>0</v>
      </c>
      <c r="H365" s="373">
        <v>0</v>
      </c>
      <c r="I365" s="328">
        <v>0</v>
      </c>
      <c r="J365" s="328">
        <f t="shared" si="62"/>
        <v>22410400.086666625</v>
      </c>
      <c r="K365" s="328">
        <f t="shared" si="63"/>
        <v>409059.66580000147</v>
      </c>
    </row>
    <row r="366" spans="1:11" ht="13" x14ac:dyDescent="0.3">
      <c r="A366" s="321">
        <f t="shared" si="60"/>
        <v>277</v>
      </c>
      <c r="B366" s="104" t="s">
        <v>32</v>
      </c>
      <c r="C366" s="371">
        <v>2021</v>
      </c>
      <c r="D366" s="373">
        <v>78600.000000000015</v>
      </c>
      <c r="E366" s="328">
        <v>5895.0000000000009</v>
      </c>
      <c r="F366" s="328">
        <f t="shared" si="61"/>
        <v>84495.000000000015</v>
      </c>
      <c r="G366" s="373">
        <v>0</v>
      </c>
      <c r="H366" s="373">
        <v>0</v>
      </c>
      <c r="I366" s="328">
        <v>0</v>
      </c>
      <c r="J366" s="328">
        <f t="shared" si="62"/>
        <v>22494895.086666625</v>
      </c>
      <c r="K366" s="328">
        <f t="shared" si="63"/>
        <v>493554.66580000147</v>
      </c>
    </row>
    <row r="367" spans="1:11" ht="13" x14ac:dyDescent="0.3">
      <c r="A367" s="321">
        <f t="shared" si="60"/>
        <v>278</v>
      </c>
      <c r="B367" s="104" t="s">
        <v>34</v>
      </c>
      <c r="C367" s="371">
        <v>2021</v>
      </c>
      <c r="D367" s="373">
        <v>78600.000000000015</v>
      </c>
      <c r="E367" s="328">
        <v>5895.0000000000009</v>
      </c>
      <c r="F367" s="328">
        <f t="shared" si="61"/>
        <v>84495.000000000015</v>
      </c>
      <c r="G367" s="373">
        <v>0</v>
      </c>
      <c r="H367" s="373">
        <v>0</v>
      </c>
      <c r="I367" s="328">
        <v>0</v>
      </c>
      <c r="J367" s="328">
        <f t="shared" si="62"/>
        <v>22579390.086666625</v>
      </c>
      <c r="K367" s="328">
        <f t="shared" si="63"/>
        <v>578049.66580000147</v>
      </c>
    </row>
    <row r="368" spans="1:11" ht="13" x14ac:dyDescent="0.3">
      <c r="A368" s="321">
        <f t="shared" si="60"/>
        <v>279</v>
      </c>
      <c r="B368" s="104" t="s">
        <v>36</v>
      </c>
      <c r="C368" s="371">
        <v>2021</v>
      </c>
      <c r="D368" s="373">
        <v>78600.000000000015</v>
      </c>
      <c r="E368" s="328">
        <v>5895.0000000000009</v>
      </c>
      <c r="F368" s="328">
        <f t="shared" si="61"/>
        <v>84495.000000000015</v>
      </c>
      <c r="G368" s="373">
        <v>0</v>
      </c>
      <c r="H368" s="373">
        <v>0</v>
      </c>
      <c r="I368" s="328">
        <v>0</v>
      </c>
      <c r="J368" s="328">
        <f t="shared" si="62"/>
        <v>22663885.086666625</v>
      </c>
      <c r="K368" s="328">
        <f t="shared" si="63"/>
        <v>662544.66580000147</v>
      </c>
    </row>
    <row r="369" spans="1:11" ht="13" x14ac:dyDescent="0.3">
      <c r="A369" s="321">
        <f t="shared" si="60"/>
        <v>280</v>
      </c>
      <c r="B369" s="104" t="s">
        <v>37</v>
      </c>
      <c r="C369" s="371">
        <v>2021</v>
      </c>
      <c r="D369" s="373">
        <v>78600.000000000015</v>
      </c>
      <c r="E369" s="328">
        <v>5895.0000000000009</v>
      </c>
      <c r="F369" s="328">
        <f t="shared" si="61"/>
        <v>84495.000000000015</v>
      </c>
      <c r="G369" s="373">
        <v>0</v>
      </c>
      <c r="H369" s="373">
        <v>0</v>
      </c>
      <c r="I369" s="328">
        <v>0</v>
      </c>
      <c r="J369" s="328">
        <f t="shared" si="62"/>
        <v>22748380.086666625</v>
      </c>
      <c r="K369" s="328">
        <f t="shared" si="63"/>
        <v>747039.66580000147</v>
      </c>
    </row>
    <row r="370" spans="1:11" ht="13" x14ac:dyDescent="0.3">
      <c r="A370" s="321">
        <f t="shared" si="60"/>
        <v>281</v>
      </c>
      <c r="B370" s="104" t="s">
        <v>471</v>
      </c>
      <c r="C370" s="371">
        <v>2021</v>
      </c>
      <c r="D370" s="373">
        <v>78600.000000000015</v>
      </c>
      <c r="E370" s="328">
        <v>5895.0000000000009</v>
      </c>
      <c r="F370" s="328">
        <f t="shared" si="61"/>
        <v>84495.000000000015</v>
      </c>
      <c r="G370" s="373">
        <v>0</v>
      </c>
      <c r="H370" s="373">
        <v>0</v>
      </c>
      <c r="I370" s="328">
        <v>0</v>
      </c>
      <c r="J370" s="328">
        <f t="shared" si="62"/>
        <v>22832875.086666625</v>
      </c>
      <c r="K370" s="328">
        <f t="shared" si="63"/>
        <v>831534.66580000147</v>
      </c>
    </row>
    <row r="371" spans="1:11" ht="13" x14ac:dyDescent="0.3">
      <c r="A371" s="321">
        <f t="shared" si="60"/>
        <v>282</v>
      </c>
      <c r="B371" s="104" t="s">
        <v>39</v>
      </c>
      <c r="C371" s="371">
        <v>2021</v>
      </c>
      <c r="D371" s="373">
        <v>78600.000000000015</v>
      </c>
      <c r="E371" s="328">
        <v>5895.0000000000009</v>
      </c>
      <c r="F371" s="328">
        <f t="shared" si="61"/>
        <v>84495.000000000015</v>
      </c>
      <c r="G371" s="373">
        <v>0</v>
      </c>
      <c r="H371" s="373">
        <v>0</v>
      </c>
      <c r="I371" s="328">
        <v>0</v>
      </c>
      <c r="J371" s="328">
        <f t="shared" si="62"/>
        <v>22917370.086666625</v>
      </c>
      <c r="K371" s="328">
        <f t="shared" si="63"/>
        <v>916029.66580000147</v>
      </c>
    </row>
    <row r="372" spans="1:11" ht="13" x14ac:dyDescent="0.3">
      <c r="A372" s="321">
        <f t="shared" si="60"/>
        <v>283</v>
      </c>
      <c r="B372" s="104" t="s">
        <v>40</v>
      </c>
      <c r="C372" s="371">
        <v>2021</v>
      </c>
      <c r="D372" s="373">
        <v>78600.000000000015</v>
      </c>
      <c r="E372" s="328">
        <v>5895.0000000000009</v>
      </c>
      <c r="F372" s="328">
        <f t="shared" si="61"/>
        <v>84495.000000000015</v>
      </c>
      <c r="G372" s="373">
        <v>0</v>
      </c>
      <c r="H372" s="373">
        <v>0</v>
      </c>
      <c r="I372" s="328">
        <v>0</v>
      </c>
      <c r="J372" s="328">
        <f t="shared" si="62"/>
        <v>23001865.086666625</v>
      </c>
      <c r="K372" s="328">
        <f t="shared" si="63"/>
        <v>1000524.6658000015</v>
      </c>
    </row>
    <row r="373" spans="1:11" ht="13" x14ac:dyDescent="0.3">
      <c r="A373" s="321">
        <f t="shared" si="60"/>
        <v>284</v>
      </c>
      <c r="B373" s="104" t="s">
        <v>41</v>
      </c>
      <c r="C373" s="371">
        <v>2021</v>
      </c>
      <c r="D373" s="373">
        <v>78600.000000000015</v>
      </c>
      <c r="E373" s="328">
        <v>5895.0000000000009</v>
      </c>
      <c r="F373" s="328">
        <f t="shared" si="61"/>
        <v>84495.000000000015</v>
      </c>
      <c r="G373" s="373">
        <v>0</v>
      </c>
      <c r="H373" s="373">
        <v>0</v>
      </c>
      <c r="I373" s="328">
        <v>0</v>
      </c>
      <c r="J373" s="328">
        <f t="shared" si="62"/>
        <v>23086360.086666625</v>
      </c>
      <c r="K373" s="328">
        <f t="shared" si="63"/>
        <v>1085019.6658000015</v>
      </c>
    </row>
    <row r="374" spans="1:11" ht="13" x14ac:dyDescent="0.3">
      <c r="A374" s="321">
        <f t="shared" si="60"/>
        <v>285</v>
      </c>
      <c r="B374" s="104" t="s">
        <v>42</v>
      </c>
      <c r="C374" s="371">
        <v>2021</v>
      </c>
      <c r="D374" s="373">
        <v>78600.000000000015</v>
      </c>
      <c r="E374" s="328">
        <v>5895.0000000000009</v>
      </c>
      <c r="F374" s="328">
        <f t="shared" si="61"/>
        <v>84495.000000000015</v>
      </c>
      <c r="G374" s="373">
        <v>0</v>
      </c>
      <c r="H374" s="373">
        <v>0</v>
      </c>
      <c r="I374" s="328">
        <v>0</v>
      </c>
      <c r="J374" s="328">
        <f t="shared" si="62"/>
        <v>23170855.086666625</v>
      </c>
      <c r="K374" s="328">
        <f t="shared" si="63"/>
        <v>1169514.6658000015</v>
      </c>
    </row>
    <row r="375" spans="1:11" ht="13" x14ac:dyDescent="0.3">
      <c r="A375" s="321">
        <f t="shared" si="60"/>
        <v>286</v>
      </c>
      <c r="B375" s="104" t="s">
        <v>43</v>
      </c>
      <c r="C375" s="371">
        <v>2021</v>
      </c>
      <c r="D375" s="373">
        <v>78600.000000000015</v>
      </c>
      <c r="E375" s="328">
        <v>5895.0000000000009</v>
      </c>
      <c r="F375" s="328">
        <f t="shared" si="61"/>
        <v>84495.000000000015</v>
      </c>
      <c r="G375" s="373">
        <v>0</v>
      </c>
      <c r="H375" s="373">
        <v>0</v>
      </c>
      <c r="I375" s="328">
        <v>0</v>
      </c>
      <c r="J375" s="328">
        <f t="shared" si="62"/>
        <v>23255350.086666625</v>
      </c>
      <c r="K375" s="328">
        <f t="shared" si="63"/>
        <v>1254009.6658000015</v>
      </c>
    </row>
    <row r="376" spans="1:11" ht="13" x14ac:dyDescent="0.3">
      <c r="A376" s="321">
        <f t="shared" si="60"/>
        <v>287</v>
      </c>
      <c r="B376" s="104" t="s">
        <v>27</v>
      </c>
      <c r="C376" s="371">
        <v>2021</v>
      </c>
      <c r="D376" s="373">
        <v>78600.000000000015</v>
      </c>
      <c r="E376" s="328">
        <v>5895.0000000000009</v>
      </c>
      <c r="F376" s="328">
        <f t="shared" si="61"/>
        <v>84495.000000000015</v>
      </c>
      <c r="G376" s="373">
        <v>0</v>
      </c>
      <c r="H376" s="373">
        <v>0</v>
      </c>
      <c r="I376" s="328">
        <v>0</v>
      </c>
      <c r="J376" s="328">
        <f t="shared" si="62"/>
        <v>23339845.086666625</v>
      </c>
      <c r="K376" s="335">
        <f t="shared" si="63"/>
        <v>1338504.6658000015</v>
      </c>
    </row>
    <row r="377" spans="1:11" ht="13" x14ac:dyDescent="0.3">
      <c r="A377" s="321">
        <f t="shared" si="60"/>
        <v>288</v>
      </c>
      <c r="C377" s="396" t="s">
        <v>880</v>
      </c>
      <c r="K377" s="397">
        <f>AVERAGE(K364:K376)</f>
        <v>831534.66580000147</v>
      </c>
    </row>
    <row r="378" spans="1:11" ht="13" x14ac:dyDescent="0.3">
      <c r="A378" s="321"/>
      <c r="C378" s="396"/>
      <c r="K378" s="397"/>
    </row>
    <row r="379" spans="1:11" ht="13" x14ac:dyDescent="0.3">
      <c r="B379" s="399" t="s">
        <v>902</v>
      </c>
      <c r="D379" s="429" t="s">
        <v>914</v>
      </c>
      <c r="E379" s="429"/>
      <c r="F379" s="430"/>
      <c r="G379" s="430"/>
    </row>
    <row r="380" spans="1:11" ht="13" x14ac:dyDescent="0.3">
      <c r="A380" s="326"/>
      <c r="B380" s="326"/>
      <c r="C380" s="326"/>
      <c r="D380" s="326" t="s">
        <v>12</v>
      </c>
      <c r="E380" s="326" t="s">
        <v>343</v>
      </c>
      <c r="F380" s="326" t="s">
        <v>361</v>
      </c>
      <c r="G380" s="326" t="s">
        <v>13</v>
      </c>
      <c r="H380" s="326" t="s">
        <v>362</v>
      </c>
      <c r="I380" s="326" t="s">
        <v>363</v>
      </c>
      <c r="J380" s="326" t="s">
        <v>364</v>
      </c>
      <c r="K380" s="326" t="s">
        <v>451</v>
      </c>
    </row>
    <row r="381" spans="1:11" ht="25.5" x14ac:dyDescent="0.3">
      <c r="D381" s="363"/>
      <c r="E381" s="400" t="s">
        <v>883</v>
      </c>
      <c r="F381" s="356" t="s">
        <v>884</v>
      </c>
      <c r="G381" s="356"/>
      <c r="H381" s="363"/>
      <c r="I381" s="400" t="s">
        <v>885</v>
      </c>
      <c r="J381" s="400" t="s">
        <v>886</v>
      </c>
      <c r="K381" s="400" t="s">
        <v>887</v>
      </c>
    </row>
    <row r="382" spans="1:11" ht="13" x14ac:dyDescent="0.3">
      <c r="D382" s="363"/>
      <c r="E382" s="400"/>
      <c r="F382" s="356"/>
      <c r="G382" s="351" t="str">
        <f>G51</f>
        <v>Unloaded</v>
      </c>
      <c r="H382" s="363"/>
      <c r="I382" s="400"/>
      <c r="J382" s="400"/>
      <c r="K382" s="400"/>
    </row>
    <row r="383" spans="1:11" ht="13" x14ac:dyDescent="0.3">
      <c r="A383" s="321"/>
      <c r="B383" s="321"/>
      <c r="C383" s="321"/>
      <c r="D383" s="321" t="str">
        <f>D$52</f>
        <v>Forecast</v>
      </c>
      <c r="E383" s="321" t="str">
        <f t="shared" ref="E383:J383" si="64">E$52</f>
        <v>Corporate</v>
      </c>
      <c r="F383" s="321" t="str">
        <f t="shared" si="64"/>
        <v xml:space="preserve">Total </v>
      </c>
      <c r="G383" s="351" t="str">
        <f>G52</f>
        <v>Total</v>
      </c>
      <c r="H383" s="321" t="str">
        <f t="shared" si="64"/>
        <v>Prior Period</v>
      </c>
      <c r="I383" s="321" t="str">
        <f t="shared" si="64"/>
        <v>Over Heads</v>
      </c>
      <c r="J383" s="321" t="str">
        <f t="shared" si="64"/>
        <v>Forecast</v>
      </c>
      <c r="K383" s="321" t="str">
        <f>K$52</f>
        <v>Forecast Period</v>
      </c>
    </row>
    <row r="384" spans="1:11" ht="13" x14ac:dyDescent="0.3">
      <c r="A384" s="325" t="s">
        <v>22</v>
      </c>
      <c r="B384" s="94" t="s">
        <v>23</v>
      </c>
      <c r="C384" s="94" t="s">
        <v>24</v>
      </c>
      <c r="D384" s="326" t="str">
        <f>D$53</f>
        <v>Expenditures</v>
      </c>
      <c r="E384" s="326" t="str">
        <f t="shared" ref="E384:J384" si="65">E$53</f>
        <v>Overheads</v>
      </c>
      <c r="F384" s="326" t="str">
        <f t="shared" si="65"/>
        <v>CWIP Exp</v>
      </c>
      <c r="G384" s="363" t="str">
        <f>G53</f>
        <v>Plant Adds</v>
      </c>
      <c r="H384" s="326" t="str">
        <f t="shared" si="65"/>
        <v>CWIP Closed</v>
      </c>
      <c r="I384" s="326" t="str">
        <f t="shared" si="65"/>
        <v>Closed to PIS</v>
      </c>
      <c r="J384" s="326" t="str">
        <f t="shared" si="65"/>
        <v>Period CWIP</v>
      </c>
      <c r="K384" s="326" t="str">
        <f>K$53</f>
        <v>Incremental CWIP</v>
      </c>
    </row>
    <row r="385" spans="1:11" ht="13" x14ac:dyDescent="0.3">
      <c r="A385" s="321">
        <f>A377+1</f>
        <v>289</v>
      </c>
      <c r="B385" s="104" t="s">
        <v>27</v>
      </c>
      <c r="C385" s="371">
        <v>2019</v>
      </c>
      <c r="D385" s="356" t="s">
        <v>28</v>
      </c>
      <c r="E385" s="356" t="s">
        <v>28</v>
      </c>
      <c r="F385" s="356" t="s">
        <v>28</v>
      </c>
      <c r="G385" s="356" t="s">
        <v>28</v>
      </c>
      <c r="H385" s="356" t="s">
        <v>28</v>
      </c>
      <c r="I385" s="356" t="s">
        <v>28</v>
      </c>
      <c r="J385" s="328">
        <f>H45</f>
        <v>101741830.36564952</v>
      </c>
      <c r="K385" s="356" t="s">
        <v>28</v>
      </c>
    </row>
    <row r="386" spans="1:11" ht="13" x14ac:dyDescent="0.3">
      <c r="A386" s="321">
        <f>A385+1</f>
        <v>290</v>
      </c>
      <c r="B386" s="104" t="s">
        <v>30</v>
      </c>
      <c r="C386" s="371">
        <v>2020</v>
      </c>
      <c r="D386" s="373">
        <v>1661503</v>
      </c>
      <c r="E386" s="328">
        <v>124612.72499999999</v>
      </c>
      <c r="F386" s="328">
        <f>E386+D386</f>
        <v>1786115.7250000001</v>
      </c>
      <c r="G386" s="373">
        <v>0</v>
      </c>
      <c r="H386" s="373">
        <v>0</v>
      </c>
      <c r="I386" s="328">
        <v>0</v>
      </c>
      <c r="J386" s="328">
        <f>J385+F386-G386-I386</f>
        <v>103527946.09064952</v>
      </c>
      <c r="K386" s="328">
        <f>J386-$J$385</f>
        <v>1786115.724999994</v>
      </c>
    </row>
    <row r="387" spans="1:11" ht="13" x14ac:dyDescent="0.3">
      <c r="A387" s="321">
        <f t="shared" ref="A387:A410" si="66">A386+1</f>
        <v>291</v>
      </c>
      <c r="B387" s="104" t="s">
        <v>32</v>
      </c>
      <c r="C387" s="371">
        <v>2020</v>
      </c>
      <c r="D387" s="373">
        <v>1061915</v>
      </c>
      <c r="E387" s="328">
        <v>79643.625</v>
      </c>
      <c r="F387" s="328">
        <f>E387+D387</f>
        <v>1141558.625</v>
      </c>
      <c r="G387" s="373">
        <v>0</v>
      </c>
      <c r="H387" s="373">
        <v>0</v>
      </c>
      <c r="I387" s="328">
        <v>0</v>
      </c>
      <c r="J387" s="328">
        <f t="shared" ref="J387:J409" si="67">J386+F387-G387-I387</f>
        <v>104669504.71564952</v>
      </c>
      <c r="K387" s="328">
        <f t="shared" ref="K387:K409" si="68">J387-$J$385</f>
        <v>2927674.349999994</v>
      </c>
    </row>
    <row r="388" spans="1:11" ht="13" x14ac:dyDescent="0.3">
      <c r="A388" s="321">
        <f t="shared" si="66"/>
        <v>292</v>
      </c>
      <c r="B388" s="104" t="s">
        <v>34</v>
      </c>
      <c r="C388" s="371">
        <v>2020</v>
      </c>
      <c r="D388" s="373">
        <v>670728</v>
      </c>
      <c r="E388" s="328">
        <v>50304.6</v>
      </c>
      <c r="F388" s="328">
        <f t="shared" ref="F388:F409" si="69">E388+D388</f>
        <v>721032.6</v>
      </c>
      <c r="G388" s="373">
        <v>0</v>
      </c>
      <c r="H388" s="373">
        <v>0</v>
      </c>
      <c r="I388" s="328">
        <v>0</v>
      </c>
      <c r="J388" s="328">
        <f t="shared" si="67"/>
        <v>105390537.31564951</v>
      </c>
      <c r="K388" s="328">
        <f t="shared" si="68"/>
        <v>3648706.9499999881</v>
      </c>
    </row>
    <row r="389" spans="1:11" ht="13" x14ac:dyDescent="0.3">
      <c r="A389" s="321">
        <f t="shared" si="66"/>
        <v>293</v>
      </c>
      <c r="B389" s="104" t="s">
        <v>36</v>
      </c>
      <c r="C389" s="371">
        <v>2020</v>
      </c>
      <c r="D389" s="373">
        <v>2266628</v>
      </c>
      <c r="E389" s="328">
        <v>169997.1</v>
      </c>
      <c r="F389" s="328">
        <f t="shared" si="69"/>
        <v>2436625.1</v>
      </c>
      <c r="G389" s="373">
        <v>0</v>
      </c>
      <c r="H389" s="373">
        <v>0</v>
      </c>
      <c r="I389" s="328">
        <v>0</v>
      </c>
      <c r="J389" s="328">
        <f t="shared" si="67"/>
        <v>107827162.4156495</v>
      </c>
      <c r="K389" s="328">
        <f t="shared" si="68"/>
        <v>6085332.0499999821</v>
      </c>
    </row>
    <row r="390" spans="1:11" ht="13" x14ac:dyDescent="0.3">
      <c r="A390" s="321">
        <f t="shared" si="66"/>
        <v>294</v>
      </c>
      <c r="B390" s="104" t="s">
        <v>37</v>
      </c>
      <c r="C390" s="371">
        <v>2020</v>
      </c>
      <c r="D390" s="373">
        <v>2758756.9999999995</v>
      </c>
      <c r="E390" s="328">
        <v>206906.77499999997</v>
      </c>
      <c r="F390" s="328">
        <f t="shared" si="69"/>
        <v>2965663.7749999994</v>
      </c>
      <c r="G390" s="373">
        <v>0</v>
      </c>
      <c r="H390" s="373">
        <v>0</v>
      </c>
      <c r="I390" s="328">
        <v>0</v>
      </c>
      <c r="J390" s="328">
        <f t="shared" si="67"/>
        <v>110792826.19064951</v>
      </c>
      <c r="K390" s="328">
        <f t="shared" si="68"/>
        <v>9050995.8249999881</v>
      </c>
    </row>
    <row r="391" spans="1:11" ht="13" x14ac:dyDescent="0.3">
      <c r="A391" s="321">
        <f t="shared" si="66"/>
        <v>295</v>
      </c>
      <c r="B391" s="104" t="s">
        <v>471</v>
      </c>
      <c r="C391" s="371">
        <v>2020</v>
      </c>
      <c r="D391" s="373">
        <v>2092027</v>
      </c>
      <c r="E391" s="328">
        <v>156902.02499999999</v>
      </c>
      <c r="F391" s="328">
        <f t="shared" si="69"/>
        <v>2248929.0249999999</v>
      </c>
      <c r="G391" s="373">
        <v>0</v>
      </c>
      <c r="H391" s="373">
        <v>0</v>
      </c>
      <c r="I391" s="328">
        <v>0</v>
      </c>
      <c r="J391" s="328">
        <f t="shared" si="67"/>
        <v>113041755.21564952</v>
      </c>
      <c r="K391" s="328">
        <f t="shared" si="68"/>
        <v>11299924.849999994</v>
      </c>
    </row>
    <row r="392" spans="1:11" ht="13" x14ac:dyDescent="0.3">
      <c r="A392" s="321">
        <f t="shared" si="66"/>
        <v>296</v>
      </c>
      <c r="B392" s="104" t="s">
        <v>39</v>
      </c>
      <c r="C392" s="371">
        <v>2020</v>
      </c>
      <c r="D392" s="373">
        <v>4568940.0000000009</v>
      </c>
      <c r="E392" s="328">
        <v>342670.50000000006</v>
      </c>
      <c r="F392" s="328">
        <f t="shared" si="69"/>
        <v>4911610.5000000009</v>
      </c>
      <c r="G392" s="373">
        <v>0</v>
      </c>
      <c r="H392" s="373">
        <v>0</v>
      </c>
      <c r="I392" s="328">
        <v>0</v>
      </c>
      <c r="J392" s="328">
        <f t="shared" si="67"/>
        <v>117953365.71564952</v>
      </c>
      <c r="K392" s="328">
        <f t="shared" si="68"/>
        <v>16211535.349999994</v>
      </c>
    </row>
    <row r="393" spans="1:11" ht="13" x14ac:dyDescent="0.3">
      <c r="A393" s="321">
        <f t="shared" si="66"/>
        <v>297</v>
      </c>
      <c r="B393" s="104" t="s">
        <v>40</v>
      </c>
      <c r="C393" s="371">
        <v>2020</v>
      </c>
      <c r="D393" s="373">
        <v>6102128.0000000009</v>
      </c>
      <c r="E393" s="328">
        <v>457659.60000000003</v>
      </c>
      <c r="F393" s="328">
        <f t="shared" si="69"/>
        <v>6559787.6000000006</v>
      </c>
      <c r="G393" s="373">
        <v>0</v>
      </c>
      <c r="H393" s="373">
        <v>0</v>
      </c>
      <c r="I393" s="328">
        <v>0</v>
      </c>
      <c r="J393" s="328">
        <f t="shared" si="67"/>
        <v>124513153.31564951</v>
      </c>
      <c r="K393" s="328">
        <f t="shared" si="68"/>
        <v>22771322.949999988</v>
      </c>
    </row>
    <row r="394" spans="1:11" ht="13" x14ac:dyDescent="0.3">
      <c r="A394" s="321">
        <f t="shared" si="66"/>
        <v>298</v>
      </c>
      <c r="B394" s="104" t="s">
        <v>41</v>
      </c>
      <c r="C394" s="371">
        <v>2020</v>
      </c>
      <c r="D394" s="373">
        <v>1871455</v>
      </c>
      <c r="E394" s="328">
        <v>140359.125</v>
      </c>
      <c r="F394" s="328">
        <f t="shared" si="69"/>
        <v>2011814.125</v>
      </c>
      <c r="G394" s="373">
        <v>0</v>
      </c>
      <c r="H394" s="373">
        <v>0</v>
      </c>
      <c r="I394" s="328">
        <v>0</v>
      </c>
      <c r="J394" s="328">
        <f t="shared" si="67"/>
        <v>126524967.44064951</v>
      </c>
      <c r="K394" s="328">
        <f t="shared" si="68"/>
        <v>24783137.074999988</v>
      </c>
    </row>
    <row r="395" spans="1:11" ht="13" x14ac:dyDescent="0.3">
      <c r="A395" s="321">
        <f t="shared" si="66"/>
        <v>299</v>
      </c>
      <c r="B395" s="104" t="s">
        <v>42</v>
      </c>
      <c r="C395" s="371">
        <v>2020</v>
      </c>
      <c r="D395" s="373">
        <v>5341555.0000000009</v>
      </c>
      <c r="E395" s="328">
        <v>400616.62500000006</v>
      </c>
      <c r="F395" s="328">
        <f t="shared" si="69"/>
        <v>5742171.6250000009</v>
      </c>
      <c r="G395" s="373">
        <v>20943698.879999995</v>
      </c>
      <c r="H395" s="373">
        <v>17136385.879999999</v>
      </c>
      <c r="I395" s="328">
        <v>285548.47499999969</v>
      </c>
      <c r="J395" s="328">
        <f t="shared" si="67"/>
        <v>111037891.71064952</v>
      </c>
      <c r="K395" s="328">
        <f t="shared" si="68"/>
        <v>9296061.3449999988</v>
      </c>
    </row>
    <row r="396" spans="1:11" ht="13" x14ac:dyDescent="0.3">
      <c r="A396" s="321">
        <f t="shared" si="66"/>
        <v>300</v>
      </c>
      <c r="B396" s="104" t="s">
        <v>43</v>
      </c>
      <c r="C396" s="371">
        <v>2020</v>
      </c>
      <c r="D396" s="373">
        <v>2638971.9999999995</v>
      </c>
      <c r="E396" s="328">
        <v>197922.89999999997</v>
      </c>
      <c r="F396" s="328">
        <f t="shared" si="69"/>
        <v>2836894.8999999994</v>
      </c>
      <c r="G396" s="373">
        <v>268000</v>
      </c>
      <c r="H396" s="373">
        <v>0</v>
      </c>
      <c r="I396" s="328">
        <v>20100</v>
      </c>
      <c r="J396" s="328">
        <f t="shared" si="67"/>
        <v>113586686.61064953</v>
      </c>
      <c r="K396" s="328">
        <f t="shared" si="68"/>
        <v>11844856.245000005</v>
      </c>
    </row>
    <row r="397" spans="1:11" ht="13" x14ac:dyDescent="0.3">
      <c r="A397" s="321">
        <f t="shared" si="66"/>
        <v>301</v>
      </c>
      <c r="B397" s="104" t="s">
        <v>27</v>
      </c>
      <c r="C397" s="371">
        <v>2020</v>
      </c>
      <c r="D397" s="373">
        <v>3979392</v>
      </c>
      <c r="E397" s="328">
        <v>298454.39999999997</v>
      </c>
      <c r="F397" s="328">
        <f t="shared" si="69"/>
        <v>4277846.4000000004</v>
      </c>
      <c r="G397" s="373">
        <v>303687</v>
      </c>
      <c r="H397" s="373">
        <v>0</v>
      </c>
      <c r="I397" s="328">
        <v>22776.524999999998</v>
      </c>
      <c r="J397" s="328">
        <f t="shared" si="67"/>
        <v>117538069.48564953</v>
      </c>
      <c r="K397" s="328">
        <f t="shared" si="68"/>
        <v>15796239.120000005</v>
      </c>
    </row>
    <row r="398" spans="1:11" ht="13" x14ac:dyDescent="0.3">
      <c r="A398" s="321">
        <f t="shared" si="66"/>
        <v>302</v>
      </c>
      <c r="B398" s="104" t="s">
        <v>30</v>
      </c>
      <c r="C398" s="371">
        <v>2021</v>
      </c>
      <c r="D398" s="373">
        <v>2465000</v>
      </c>
      <c r="E398" s="328">
        <v>184875</v>
      </c>
      <c r="F398" s="328">
        <f t="shared" si="69"/>
        <v>2649875</v>
      </c>
      <c r="G398" s="373">
        <v>635000</v>
      </c>
      <c r="H398" s="373">
        <v>0</v>
      </c>
      <c r="I398" s="328">
        <v>47625</v>
      </c>
      <c r="J398" s="328">
        <f t="shared" si="67"/>
        <v>119505319.48564953</v>
      </c>
      <c r="K398" s="328">
        <f t="shared" si="68"/>
        <v>17763489.120000005</v>
      </c>
    </row>
    <row r="399" spans="1:11" ht="13" x14ac:dyDescent="0.3">
      <c r="A399" s="321">
        <f t="shared" si="66"/>
        <v>303</v>
      </c>
      <c r="B399" s="104" t="s">
        <v>32</v>
      </c>
      <c r="C399" s="371">
        <v>2021</v>
      </c>
      <c r="D399" s="373">
        <v>2980000</v>
      </c>
      <c r="E399" s="328">
        <v>223500</v>
      </c>
      <c r="F399" s="328">
        <f t="shared" si="69"/>
        <v>3203500</v>
      </c>
      <c r="G399" s="373">
        <v>151000</v>
      </c>
      <c r="H399" s="373">
        <v>0</v>
      </c>
      <c r="I399" s="328">
        <v>11325</v>
      </c>
      <c r="J399" s="328">
        <f t="shared" si="67"/>
        <v>122546494.48564953</v>
      </c>
      <c r="K399" s="328">
        <f t="shared" si="68"/>
        <v>20804664.120000005</v>
      </c>
    </row>
    <row r="400" spans="1:11" ht="13" x14ac:dyDescent="0.3">
      <c r="A400" s="321">
        <f t="shared" si="66"/>
        <v>304</v>
      </c>
      <c r="B400" s="104" t="s">
        <v>34</v>
      </c>
      <c r="C400" s="371">
        <v>2021</v>
      </c>
      <c r="D400" s="373">
        <v>7259333</v>
      </c>
      <c r="E400" s="328">
        <v>544449.97499999998</v>
      </c>
      <c r="F400" s="328">
        <f t="shared" si="69"/>
        <v>7803782.9749999996</v>
      </c>
      <c r="G400" s="373">
        <v>1263441</v>
      </c>
      <c r="H400" s="373">
        <v>0</v>
      </c>
      <c r="I400" s="328">
        <v>94758.074999999997</v>
      </c>
      <c r="J400" s="328">
        <f t="shared" si="67"/>
        <v>128992078.38564952</v>
      </c>
      <c r="K400" s="328">
        <f t="shared" si="68"/>
        <v>27250248.019999996</v>
      </c>
    </row>
    <row r="401" spans="1:11" ht="13" x14ac:dyDescent="0.3">
      <c r="A401" s="321">
        <f t="shared" si="66"/>
        <v>305</v>
      </c>
      <c r="B401" s="104" t="s">
        <v>36</v>
      </c>
      <c r="C401" s="371">
        <v>2021</v>
      </c>
      <c r="D401" s="373">
        <v>4159830</v>
      </c>
      <c r="E401" s="328">
        <v>311987.25</v>
      </c>
      <c r="F401" s="328">
        <f t="shared" si="69"/>
        <v>4471817.25</v>
      </c>
      <c r="G401" s="373">
        <v>27429645.48</v>
      </c>
      <c r="H401" s="373">
        <v>13129540.48</v>
      </c>
      <c r="I401" s="328">
        <v>1072507.875</v>
      </c>
      <c r="J401" s="328">
        <f t="shared" si="67"/>
        <v>104961742.28064951</v>
      </c>
      <c r="K401" s="328">
        <f t="shared" si="68"/>
        <v>3219911.9149999917</v>
      </c>
    </row>
    <row r="402" spans="1:11" ht="13" x14ac:dyDescent="0.3">
      <c r="A402" s="321">
        <f t="shared" si="66"/>
        <v>306</v>
      </c>
      <c r="B402" s="104" t="s">
        <v>37</v>
      </c>
      <c r="C402" s="371">
        <v>2021</v>
      </c>
      <c r="D402" s="373">
        <v>6190162</v>
      </c>
      <c r="E402" s="328">
        <v>464262.14999999997</v>
      </c>
      <c r="F402" s="328">
        <f t="shared" si="69"/>
        <v>6654424.1500000004</v>
      </c>
      <c r="G402" s="373">
        <v>31499388.91</v>
      </c>
      <c r="H402" s="373">
        <v>22398460.91</v>
      </c>
      <c r="I402" s="328">
        <v>682569.6</v>
      </c>
      <c r="J402" s="328">
        <f t="shared" si="67"/>
        <v>79434207.920649529</v>
      </c>
      <c r="K402" s="328">
        <f t="shared" si="68"/>
        <v>-22307622.444999993</v>
      </c>
    </row>
    <row r="403" spans="1:11" ht="13" x14ac:dyDescent="0.3">
      <c r="A403" s="321">
        <f t="shared" si="66"/>
        <v>307</v>
      </c>
      <c r="B403" s="104" t="s">
        <v>471</v>
      </c>
      <c r="C403" s="371">
        <v>2021</v>
      </c>
      <c r="D403" s="373">
        <v>3784828.9999999995</v>
      </c>
      <c r="E403" s="328">
        <v>283862.17499999993</v>
      </c>
      <c r="F403" s="328">
        <f t="shared" si="69"/>
        <v>4068691.1749999993</v>
      </c>
      <c r="G403" s="373">
        <v>2382850.0000000005</v>
      </c>
      <c r="H403" s="373">
        <v>0</v>
      </c>
      <c r="I403" s="328">
        <v>178713.75000000003</v>
      </c>
      <c r="J403" s="328">
        <f t="shared" si="67"/>
        <v>80941335.345649526</v>
      </c>
      <c r="K403" s="328">
        <f t="shared" si="68"/>
        <v>-20800495.019999996</v>
      </c>
    </row>
    <row r="404" spans="1:11" ht="13" x14ac:dyDescent="0.3">
      <c r="A404" s="321">
        <f t="shared" si="66"/>
        <v>308</v>
      </c>
      <c r="B404" s="104" t="s">
        <v>39</v>
      </c>
      <c r="C404" s="371">
        <v>2021</v>
      </c>
      <c r="D404" s="373">
        <v>3229375.9999999995</v>
      </c>
      <c r="E404" s="328">
        <v>242203.19999999995</v>
      </c>
      <c r="F404" s="328">
        <f t="shared" si="69"/>
        <v>3471579.1999999993</v>
      </c>
      <c r="G404" s="373">
        <v>1609541.0000000002</v>
      </c>
      <c r="H404" s="373">
        <v>0</v>
      </c>
      <c r="I404" s="328">
        <v>120715.57500000001</v>
      </c>
      <c r="J404" s="328">
        <f t="shared" si="67"/>
        <v>82682657.970649526</v>
      </c>
      <c r="K404" s="328">
        <f t="shared" si="68"/>
        <v>-19059172.394999996</v>
      </c>
    </row>
    <row r="405" spans="1:11" ht="13" x14ac:dyDescent="0.3">
      <c r="A405" s="321">
        <f t="shared" si="66"/>
        <v>309</v>
      </c>
      <c r="B405" s="104" t="s">
        <v>40</v>
      </c>
      <c r="C405" s="371">
        <v>2021</v>
      </c>
      <c r="D405" s="373">
        <v>3216375.9999999995</v>
      </c>
      <c r="E405" s="328">
        <v>241228.19999999995</v>
      </c>
      <c r="F405" s="328">
        <f t="shared" si="69"/>
        <v>3457604.1999999993</v>
      </c>
      <c r="G405" s="373">
        <v>1876541.0000000002</v>
      </c>
      <c r="H405" s="373">
        <v>0</v>
      </c>
      <c r="I405" s="328">
        <v>140740.57500000001</v>
      </c>
      <c r="J405" s="328">
        <f t="shared" si="67"/>
        <v>84122980.595649526</v>
      </c>
      <c r="K405" s="328">
        <f t="shared" si="68"/>
        <v>-17618849.769999996</v>
      </c>
    </row>
    <row r="406" spans="1:11" ht="13" x14ac:dyDescent="0.3">
      <c r="A406" s="321">
        <f t="shared" si="66"/>
        <v>310</v>
      </c>
      <c r="B406" s="104" t="s">
        <v>41</v>
      </c>
      <c r="C406" s="371">
        <v>2021</v>
      </c>
      <c r="D406" s="373">
        <v>3459830</v>
      </c>
      <c r="E406" s="328">
        <v>259487.25</v>
      </c>
      <c r="F406" s="328">
        <f t="shared" si="69"/>
        <v>3719317.25</v>
      </c>
      <c r="G406" s="373">
        <v>1993850.0000000002</v>
      </c>
      <c r="H406" s="373">
        <v>0</v>
      </c>
      <c r="I406" s="328">
        <v>149538.75</v>
      </c>
      <c r="J406" s="328">
        <f t="shared" si="67"/>
        <v>85698909.095649526</v>
      </c>
      <c r="K406" s="328">
        <f t="shared" si="68"/>
        <v>-16042921.269999996</v>
      </c>
    </row>
    <row r="407" spans="1:11" ht="13" x14ac:dyDescent="0.3">
      <c r="A407" s="321">
        <f t="shared" si="66"/>
        <v>311</v>
      </c>
      <c r="B407" s="104" t="s">
        <v>42</v>
      </c>
      <c r="C407" s="371">
        <v>2021</v>
      </c>
      <c r="D407" s="373">
        <v>2673375.9999999995</v>
      </c>
      <c r="E407" s="328">
        <v>200503.19999999995</v>
      </c>
      <c r="F407" s="328">
        <f t="shared" si="69"/>
        <v>2873879.1999999993</v>
      </c>
      <c r="G407" s="373">
        <v>1331541</v>
      </c>
      <c r="H407" s="373">
        <v>0</v>
      </c>
      <c r="I407" s="328">
        <v>99865.574999999997</v>
      </c>
      <c r="J407" s="328">
        <f t="shared" si="67"/>
        <v>87141381.720649526</v>
      </c>
      <c r="K407" s="328">
        <f t="shared" si="68"/>
        <v>-14600448.644999996</v>
      </c>
    </row>
    <row r="408" spans="1:11" ht="13" x14ac:dyDescent="0.3">
      <c r="A408" s="321">
        <f t="shared" si="66"/>
        <v>312</v>
      </c>
      <c r="B408" s="104" t="s">
        <v>43</v>
      </c>
      <c r="C408" s="371">
        <v>2021</v>
      </c>
      <c r="D408" s="373">
        <v>2616375.9999999995</v>
      </c>
      <c r="E408" s="328">
        <v>196228.19999999995</v>
      </c>
      <c r="F408" s="328">
        <f t="shared" si="69"/>
        <v>2812604.1999999993</v>
      </c>
      <c r="G408" s="373">
        <v>1309541</v>
      </c>
      <c r="H408" s="373">
        <v>0</v>
      </c>
      <c r="I408" s="328">
        <v>98215.574999999997</v>
      </c>
      <c r="J408" s="328">
        <f t="shared" si="67"/>
        <v>88546229.345649526</v>
      </c>
      <c r="K408" s="328">
        <f t="shared" si="68"/>
        <v>-13195601.019999996</v>
      </c>
    </row>
    <row r="409" spans="1:11" ht="13" x14ac:dyDescent="0.3">
      <c r="A409" s="321">
        <f t="shared" si="66"/>
        <v>313</v>
      </c>
      <c r="B409" s="104" t="s">
        <v>27</v>
      </c>
      <c r="C409" s="371">
        <v>2021</v>
      </c>
      <c r="D409" s="373">
        <v>3554511.9999999995</v>
      </c>
      <c r="E409" s="328">
        <v>266588.39999999997</v>
      </c>
      <c r="F409" s="328">
        <f t="shared" si="69"/>
        <v>3821100.3999999994</v>
      </c>
      <c r="G409" s="373">
        <v>59830362.590000004</v>
      </c>
      <c r="H409" s="373">
        <v>34609700.589999996</v>
      </c>
      <c r="I409" s="328">
        <v>1891549.6500000004</v>
      </c>
      <c r="J409" s="328">
        <f t="shared" si="67"/>
        <v>30645417.505649529</v>
      </c>
      <c r="K409" s="335">
        <f t="shared" si="68"/>
        <v>-71096412.859999985</v>
      </c>
    </row>
    <row r="410" spans="1:11" ht="13" x14ac:dyDescent="0.3">
      <c r="A410" s="321">
        <f t="shared" si="66"/>
        <v>314</v>
      </c>
      <c r="C410" s="396" t="s">
        <v>880</v>
      </c>
      <c r="H410" s="356"/>
      <c r="I410" s="356"/>
      <c r="K410" s="397">
        <f>AVERAGE(K397:K409)</f>
        <v>-8452843.93307692</v>
      </c>
    </row>
    <row r="411" spans="1:11" ht="13" x14ac:dyDescent="0.3">
      <c r="A411" s="321"/>
      <c r="C411" s="396"/>
      <c r="H411" s="356"/>
      <c r="I411" s="356"/>
      <c r="K411" s="397"/>
    </row>
    <row r="412" spans="1:11" ht="13" x14ac:dyDescent="0.3">
      <c r="B412" s="399" t="s">
        <v>904</v>
      </c>
      <c r="D412" s="354" t="s">
        <v>905</v>
      </c>
      <c r="E412" s="354"/>
      <c r="F412" s="359"/>
      <c r="G412" s="359"/>
    </row>
    <row r="413" spans="1:11" ht="13" x14ac:dyDescent="0.3">
      <c r="A413" s="326"/>
      <c r="B413" s="326"/>
      <c r="C413" s="326"/>
      <c r="D413" s="326" t="s">
        <v>12</v>
      </c>
      <c r="E413" s="326" t="s">
        <v>343</v>
      </c>
      <c r="F413" s="326" t="s">
        <v>361</v>
      </c>
      <c r="G413" s="326" t="s">
        <v>13</v>
      </c>
      <c r="H413" s="326" t="s">
        <v>362</v>
      </c>
      <c r="I413" s="326" t="s">
        <v>363</v>
      </c>
      <c r="J413" s="326" t="s">
        <v>364</v>
      </c>
      <c r="K413" s="326" t="s">
        <v>451</v>
      </c>
    </row>
    <row r="414" spans="1:11" ht="25.5" x14ac:dyDescent="0.3">
      <c r="D414" s="363"/>
      <c r="E414" s="400" t="s">
        <v>883</v>
      </c>
      <c r="F414" s="356" t="s">
        <v>884</v>
      </c>
      <c r="G414" s="356"/>
      <c r="H414" s="363"/>
      <c r="I414" s="400" t="s">
        <v>885</v>
      </c>
      <c r="J414" s="400" t="s">
        <v>886</v>
      </c>
      <c r="K414" s="400" t="s">
        <v>887</v>
      </c>
    </row>
    <row r="415" spans="1:11" ht="13" x14ac:dyDescent="0.3">
      <c r="D415" s="363"/>
      <c r="E415" s="400"/>
      <c r="F415" s="356"/>
      <c r="G415" s="351" t="str">
        <f>G85</f>
        <v>Unloaded</v>
      </c>
      <c r="H415" s="363"/>
      <c r="I415" s="400"/>
      <c r="J415" s="400"/>
      <c r="K415" s="400"/>
    </row>
    <row r="416" spans="1:11" ht="13" x14ac:dyDescent="0.3">
      <c r="A416" s="321"/>
      <c r="B416" s="321"/>
      <c r="C416" s="321"/>
      <c r="D416" s="321" t="str">
        <f>D$52</f>
        <v>Forecast</v>
      </c>
      <c r="E416" s="321" t="str">
        <f t="shared" ref="E416:J416" si="70">E$52</f>
        <v>Corporate</v>
      </c>
      <c r="F416" s="321" t="str">
        <f t="shared" si="70"/>
        <v xml:space="preserve">Total </v>
      </c>
      <c r="G416" s="351" t="str">
        <f>G86</f>
        <v>Total</v>
      </c>
      <c r="H416" s="321" t="str">
        <f t="shared" si="70"/>
        <v>Prior Period</v>
      </c>
      <c r="I416" s="321" t="str">
        <f t="shared" si="70"/>
        <v>Over Heads</v>
      </c>
      <c r="J416" s="321" t="str">
        <f t="shared" si="70"/>
        <v>Forecast</v>
      </c>
      <c r="K416" s="321" t="str">
        <f>K$52</f>
        <v>Forecast Period</v>
      </c>
    </row>
    <row r="417" spans="1:11" ht="13" x14ac:dyDescent="0.3">
      <c r="A417" s="325" t="s">
        <v>22</v>
      </c>
      <c r="B417" s="94" t="s">
        <v>23</v>
      </c>
      <c r="C417" s="94" t="s">
        <v>24</v>
      </c>
      <c r="D417" s="326" t="str">
        <f>D$53</f>
        <v>Expenditures</v>
      </c>
      <c r="E417" s="326" t="str">
        <f t="shared" ref="E417:J417" si="71">E$53</f>
        <v>Overheads</v>
      </c>
      <c r="F417" s="326" t="str">
        <f t="shared" si="71"/>
        <v>CWIP Exp</v>
      </c>
      <c r="G417" s="363" t="str">
        <f>G87</f>
        <v>Plant Adds</v>
      </c>
      <c r="H417" s="326" t="str">
        <f t="shared" si="71"/>
        <v>CWIP Closed</v>
      </c>
      <c r="I417" s="326" t="str">
        <f t="shared" si="71"/>
        <v>Closed to PIS</v>
      </c>
      <c r="J417" s="326" t="str">
        <f t="shared" si="71"/>
        <v>Period CWIP</v>
      </c>
      <c r="K417" s="326" t="str">
        <f>K$53</f>
        <v>Incremental CWIP</v>
      </c>
    </row>
    <row r="418" spans="1:11" ht="13" x14ac:dyDescent="0.3">
      <c r="A418" s="321">
        <f>A410+1</f>
        <v>315</v>
      </c>
      <c r="B418" s="104" t="s">
        <v>27</v>
      </c>
      <c r="C418" s="371">
        <v>2019</v>
      </c>
      <c r="D418" s="356" t="s">
        <v>28</v>
      </c>
      <c r="E418" s="356" t="s">
        <v>28</v>
      </c>
      <c r="F418" s="356" t="s">
        <v>28</v>
      </c>
      <c r="G418" s="356" t="s">
        <v>28</v>
      </c>
      <c r="H418" s="356" t="s">
        <v>28</v>
      </c>
      <c r="I418" s="356" t="s">
        <v>28</v>
      </c>
      <c r="J418" s="328">
        <v>0</v>
      </c>
      <c r="K418" s="356" t="s">
        <v>28</v>
      </c>
    </row>
    <row r="419" spans="1:11" ht="13" x14ac:dyDescent="0.3">
      <c r="A419" s="321">
        <f>A418+1</f>
        <v>316</v>
      </c>
      <c r="B419" s="104" t="s">
        <v>30</v>
      </c>
      <c r="C419" s="371">
        <v>2020</v>
      </c>
      <c r="D419" s="373"/>
      <c r="E419" s="328">
        <v>0</v>
      </c>
      <c r="F419" s="328">
        <f>E419+D419</f>
        <v>0</v>
      </c>
      <c r="G419" s="373"/>
      <c r="H419" s="373"/>
      <c r="I419" s="328">
        <v>0</v>
      </c>
      <c r="J419" s="328">
        <f>J418+F419-G419-I419</f>
        <v>0</v>
      </c>
      <c r="K419" s="328">
        <f>J419-$J$418</f>
        <v>0</v>
      </c>
    </row>
    <row r="420" spans="1:11" ht="13" x14ac:dyDescent="0.3">
      <c r="A420" s="321">
        <f t="shared" ref="A420:A443" si="72">A419+1</f>
        <v>317</v>
      </c>
      <c r="B420" s="104" t="s">
        <v>32</v>
      </c>
      <c r="C420" s="371">
        <v>2020</v>
      </c>
      <c r="D420" s="373"/>
      <c r="E420" s="328">
        <v>0</v>
      </c>
      <c r="F420" s="328">
        <f t="shared" ref="F420:F442" si="73">E420+D420</f>
        <v>0</v>
      </c>
      <c r="G420" s="373"/>
      <c r="H420" s="373"/>
      <c r="I420" s="328">
        <v>0</v>
      </c>
      <c r="J420" s="328">
        <f t="shared" ref="J420:J442" si="74">J419+F420-G420-I420</f>
        <v>0</v>
      </c>
      <c r="K420" s="328">
        <f t="shared" ref="K420:K442" si="75">J420-$J$418</f>
        <v>0</v>
      </c>
    </row>
    <row r="421" spans="1:11" ht="13" x14ac:dyDescent="0.3">
      <c r="A421" s="321">
        <f t="shared" si="72"/>
        <v>318</v>
      </c>
      <c r="B421" s="104" t="s">
        <v>34</v>
      </c>
      <c r="C421" s="371">
        <v>2020</v>
      </c>
      <c r="D421" s="373"/>
      <c r="E421" s="328">
        <v>0</v>
      </c>
      <c r="F421" s="328">
        <f t="shared" si="73"/>
        <v>0</v>
      </c>
      <c r="G421" s="373"/>
      <c r="H421" s="373"/>
      <c r="I421" s="328">
        <v>0</v>
      </c>
      <c r="J421" s="328">
        <f t="shared" si="74"/>
        <v>0</v>
      </c>
      <c r="K421" s="328">
        <f t="shared" si="75"/>
        <v>0</v>
      </c>
    </row>
    <row r="422" spans="1:11" ht="13" x14ac:dyDescent="0.3">
      <c r="A422" s="321">
        <f t="shared" si="72"/>
        <v>319</v>
      </c>
      <c r="B422" s="104" t="s">
        <v>36</v>
      </c>
      <c r="C422" s="371">
        <v>2020</v>
      </c>
      <c r="D422" s="373"/>
      <c r="E422" s="328">
        <v>0</v>
      </c>
      <c r="F422" s="328">
        <f t="shared" si="73"/>
        <v>0</v>
      </c>
      <c r="G422" s="373"/>
      <c r="H422" s="373"/>
      <c r="I422" s="328">
        <v>0</v>
      </c>
      <c r="J422" s="328">
        <f t="shared" si="74"/>
        <v>0</v>
      </c>
      <c r="K422" s="328">
        <f t="shared" si="75"/>
        <v>0</v>
      </c>
    </row>
    <row r="423" spans="1:11" ht="13" x14ac:dyDescent="0.3">
      <c r="A423" s="321">
        <f t="shared" si="72"/>
        <v>320</v>
      </c>
      <c r="B423" s="104" t="s">
        <v>37</v>
      </c>
      <c r="C423" s="371">
        <v>2020</v>
      </c>
      <c r="D423" s="373"/>
      <c r="E423" s="328">
        <v>0</v>
      </c>
      <c r="F423" s="328">
        <f t="shared" si="73"/>
        <v>0</v>
      </c>
      <c r="G423" s="373"/>
      <c r="H423" s="373"/>
      <c r="I423" s="328">
        <v>0</v>
      </c>
      <c r="J423" s="328">
        <f t="shared" si="74"/>
        <v>0</v>
      </c>
      <c r="K423" s="328">
        <f t="shared" si="75"/>
        <v>0</v>
      </c>
    </row>
    <row r="424" spans="1:11" ht="13" x14ac:dyDescent="0.3">
      <c r="A424" s="321">
        <f t="shared" si="72"/>
        <v>321</v>
      </c>
      <c r="B424" s="104" t="s">
        <v>471</v>
      </c>
      <c r="C424" s="371">
        <v>2020</v>
      </c>
      <c r="D424" s="373"/>
      <c r="E424" s="328">
        <v>0</v>
      </c>
      <c r="F424" s="328">
        <f t="shared" si="73"/>
        <v>0</v>
      </c>
      <c r="G424" s="373"/>
      <c r="H424" s="373"/>
      <c r="I424" s="328">
        <v>0</v>
      </c>
      <c r="J424" s="328">
        <f t="shared" si="74"/>
        <v>0</v>
      </c>
      <c r="K424" s="328">
        <f t="shared" si="75"/>
        <v>0</v>
      </c>
    </row>
    <row r="425" spans="1:11" ht="13" x14ac:dyDescent="0.3">
      <c r="A425" s="321">
        <f t="shared" si="72"/>
        <v>322</v>
      </c>
      <c r="B425" s="104" t="s">
        <v>39</v>
      </c>
      <c r="C425" s="371">
        <v>2020</v>
      </c>
      <c r="D425" s="373"/>
      <c r="E425" s="328">
        <v>0</v>
      </c>
      <c r="F425" s="328">
        <f t="shared" si="73"/>
        <v>0</v>
      </c>
      <c r="G425" s="373"/>
      <c r="H425" s="373"/>
      <c r="I425" s="328">
        <v>0</v>
      </c>
      <c r="J425" s="328">
        <f t="shared" si="74"/>
        <v>0</v>
      </c>
      <c r="K425" s="328">
        <f t="shared" si="75"/>
        <v>0</v>
      </c>
    </row>
    <row r="426" spans="1:11" ht="13" x14ac:dyDescent="0.3">
      <c r="A426" s="321">
        <f t="shared" si="72"/>
        <v>323</v>
      </c>
      <c r="B426" s="104" t="s">
        <v>40</v>
      </c>
      <c r="C426" s="371">
        <v>2020</v>
      </c>
      <c r="D426" s="373"/>
      <c r="E426" s="328">
        <v>0</v>
      </c>
      <c r="F426" s="328">
        <f t="shared" si="73"/>
        <v>0</v>
      </c>
      <c r="G426" s="373"/>
      <c r="H426" s="373"/>
      <c r="I426" s="328">
        <v>0</v>
      </c>
      <c r="J426" s="328">
        <f t="shared" si="74"/>
        <v>0</v>
      </c>
      <c r="K426" s="328">
        <f t="shared" si="75"/>
        <v>0</v>
      </c>
    </row>
    <row r="427" spans="1:11" ht="13" x14ac:dyDescent="0.3">
      <c r="A427" s="321">
        <f t="shared" si="72"/>
        <v>324</v>
      </c>
      <c r="B427" s="104" t="s">
        <v>41</v>
      </c>
      <c r="C427" s="371">
        <v>2020</v>
      </c>
      <c r="D427" s="373"/>
      <c r="E427" s="328">
        <v>0</v>
      </c>
      <c r="F427" s="328">
        <f t="shared" si="73"/>
        <v>0</v>
      </c>
      <c r="G427" s="373"/>
      <c r="H427" s="373"/>
      <c r="I427" s="328">
        <v>0</v>
      </c>
      <c r="J427" s="328">
        <f t="shared" si="74"/>
        <v>0</v>
      </c>
      <c r="K427" s="328">
        <f t="shared" si="75"/>
        <v>0</v>
      </c>
    </row>
    <row r="428" spans="1:11" ht="13" x14ac:dyDescent="0.3">
      <c r="A428" s="321">
        <f t="shared" si="72"/>
        <v>325</v>
      </c>
      <c r="B428" s="104" t="s">
        <v>42</v>
      </c>
      <c r="C428" s="371">
        <v>2020</v>
      </c>
      <c r="D428" s="373"/>
      <c r="E428" s="328">
        <v>0</v>
      </c>
      <c r="F428" s="328">
        <f t="shared" si="73"/>
        <v>0</v>
      </c>
      <c r="G428" s="373"/>
      <c r="H428" s="373"/>
      <c r="I428" s="328">
        <v>0</v>
      </c>
      <c r="J428" s="328">
        <f t="shared" si="74"/>
        <v>0</v>
      </c>
      <c r="K428" s="328">
        <f t="shared" si="75"/>
        <v>0</v>
      </c>
    </row>
    <row r="429" spans="1:11" ht="13" x14ac:dyDescent="0.3">
      <c r="A429" s="321">
        <f t="shared" si="72"/>
        <v>326</v>
      </c>
      <c r="B429" s="104" t="s">
        <v>43</v>
      </c>
      <c r="C429" s="371">
        <v>2020</v>
      </c>
      <c r="D429" s="373"/>
      <c r="E429" s="328">
        <v>0</v>
      </c>
      <c r="F429" s="328">
        <f t="shared" si="73"/>
        <v>0</v>
      </c>
      <c r="G429" s="373"/>
      <c r="H429" s="373"/>
      <c r="I429" s="328">
        <v>0</v>
      </c>
      <c r="J429" s="328">
        <f t="shared" si="74"/>
        <v>0</v>
      </c>
      <c r="K429" s="328">
        <f t="shared" si="75"/>
        <v>0</v>
      </c>
    </row>
    <row r="430" spans="1:11" ht="13" x14ac:dyDescent="0.3">
      <c r="A430" s="321">
        <f t="shared" si="72"/>
        <v>327</v>
      </c>
      <c r="B430" s="104" t="s">
        <v>27</v>
      </c>
      <c r="C430" s="371">
        <v>2020</v>
      </c>
      <c r="D430" s="373"/>
      <c r="E430" s="328">
        <v>0</v>
      </c>
      <c r="F430" s="328">
        <f t="shared" si="73"/>
        <v>0</v>
      </c>
      <c r="G430" s="373"/>
      <c r="H430" s="373"/>
      <c r="I430" s="328">
        <v>0</v>
      </c>
      <c r="J430" s="328">
        <f t="shared" si="74"/>
        <v>0</v>
      </c>
      <c r="K430" s="328">
        <f t="shared" si="75"/>
        <v>0</v>
      </c>
    </row>
    <row r="431" spans="1:11" ht="13" x14ac:dyDescent="0.3">
      <c r="A431" s="321">
        <f t="shared" si="72"/>
        <v>328</v>
      </c>
      <c r="B431" s="104" t="s">
        <v>30</v>
      </c>
      <c r="C431" s="371">
        <v>2021</v>
      </c>
      <c r="D431" s="373"/>
      <c r="E431" s="328">
        <v>0</v>
      </c>
      <c r="F431" s="328">
        <f t="shared" si="73"/>
        <v>0</v>
      </c>
      <c r="G431" s="373"/>
      <c r="H431" s="373"/>
      <c r="I431" s="328">
        <v>0</v>
      </c>
      <c r="J431" s="328">
        <f t="shared" si="74"/>
        <v>0</v>
      </c>
      <c r="K431" s="328">
        <f t="shared" si="75"/>
        <v>0</v>
      </c>
    </row>
    <row r="432" spans="1:11" ht="13" x14ac:dyDescent="0.3">
      <c r="A432" s="321">
        <f t="shared" si="72"/>
        <v>329</v>
      </c>
      <c r="B432" s="104" t="s">
        <v>32</v>
      </c>
      <c r="C432" s="371">
        <v>2021</v>
      </c>
      <c r="D432" s="373"/>
      <c r="E432" s="328">
        <v>0</v>
      </c>
      <c r="F432" s="328">
        <f t="shared" si="73"/>
        <v>0</v>
      </c>
      <c r="G432" s="373"/>
      <c r="H432" s="373"/>
      <c r="I432" s="328">
        <v>0</v>
      </c>
      <c r="J432" s="328">
        <f t="shared" si="74"/>
        <v>0</v>
      </c>
      <c r="K432" s="328">
        <f t="shared" si="75"/>
        <v>0</v>
      </c>
    </row>
    <row r="433" spans="1:11" ht="13" x14ac:dyDescent="0.3">
      <c r="A433" s="321">
        <f t="shared" si="72"/>
        <v>330</v>
      </c>
      <c r="B433" s="104" t="s">
        <v>34</v>
      </c>
      <c r="C433" s="371">
        <v>2021</v>
      </c>
      <c r="D433" s="373"/>
      <c r="E433" s="328">
        <v>0</v>
      </c>
      <c r="F433" s="328">
        <f t="shared" si="73"/>
        <v>0</v>
      </c>
      <c r="G433" s="373"/>
      <c r="H433" s="373"/>
      <c r="I433" s="328">
        <v>0</v>
      </c>
      <c r="J433" s="328">
        <f t="shared" si="74"/>
        <v>0</v>
      </c>
      <c r="K433" s="328">
        <f t="shared" si="75"/>
        <v>0</v>
      </c>
    </row>
    <row r="434" spans="1:11" ht="13" x14ac:dyDescent="0.3">
      <c r="A434" s="321">
        <f t="shared" si="72"/>
        <v>331</v>
      </c>
      <c r="B434" s="104" t="s">
        <v>36</v>
      </c>
      <c r="C434" s="371">
        <v>2021</v>
      </c>
      <c r="D434" s="373"/>
      <c r="E434" s="328">
        <v>0</v>
      </c>
      <c r="F434" s="328">
        <f t="shared" si="73"/>
        <v>0</v>
      </c>
      <c r="G434" s="373"/>
      <c r="H434" s="373"/>
      <c r="I434" s="328">
        <v>0</v>
      </c>
      <c r="J434" s="328">
        <f t="shared" si="74"/>
        <v>0</v>
      </c>
      <c r="K434" s="328">
        <f t="shared" si="75"/>
        <v>0</v>
      </c>
    </row>
    <row r="435" spans="1:11" ht="13" x14ac:dyDescent="0.3">
      <c r="A435" s="321">
        <f t="shared" si="72"/>
        <v>332</v>
      </c>
      <c r="B435" s="104" t="s">
        <v>37</v>
      </c>
      <c r="C435" s="371">
        <v>2021</v>
      </c>
      <c r="D435" s="373"/>
      <c r="E435" s="328">
        <v>0</v>
      </c>
      <c r="F435" s="328">
        <f t="shared" si="73"/>
        <v>0</v>
      </c>
      <c r="G435" s="373"/>
      <c r="H435" s="373"/>
      <c r="I435" s="328">
        <v>0</v>
      </c>
      <c r="J435" s="328">
        <f t="shared" si="74"/>
        <v>0</v>
      </c>
      <c r="K435" s="328">
        <f t="shared" si="75"/>
        <v>0</v>
      </c>
    </row>
    <row r="436" spans="1:11" ht="13" x14ac:dyDescent="0.3">
      <c r="A436" s="321">
        <f t="shared" si="72"/>
        <v>333</v>
      </c>
      <c r="B436" s="104" t="s">
        <v>471</v>
      </c>
      <c r="C436" s="371">
        <v>2021</v>
      </c>
      <c r="D436" s="373"/>
      <c r="E436" s="328">
        <v>0</v>
      </c>
      <c r="F436" s="328">
        <f t="shared" si="73"/>
        <v>0</v>
      </c>
      <c r="G436" s="373"/>
      <c r="H436" s="373"/>
      <c r="I436" s="328">
        <v>0</v>
      </c>
      <c r="J436" s="328">
        <f t="shared" si="74"/>
        <v>0</v>
      </c>
      <c r="K436" s="328">
        <f t="shared" si="75"/>
        <v>0</v>
      </c>
    </row>
    <row r="437" spans="1:11" ht="13" x14ac:dyDescent="0.3">
      <c r="A437" s="321">
        <f t="shared" si="72"/>
        <v>334</v>
      </c>
      <c r="B437" s="104" t="s">
        <v>39</v>
      </c>
      <c r="C437" s="371">
        <v>2021</v>
      </c>
      <c r="D437" s="373"/>
      <c r="E437" s="328">
        <v>0</v>
      </c>
      <c r="F437" s="328">
        <f t="shared" si="73"/>
        <v>0</v>
      </c>
      <c r="G437" s="373"/>
      <c r="H437" s="373"/>
      <c r="I437" s="328">
        <v>0</v>
      </c>
      <c r="J437" s="328">
        <f t="shared" si="74"/>
        <v>0</v>
      </c>
      <c r="K437" s="328">
        <f t="shared" si="75"/>
        <v>0</v>
      </c>
    </row>
    <row r="438" spans="1:11" ht="13" x14ac:dyDescent="0.3">
      <c r="A438" s="321">
        <f t="shared" si="72"/>
        <v>335</v>
      </c>
      <c r="B438" s="104" t="s">
        <v>40</v>
      </c>
      <c r="C438" s="371">
        <v>2021</v>
      </c>
      <c r="D438" s="373"/>
      <c r="E438" s="328">
        <v>0</v>
      </c>
      <c r="F438" s="328">
        <f t="shared" si="73"/>
        <v>0</v>
      </c>
      <c r="G438" s="373"/>
      <c r="H438" s="373"/>
      <c r="I438" s="328">
        <v>0</v>
      </c>
      <c r="J438" s="328">
        <f t="shared" si="74"/>
        <v>0</v>
      </c>
      <c r="K438" s="328">
        <f t="shared" si="75"/>
        <v>0</v>
      </c>
    </row>
    <row r="439" spans="1:11" ht="13" x14ac:dyDescent="0.3">
      <c r="A439" s="321">
        <f t="shared" si="72"/>
        <v>336</v>
      </c>
      <c r="B439" s="104" t="s">
        <v>41</v>
      </c>
      <c r="C439" s="371">
        <v>2021</v>
      </c>
      <c r="D439" s="373"/>
      <c r="E439" s="328">
        <v>0</v>
      </c>
      <c r="F439" s="328">
        <f t="shared" si="73"/>
        <v>0</v>
      </c>
      <c r="G439" s="373"/>
      <c r="H439" s="373"/>
      <c r="I439" s="328">
        <v>0</v>
      </c>
      <c r="J439" s="328">
        <f t="shared" si="74"/>
        <v>0</v>
      </c>
      <c r="K439" s="328">
        <f t="shared" si="75"/>
        <v>0</v>
      </c>
    </row>
    <row r="440" spans="1:11" ht="13" x14ac:dyDescent="0.3">
      <c r="A440" s="321">
        <f t="shared" si="72"/>
        <v>337</v>
      </c>
      <c r="B440" s="104" t="s">
        <v>42</v>
      </c>
      <c r="C440" s="371">
        <v>2021</v>
      </c>
      <c r="D440" s="373"/>
      <c r="E440" s="328">
        <v>0</v>
      </c>
      <c r="F440" s="328">
        <f t="shared" si="73"/>
        <v>0</v>
      </c>
      <c r="G440" s="373"/>
      <c r="H440" s="373"/>
      <c r="I440" s="328">
        <v>0</v>
      </c>
      <c r="J440" s="328">
        <f t="shared" si="74"/>
        <v>0</v>
      </c>
      <c r="K440" s="328">
        <f t="shared" si="75"/>
        <v>0</v>
      </c>
    </row>
    <row r="441" spans="1:11" ht="13" x14ac:dyDescent="0.3">
      <c r="A441" s="321">
        <f t="shared" si="72"/>
        <v>338</v>
      </c>
      <c r="B441" s="104" t="s">
        <v>43</v>
      </c>
      <c r="C441" s="371">
        <v>2021</v>
      </c>
      <c r="D441" s="373"/>
      <c r="E441" s="328">
        <v>0</v>
      </c>
      <c r="F441" s="328">
        <f t="shared" si="73"/>
        <v>0</v>
      </c>
      <c r="G441" s="373"/>
      <c r="H441" s="373"/>
      <c r="I441" s="328">
        <v>0</v>
      </c>
      <c r="J441" s="328">
        <f t="shared" si="74"/>
        <v>0</v>
      </c>
      <c r="K441" s="328">
        <f t="shared" si="75"/>
        <v>0</v>
      </c>
    </row>
    <row r="442" spans="1:11" ht="13" x14ac:dyDescent="0.3">
      <c r="A442" s="321">
        <f t="shared" si="72"/>
        <v>339</v>
      </c>
      <c r="B442" s="104" t="s">
        <v>27</v>
      </c>
      <c r="C442" s="371">
        <v>2021</v>
      </c>
      <c r="D442" s="373"/>
      <c r="E442" s="328">
        <v>0</v>
      </c>
      <c r="F442" s="328">
        <f t="shared" si="73"/>
        <v>0</v>
      </c>
      <c r="G442" s="373"/>
      <c r="H442" s="373"/>
      <c r="I442" s="328">
        <v>0</v>
      </c>
      <c r="J442" s="328">
        <f t="shared" si="74"/>
        <v>0</v>
      </c>
      <c r="K442" s="328">
        <f t="shared" si="75"/>
        <v>0</v>
      </c>
    </row>
    <row r="443" spans="1:11" ht="13" x14ac:dyDescent="0.3">
      <c r="A443" s="321">
        <f t="shared" si="72"/>
        <v>340</v>
      </c>
      <c r="C443" s="396" t="s">
        <v>880</v>
      </c>
      <c r="H443" s="356"/>
      <c r="I443" s="356"/>
      <c r="K443" s="397">
        <f>AVERAGE(K430:K442)</f>
        <v>0</v>
      </c>
    </row>
    <row r="445" spans="1:11" ht="13" x14ac:dyDescent="0.3">
      <c r="B445" s="391" t="s">
        <v>87</v>
      </c>
    </row>
    <row r="446" spans="1:11" x14ac:dyDescent="0.25">
      <c r="B446" s="104" t="s">
        <v>906</v>
      </c>
    </row>
    <row r="447" spans="1:11" x14ac:dyDescent="0.25">
      <c r="B447" s="104" t="s">
        <v>907</v>
      </c>
    </row>
    <row r="449" spans="2:2" ht="13" x14ac:dyDescent="0.3">
      <c r="B449" s="318" t="s">
        <v>175</v>
      </c>
    </row>
    <row r="450" spans="2:2" x14ac:dyDescent="0.25">
      <c r="B450" s="329" t="s">
        <v>908</v>
      </c>
    </row>
    <row r="451" spans="2:2" x14ac:dyDescent="0.25">
      <c r="B451" s="329" t="s">
        <v>915</v>
      </c>
    </row>
    <row r="452" spans="2:2" x14ac:dyDescent="0.25">
      <c r="B452" s="329" t="s">
        <v>910</v>
      </c>
    </row>
  </sheetData>
  <mergeCells count="11">
    <mergeCell ref="D247:E247"/>
    <mergeCell ref="D82:E82"/>
    <mergeCell ref="D115:E115"/>
    <mergeCell ref="D148:E148"/>
    <mergeCell ref="D181:E181"/>
    <mergeCell ref="D214:E214"/>
    <mergeCell ref="D280:E280"/>
    <mergeCell ref="D313:E313"/>
    <mergeCell ref="D346:E346"/>
    <mergeCell ref="D379:E379"/>
    <mergeCell ref="F379:G379"/>
  </mergeCells>
  <pageMargins left="0.7" right="0.7" top="0.75" bottom="0.75" header="0.3" footer="0.3"/>
  <pageSetup scale="50" fitToHeight="0" orientation="landscape" cellComments="asDisplayed" r:id="rId1"/>
  <headerFooter>
    <oddHeader xml:space="preserve">&amp;CSchedule 10
CWIP
(TO2021 EDIT Adj)&amp;RTO2021 Annual Update
Attachment 4
WP-Schedule 3-One Time Adjustment Transition
Page &amp;P of &amp;N
</oddHeader>
    <oddFooter>&amp;R&amp;A</oddFooter>
  </headerFooter>
  <rowBreaks count="6" manualBreakCount="6">
    <brk id="47" max="16383" man="1"/>
    <brk id="113" max="10" man="1"/>
    <brk id="179" max="10" man="1"/>
    <brk id="245" max="10" man="1"/>
    <brk id="311" max="10" man="1"/>
    <brk id="377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39"/>
  <sheetViews>
    <sheetView zoomScaleNormal="100" workbookViewId="0"/>
  </sheetViews>
  <sheetFormatPr defaultRowHeight="14.5" x14ac:dyDescent="0.35"/>
  <cols>
    <col min="1" max="1" width="2.453125" customWidth="1"/>
    <col min="2" max="2" width="3.7265625" customWidth="1"/>
    <col min="3" max="3" width="4.81640625" customWidth="1"/>
    <col min="4" max="4" width="18.81640625" customWidth="1"/>
    <col min="5" max="5" width="14.1796875" customWidth="1"/>
    <col min="6" max="6" width="15.81640625" customWidth="1"/>
    <col min="7" max="7" width="16.81640625" customWidth="1"/>
    <col min="8" max="8" width="14.453125" customWidth="1"/>
    <col min="9" max="9" width="7.7265625" customWidth="1"/>
    <col min="10" max="13" width="14.7265625" customWidth="1"/>
    <col min="18" max="18" width="16" customWidth="1"/>
    <col min="19" max="19" width="10.7265625" customWidth="1"/>
    <col min="20" max="20" width="16.453125" bestFit="1" customWidth="1"/>
  </cols>
  <sheetData>
    <row r="1" spans="1:20" x14ac:dyDescent="0.35">
      <c r="A1" s="21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0" x14ac:dyDescent="0.35">
      <c r="A2" s="21" t="s">
        <v>48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20" x14ac:dyDescent="0.35">
      <c r="K3" s="14"/>
      <c r="L3" s="14"/>
    </row>
    <row r="4" spans="1:20" x14ac:dyDescent="0.35">
      <c r="B4" s="1" t="s">
        <v>49</v>
      </c>
      <c r="C4" s="1"/>
      <c r="F4" s="132">
        <v>2019</v>
      </c>
      <c r="J4" s="13"/>
      <c r="K4" s="15"/>
      <c r="L4" s="13"/>
    </row>
    <row r="5" spans="1:20" x14ac:dyDescent="0.35">
      <c r="C5" s="5" t="s">
        <v>50</v>
      </c>
      <c r="E5" s="20" t="s">
        <v>51</v>
      </c>
      <c r="F5" s="8">
        <f>E38</f>
        <v>1045077006.6261117</v>
      </c>
      <c r="K5" s="28"/>
      <c r="L5" s="13"/>
    </row>
    <row r="6" spans="1:20" x14ac:dyDescent="0.35">
      <c r="C6" s="5" t="s">
        <v>52</v>
      </c>
      <c r="E6" s="20" t="s">
        <v>53</v>
      </c>
      <c r="F6" s="8">
        <f>G39</f>
        <v>1032966978.4283018</v>
      </c>
      <c r="G6" s="134" t="s">
        <v>54</v>
      </c>
      <c r="L6" s="13"/>
    </row>
    <row r="7" spans="1:20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5"/>
    </row>
    <row r="8" spans="1:20" x14ac:dyDescent="0.35">
      <c r="A8" s="22"/>
      <c r="B8" s="21" t="s">
        <v>55</v>
      </c>
      <c r="C8" s="22"/>
      <c r="D8" s="22"/>
      <c r="E8" s="22"/>
      <c r="F8" s="22"/>
      <c r="G8" s="22"/>
      <c r="H8" s="22"/>
      <c r="I8" s="22"/>
      <c r="J8" s="22"/>
      <c r="K8" s="22"/>
      <c r="L8" s="35"/>
      <c r="T8" s="133"/>
    </row>
    <row r="9" spans="1:20" x14ac:dyDescent="0.35">
      <c r="A9" s="22"/>
      <c r="B9" s="22"/>
      <c r="C9" s="22"/>
      <c r="D9" s="22"/>
      <c r="E9" s="22"/>
      <c r="F9" s="39" t="s">
        <v>56</v>
      </c>
      <c r="G9" s="39" t="s">
        <v>57</v>
      </c>
      <c r="H9" s="39" t="s">
        <v>58</v>
      </c>
      <c r="I9" s="39" t="s">
        <v>59</v>
      </c>
      <c r="J9" s="39" t="s">
        <v>60</v>
      </c>
      <c r="K9" s="39" t="s">
        <v>61</v>
      </c>
      <c r="L9" s="39" t="s">
        <v>62</v>
      </c>
    </row>
    <row r="10" spans="1:20" x14ac:dyDescent="0.35">
      <c r="A10" s="22"/>
      <c r="B10" s="22"/>
      <c r="C10" s="22"/>
      <c r="D10" s="22"/>
      <c r="E10" s="22"/>
      <c r="F10" s="40" t="s">
        <v>63</v>
      </c>
      <c r="G10" s="40" t="s">
        <v>64</v>
      </c>
      <c r="H10" s="40" t="s">
        <v>65</v>
      </c>
      <c r="I10" s="39"/>
      <c r="J10" s="40" t="s">
        <v>66</v>
      </c>
      <c r="K10" s="40"/>
      <c r="L10" s="40" t="s">
        <v>67</v>
      </c>
    </row>
    <row r="11" spans="1:20" x14ac:dyDescent="0.35">
      <c r="A11" s="22"/>
      <c r="B11" s="22"/>
      <c r="C11" s="22"/>
      <c r="D11" s="22"/>
      <c r="E11" s="22"/>
      <c r="F11" s="22"/>
      <c r="G11" s="22"/>
      <c r="I11" s="22"/>
      <c r="J11" s="35" t="s">
        <v>68</v>
      </c>
      <c r="K11" s="22"/>
      <c r="L11" s="35" t="s">
        <v>68</v>
      </c>
    </row>
    <row r="12" spans="1:20" x14ac:dyDescent="0.35">
      <c r="A12" s="22"/>
      <c r="B12" s="22"/>
      <c r="C12" s="21"/>
      <c r="D12" s="22"/>
      <c r="E12" s="22"/>
      <c r="F12" s="22"/>
      <c r="G12" s="22"/>
      <c r="I12" s="22"/>
      <c r="J12" s="37" t="s">
        <v>69</v>
      </c>
      <c r="K12" s="22"/>
      <c r="L12" s="37" t="s">
        <v>69</v>
      </c>
    </row>
    <row r="13" spans="1:20" x14ac:dyDescent="0.35">
      <c r="A13" s="22"/>
      <c r="B13" s="22"/>
      <c r="C13" s="22"/>
      <c r="D13" s="22"/>
      <c r="E13" s="22"/>
      <c r="F13" s="22"/>
      <c r="G13" s="22"/>
      <c r="I13" s="22"/>
      <c r="J13" s="37" t="s">
        <v>70</v>
      </c>
      <c r="K13" s="22"/>
      <c r="L13" s="37" t="s">
        <v>70</v>
      </c>
    </row>
    <row r="14" spans="1:20" x14ac:dyDescent="0.35">
      <c r="A14" s="22"/>
      <c r="B14" s="22"/>
      <c r="C14" s="22"/>
      <c r="D14" s="22"/>
      <c r="E14" s="22"/>
      <c r="F14" s="22"/>
      <c r="G14" s="22"/>
      <c r="H14" s="37" t="s">
        <v>69</v>
      </c>
      <c r="I14" s="22"/>
      <c r="J14" s="37" t="s">
        <v>71</v>
      </c>
      <c r="K14" s="22"/>
      <c r="L14" s="37" t="s">
        <v>71</v>
      </c>
    </row>
    <row r="15" spans="1:20" x14ac:dyDescent="0.35">
      <c r="A15" s="22"/>
      <c r="B15" s="22"/>
      <c r="C15" s="22"/>
      <c r="D15" s="22"/>
      <c r="E15" s="22"/>
      <c r="H15" s="37" t="s">
        <v>70</v>
      </c>
      <c r="I15" s="21" t="s">
        <v>72</v>
      </c>
      <c r="J15" s="37" t="s">
        <v>73</v>
      </c>
      <c r="K15" s="41" t="s">
        <v>74</v>
      </c>
      <c r="L15" s="37" t="s">
        <v>73</v>
      </c>
    </row>
    <row r="16" spans="1:20" x14ac:dyDescent="0.35">
      <c r="A16" s="22"/>
      <c r="B16" s="22"/>
      <c r="C16" s="22"/>
      <c r="D16" s="22"/>
      <c r="E16" s="22"/>
      <c r="F16" s="37" t="s">
        <v>75</v>
      </c>
      <c r="G16" s="37" t="s">
        <v>76</v>
      </c>
      <c r="H16" s="37" t="s">
        <v>71</v>
      </c>
      <c r="I16" s="37" t="s">
        <v>74</v>
      </c>
      <c r="J16" s="35" t="s">
        <v>77</v>
      </c>
      <c r="K16" s="35" t="s">
        <v>78</v>
      </c>
      <c r="L16" s="35" t="s">
        <v>79</v>
      </c>
    </row>
    <row r="17" spans="1:13" x14ac:dyDescent="0.35">
      <c r="A17" s="22"/>
      <c r="B17" s="22"/>
      <c r="C17" s="38" t="s">
        <v>22</v>
      </c>
      <c r="D17" s="25" t="s">
        <v>23</v>
      </c>
      <c r="E17" s="25" t="s">
        <v>24</v>
      </c>
      <c r="F17" s="146" t="s">
        <v>80</v>
      </c>
      <c r="G17" s="38" t="s">
        <v>81</v>
      </c>
      <c r="H17" s="38" t="s">
        <v>73</v>
      </c>
      <c r="I17" s="38" t="s">
        <v>82</v>
      </c>
      <c r="J17" s="16" t="s">
        <v>83</v>
      </c>
      <c r="K17" s="16" t="s">
        <v>23</v>
      </c>
      <c r="L17" s="16" t="s">
        <v>83</v>
      </c>
    </row>
    <row r="18" spans="1:13" x14ac:dyDescent="0.35">
      <c r="C18" s="5">
        <v>1</v>
      </c>
      <c r="D18" s="3" t="s">
        <v>27</v>
      </c>
      <c r="E18" s="4">
        <v>2018</v>
      </c>
      <c r="F18" s="18" t="s">
        <v>28</v>
      </c>
      <c r="G18" s="18" t="s">
        <v>28</v>
      </c>
      <c r="H18" s="18" t="s">
        <v>28</v>
      </c>
      <c r="I18" s="12">
        <v>4.1000000000000003E-3</v>
      </c>
      <c r="J18" s="18" t="s">
        <v>28</v>
      </c>
      <c r="K18" s="18" t="s">
        <v>28</v>
      </c>
      <c r="L18" s="18" t="s">
        <v>28</v>
      </c>
      <c r="M18" s="42"/>
    </row>
    <row r="19" spans="1:13" x14ac:dyDescent="0.35">
      <c r="C19" s="5">
        <v>2</v>
      </c>
      <c r="D19" s="2" t="s">
        <v>30</v>
      </c>
      <c r="E19" s="4">
        <v>2019</v>
      </c>
      <c r="F19" s="7">
        <f t="shared" ref="F19:F30" si="0">$F$5/12</f>
        <v>87089750.552175984</v>
      </c>
      <c r="G19" s="7">
        <f>$F$6/12</f>
        <v>86080581.535691813</v>
      </c>
      <c r="H19" s="7">
        <f>G19-F19</f>
        <v>-1009169.0164841712</v>
      </c>
      <c r="I19" s="12">
        <v>4.3E-3</v>
      </c>
      <c r="J19" s="7">
        <f>H19</f>
        <v>-1009169.0164841712</v>
      </c>
      <c r="K19" s="17">
        <f>((J19)/2)*I19</f>
        <v>-2169.7133854409681</v>
      </c>
      <c r="L19" s="7">
        <f>J19+K19</f>
        <v>-1011338.7298696121</v>
      </c>
    </row>
    <row r="20" spans="1:13" x14ac:dyDescent="0.35">
      <c r="C20" s="5">
        <v>3</v>
      </c>
      <c r="D20" s="3" t="s">
        <v>32</v>
      </c>
      <c r="E20" s="4">
        <v>2019</v>
      </c>
      <c r="F20" s="7">
        <f t="shared" si="0"/>
        <v>87089750.552175984</v>
      </c>
      <c r="G20" s="7">
        <f t="shared" ref="G20:G30" si="1">$F$6/12</f>
        <v>86080581.535691813</v>
      </c>
      <c r="H20" s="7">
        <f t="shared" ref="H20:H30" si="2">G20-F20</f>
        <v>-1009169.0164841712</v>
      </c>
      <c r="I20" s="12">
        <v>4.3E-3</v>
      </c>
      <c r="J20" s="17">
        <f>L19+H20</f>
        <v>-2020507.7463537832</v>
      </c>
      <c r="K20" s="17">
        <f>((L19+J20)/2)*I20</f>
        <v>-6518.4699238802996</v>
      </c>
      <c r="L20" s="7">
        <f t="shared" ref="L20:L29" si="3">J20+K20</f>
        <v>-2027026.2162776634</v>
      </c>
    </row>
    <row r="21" spans="1:13" x14ac:dyDescent="0.35">
      <c r="C21" s="5">
        <v>4</v>
      </c>
      <c r="D21" s="3" t="s">
        <v>34</v>
      </c>
      <c r="E21" s="4">
        <v>2019</v>
      </c>
      <c r="F21" s="7">
        <f t="shared" si="0"/>
        <v>87089750.552175984</v>
      </c>
      <c r="G21" s="7">
        <f t="shared" si="1"/>
        <v>86080581.535691813</v>
      </c>
      <c r="H21" s="7">
        <f t="shared" si="2"/>
        <v>-1009169.0164841712</v>
      </c>
      <c r="I21" s="12">
        <v>4.3E-3</v>
      </c>
      <c r="J21" s="17">
        <f t="shared" ref="J21:J30" si="4">L20+H21</f>
        <v>-3036195.2327618347</v>
      </c>
      <c r="K21" s="17">
        <f t="shared" ref="K21:K30" si="5">((L20+J21)/2)*I21</f>
        <v>-10885.926115434921</v>
      </c>
      <c r="L21" s="7">
        <f t="shared" si="3"/>
        <v>-3047081.1588772698</v>
      </c>
    </row>
    <row r="22" spans="1:13" x14ac:dyDescent="0.35">
      <c r="C22" s="5">
        <v>5</v>
      </c>
      <c r="D22" s="2" t="s">
        <v>36</v>
      </c>
      <c r="E22" s="4">
        <v>2019</v>
      </c>
      <c r="F22" s="7">
        <f t="shared" si="0"/>
        <v>87089750.552175984</v>
      </c>
      <c r="G22" s="7">
        <f t="shared" si="1"/>
        <v>86080581.535691813</v>
      </c>
      <c r="H22" s="7">
        <f t="shared" si="2"/>
        <v>-1009169.0164841712</v>
      </c>
      <c r="I22" s="12">
        <v>4.4999999999999997E-3</v>
      </c>
      <c r="J22" s="17">
        <f t="shared" si="4"/>
        <v>-4056250.175361441</v>
      </c>
      <c r="K22" s="17">
        <f t="shared" si="5"/>
        <v>-15982.495502037098</v>
      </c>
      <c r="L22" s="7">
        <f t="shared" si="3"/>
        <v>-4072232.670863478</v>
      </c>
    </row>
    <row r="23" spans="1:13" x14ac:dyDescent="0.35">
      <c r="C23" s="5">
        <v>6</v>
      </c>
      <c r="D23" s="3" t="s">
        <v>37</v>
      </c>
      <c r="E23" s="4">
        <v>2019</v>
      </c>
      <c r="F23" s="7">
        <f t="shared" si="0"/>
        <v>87089750.552175984</v>
      </c>
      <c r="G23" s="7">
        <f t="shared" si="1"/>
        <v>86080581.535691813</v>
      </c>
      <c r="H23" s="7">
        <f t="shared" si="2"/>
        <v>-1009169.0164841712</v>
      </c>
      <c r="I23" s="12">
        <v>4.4999999999999997E-3</v>
      </c>
      <c r="J23" s="17">
        <f t="shared" si="4"/>
        <v>-5081401.6873476487</v>
      </c>
      <c r="K23" s="17">
        <f t="shared" si="5"/>
        <v>-20595.677305975034</v>
      </c>
      <c r="L23" s="7">
        <f t="shared" si="3"/>
        <v>-5101997.3646536237</v>
      </c>
    </row>
    <row r="24" spans="1:13" x14ac:dyDescent="0.35">
      <c r="C24" s="5">
        <v>7</v>
      </c>
      <c r="D24" s="3" t="s">
        <v>38</v>
      </c>
      <c r="E24" s="4">
        <v>2019</v>
      </c>
      <c r="F24" s="7">
        <f t="shared" si="0"/>
        <v>87089750.552175984</v>
      </c>
      <c r="G24" s="7">
        <f t="shared" si="1"/>
        <v>86080581.535691813</v>
      </c>
      <c r="H24" s="7">
        <f t="shared" si="2"/>
        <v>-1009169.0164841712</v>
      </c>
      <c r="I24" s="12">
        <v>4.4999999999999997E-3</v>
      </c>
      <c r="J24" s="17">
        <f t="shared" si="4"/>
        <v>-6111166.3811377948</v>
      </c>
      <c r="K24" s="17">
        <f t="shared" si="5"/>
        <v>-25229.618428030688</v>
      </c>
      <c r="L24" s="7">
        <f t="shared" si="3"/>
        <v>-6136395.9995658258</v>
      </c>
    </row>
    <row r="25" spans="1:13" x14ac:dyDescent="0.35">
      <c r="C25" s="5">
        <v>8</v>
      </c>
      <c r="D25" s="2" t="s">
        <v>39</v>
      </c>
      <c r="E25" s="4">
        <v>2019</v>
      </c>
      <c r="F25" s="7">
        <f t="shared" si="0"/>
        <v>87089750.552175984</v>
      </c>
      <c r="G25" s="7">
        <f t="shared" si="1"/>
        <v>86080581.535691813</v>
      </c>
      <c r="H25" s="7">
        <f t="shared" si="2"/>
        <v>-1009169.0164841712</v>
      </c>
      <c r="I25" s="12">
        <v>4.5999999999999999E-3</v>
      </c>
      <c r="J25" s="17">
        <f t="shared" si="4"/>
        <v>-7145565.0160499969</v>
      </c>
      <c r="K25" s="17">
        <f t="shared" si="5"/>
        <v>-30548.510335916391</v>
      </c>
      <c r="L25" s="7">
        <f t="shared" si="3"/>
        <v>-7176113.5263859136</v>
      </c>
    </row>
    <row r="26" spans="1:13" x14ac:dyDescent="0.35">
      <c r="C26" s="5">
        <v>9</v>
      </c>
      <c r="D26" s="3" t="s">
        <v>40</v>
      </c>
      <c r="E26" s="4">
        <v>2019</v>
      </c>
      <c r="F26" s="7">
        <f t="shared" si="0"/>
        <v>87089750.552175984</v>
      </c>
      <c r="G26" s="7">
        <f t="shared" si="1"/>
        <v>86080581.535691813</v>
      </c>
      <c r="H26" s="7">
        <f t="shared" si="2"/>
        <v>-1009169.0164841712</v>
      </c>
      <c r="I26" s="12">
        <v>4.5999999999999999E-3</v>
      </c>
      <c r="J26" s="17">
        <f t="shared" si="4"/>
        <v>-8185282.5428700848</v>
      </c>
      <c r="K26" s="17">
        <f t="shared" si="5"/>
        <v>-35331.210959288794</v>
      </c>
      <c r="L26" s="7">
        <f t="shared" si="3"/>
        <v>-8220613.753829374</v>
      </c>
    </row>
    <row r="27" spans="1:13" x14ac:dyDescent="0.35">
      <c r="C27" s="5">
        <v>10</v>
      </c>
      <c r="D27" s="3" t="s">
        <v>41</v>
      </c>
      <c r="E27" s="4">
        <v>2019</v>
      </c>
      <c r="F27" s="7">
        <f t="shared" si="0"/>
        <v>87089750.552175984</v>
      </c>
      <c r="G27" s="7">
        <f t="shared" si="1"/>
        <v>86080581.535691813</v>
      </c>
      <c r="H27" s="7">
        <f t="shared" si="2"/>
        <v>-1009169.0164841712</v>
      </c>
      <c r="I27" s="12">
        <v>4.5999999999999999E-3</v>
      </c>
      <c r="J27" s="17">
        <f t="shared" si="4"/>
        <v>-9229782.7703135461</v>
      </c>
      <c r="K27" s="17">
        <f t="shared" si="5"/>
        <v>-40135.91200552872</v>
      </c>
      <c r="L27" s="7">
        <f t="shared" si="3"/>
        <v>-9269918.6823190749</v>
      </c>
    </row>
    <row r="28" spans="1:13" x14ac:dyDescent="0.35">
      <c r="C28" s="5">
        <v>11</v>
      </c>
      <c r="D28" s="2" t="s">
        <v>42</v>
      </c>
      <c r="E28" s="4">
        <v>2019</v>
      </c>
      <c r="F28" s="7">
        <f t="shared" si="0"/>
        <v>87089750.552175984</v>
      </c>
      <c r="G28" s="7">
        <f t="shared" si="1"/>
        <v>86080581.535691813</v>
      </c>
      <c r="H28" s="7">
        <f t="shared" si="2"/>
        <v>-1009169.0164841712</v>
      </c>
      <c r="I28" s="12">
        <v>4.4999999999999997E-3</v>
      </c>
      <c r="J28" s="17">
        <f t="shared" si="4"/>
        <v>-10279087.698803246</v>
      </c>
      <c r="K28" s="17">
        <f t="shared" si="5"/>
        <v>-43985.264357525222</v>
      </c>
      <c r="L28" s="7">
        <f t="shared" si="3"/>
        <v>-10323072.963160772</v>
      </c>
    </row>
    <row r="29" spans="1:13" ht="15" thickBot="1" x14ac:dyDescent="0.4">
      <c r="C29" s="5">
        <v>12</v>
      </c>
      <c r="D29" s="2" t="s">
        <v>43</v>
      </c>
      <c r="E29" s="4">
        <v>2019</v>
      </c>
      <c r="F29" s="7">
        <f t="shared" si="0"/>
        <v>87089750.552175984</v>
      </c>
      <c r="G29" s="7">
        <f t="shared" si="1"/>
        <v>86080581.535691813</v>
      </c>
      <c r="H29" s="7">
        <f t="shared" si="2"/>
        <v>-1009169.0164841712</v>
      </c>
      <c r="I29" s="12">
        <v>4.4999999999999997E-3</v>
      </c>
      <c r="J29" s="17">
        <f t="shared" si="4"/>
        <v>-11332241.979644943</v>
      </c>
      <c r="K29" s="17">
        <f t="shared" si="5"/>
        <v>-48724.458621312857</v>
      </c>
      <c r="L29" s="7">
        <f t="shared" si="3"/>
        <v>-11380966.438266255</v>
      </c>
    </row>
    <row r="30" spans="1:13" ht="15" thickBot="1" x14ac:dyDescent="0.4">
      <c r="C30" s="5">
        <v>13</v>
      </c>
      <c r="D30" s="3" t="s">
        <v>27</v>
      </c>
      <c r="E30" s="4">
        <v>2019</v>
      </c>
      <c r="F30" s="10">
        <f t="shared" si="0"/>
        <v>87089750.552175984</v>
      </c>
      <c r="G30" s="10">
        <f t="shared" si="1"/>
        <v>86080581.535691813</v>
      </c>
      <c r="H30" s="10">
        <f t="shared" si="2"/>
        <v>-1009169.0164841712</v>
      </c>
      <c r="I30" s="12">
        <v>4.4999999999999997E-3</v>
      </c>
      <c r="J30" s="17">
        <f t="shared" si="4"/>
        <v>-12390135.454750426</v>
      </c>
      <c r="K30" s="17">
        <f t="shared" si="5"/>
        <v>-53484.979259287531</v>
      </c>
      <c r="L30" s="24">
        <f>J30+K30</f>
        <v>-12443620.434009714</v>
      </c>
    </row>
    <row r="31" spans="1:13" x14ac:dyDescent="0.35">
      <c r="E31" s="9" t="s">
        <v>84</v>
      </c>
      <c r="F31" s="7">
        <f>SUM(F19:F30)</f>
        <v>1045077006.6261119</v>
      </c>
      <c r="G31" s="7">
        <f>SUM(G19:G30)</f>
        <v>1032966978.4283019</v>
      </c>
      <c r="H31" s="7">
        <f>SUM(H19:H30)</f>
        <v>-12110028.197810054</v>
      </c>
      <c r="L31" s="23" t="s">
        <v>85</v>
      </c>
    </row>
    <row r="32" spans="1:13" x14ac:dyDescent="0.35">
      <c r="L32" s="147" t="s">
        <v>86</v>
      </c>
    </row>
    <row r="33" spans="2:7" x14ac:dyDescent="0.35">
      <c r="B33" s="6" t="s">
        <v>87</v>
      </c>
    </row>
    <row r="34" spans="2:7" x14ac:dyDescent="0.35">
      <c r="B34" s="144" t="s">
        <v>88</v>
      </c>
      <c r="C34" s="137"/>
      <c r="D34" s="137"/>
    </row>
    <row r="35" spans="2:7" x14ac:dyDescent="0.35">
      <c r="B35" s="144" t="s">
        <v>89</v>
      </c>
      <c r="C35" s="145"/>
      <c r="D35" s="144"/>
      <c r="E35" s="144"/>
      <c r="F35" s="144"/>
      <c r="G35" s="144"/>
    </row>
    <row r="36" spans="2:7" ht="29" x14ac:dyDescent="0.35">
      <c r="D36" s="157"/>
      <c r="E36" s="148" t="s">
        <v>81</v>
      </c>
      <c r="F36" s="149" t="s">
        <v>90</v>
      </c>
      <c r="G36" s="233" t="s">
        <v>91</v>
      </c>
    </row>
    <row r="37" spans="2:7" x14ac:dyDescent="0.35">
      <c r="D37" s="157" t="s">
        <v>92</v>
      </c>
      <c r="E37" s="143">
        <f>'TO2018 WF-Sch4-TUTRR-Rev'!J71</f>
        <v>1031044751.7302366</v>
      </c>
      <c r="F37" s="150">
        <f>315/365</f>
        <v>0.86301369863013699</v>
      </c>
      <c r="G37" s="234">
        <f>F37*E37</f>
        <v>889805744.6439029</v>
      </c>
    </row>
    <row r="38" spans="2:7" x14ac:dyDescent="0.35">
      <c r="D38" s="157" t="s">
        <v>93</v>
      </c>
      <c r="E38" s="143">
        <f>'TO2021EDIT Sch4-TUTRR-Rev'!J71</f>
        <v>1045077006.6261117</v>
      </c>
      <c r="F38" s="150">
        <f>50/365</f>
        <v>0.13698630136986301</v>
      </c>
      <c r="G38" s="234">
        <f>F38*E38</f>
        <v>143161233.78439885</v>
      </c>
    </row>
    <row r="39" spans="2:7" x14ac:dyDescent="0.35">
      <c r="D39" s="416" t="str">
        <f>E6</f>
        <v>Weighted Average 2019 TUTRR:</v>
      </c>
      <c r="E39" s="416"/>
      <c r="F39" s="416"/>
      <c r="G39" s="234">
        <f>SUM(G37:G38)</f>
        <v>1032966978.4283018</v>
      </c>
    </row>
  </sheetData>
  <mergeCells count="1">
    <mergeCell ref="D39:F39"/>
  </mergeCells>
  <phoneticPr fontId="37" type="noConversion"/>
  <pageMargins left="0.7" right="0.7" top="0.75" bottom="0.75" header="0.3" footer="0.3"/>
  <pageSetup scale="75" orientation="landscape" r:id="rId1"/>
  <headerFooter>
    <oddHeader xml:space="preserve">&amp;R&amp;"Arial,Regular"&amp;10TO2021 Annual Update
Attachment 4
WP-Schedule 3-One Time Adjustment Transition
Page &amp;P of &amp;N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CF2B-DC98-493C-9EAB-710AE4E30D23}">
  <sheetPr codeName="Sheet20">
    <tabColor rgb="FFCCFFCC"/>
  </sheetPr>
  <dimension ref="A1:X110"/>
  <sheetViews>
    <sheetView zoomScaleNormal="100" workbookViewId="0"/>
  </sheetViews>
  <sheetFormatPr defaultRowHeight="12.5" x14ac:dyDescent="0.25"/>
  <cols>
    <col min="1" max="1" width="4.54296875" style="238" customWidth="1"/>
    <col min="2" max="2" width="2.54296875" style="238" customWidth="1"/>
    <col min="3" max="3" width="8.54296875" style="238" customWidth="1"/>
    <col min="4" max="4" width="32.54296875" style="238" customWidth="1"/>
    <col min="5" max="5" width="14.54296875" style="238" customWidth="1"/>
    <col min="6" max="6" width="15.54296875" style="238" customWidth="1"/>
    <col min="7" max="8" width="14.54296875" style="238" customWidth="1"/>
    <col min="9" max="9" width="20" style="238" customWidth="1"/>
    <col min="10" max="10" width="15.54296875" style="238" customWidth="1"/>
    <col min="11" max="11" width="11" style="238" bestFit="1" customWidth="1"/>
    <col min="12" max="16384" width="8.7265625" style="238"/>
  </cols>
  <sheetData>
    <row r="1" spans="1:24" ht="13" x14ac:dyDescent="0.3">
      <c r="A1" s="237" t="s">
        <v>508</v>
      </c>
      <c r="F1" s="239" t="s">
        <v>509</v>
      </c>
      <c r="G1" s="73"/>
      <c r="H1" s="240"/>
      <c r="I1" s="240"/>
    </row>
    <row r="2" spans="1:24" ht="13" x14ac:dyDescent="0.3">
      <c r="E2" s="241" t="s">
        <v>12</v>
      </c>
      <c r="F2" s="241" t="s">
        <v>343</v>
      </c>
      <c r="G2" s="241" t="s">
        <v>361</v>
      </c>
      <c r="H2" s="241" t="s">
        <v>13</v>
      </c>
      <c r="I2" s="240"/>
    </row>
    <row r="3" spans="1:24" x14ac:dyDescent="0.25">
      <c r="G3" s="240" t="s">
        <v>452</v>
      </c>
    </row>
    <row r="4" spans="1:24" ht="13" x14ac:dyDescent="0.3">
      <c r="E4" s="242" t="s">
        <v>510</v>
      </c>
      <c r="F4" s="43" t="s">
        <v>511</v>
      </c>
      <c r="G4" s="242" t="s">
        <v>512</v>
      </c>
      <c r="I4" s="242"/>
    </row>
    <row r="5" spans="1:24" ht="13" x14ac:dyDescent="0.3">
      <c r="A5" s="243" t="s">
        <v>104</v>
      </c>
      <c r="B5" s="244"/>
      <c r="C5" s="244" t="s">
        <v>513</v>
      </c>
      <c r="D5" s="244" t="s">
        <v>95</v>
      </c>
      <c r="E5" s="244" t="s">
        <v>96</v>
      </c>
      <c r="F5" s="44" t="s">
        <v>98</v>
      </c>
      <c r="G5" s="244" t="s">
        <v>514</v>
      </c>
      <c r="H5" s="244" t="s">
        <v>148</v>
      </c>
      <c r="I5" s="244" t="s">
        <v>107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</row>
    <row r="6" spans="1:24" ht="13" x14ac:dyDescent="0.3">
      <c r="A6" s="242">
        <v>1</v>
      </c>
      <c r="C6" s="240">
        <v>920</v>
      </c>
      <c r="D6" s="238" t="s">
        <v>515</v>
      </c>
      <c r="E6" s="245">
        <v>413850310</v>
      </c>
      <c r="F6" s="240" t="s">
        <v>516</v>
      </c>
      <c r="G6" s="247">
        <f>D37</f>
        <v>217707286.55525932</v>
      </c>
      <c r="H6" s="247">
        <f t="shared" ref="H6:H19" si="0">E6-G6</f>
        <v>196143023.44474068</v>
      </c>
    </row>
    <row r="7" spans="1:24" ht="13" x14ac:dyDescent="0.3">
      <c r="A7" s="242">
        <f>A6+1</f>
        <v>2</v>
      </c>
      <c r="C7" s="240">
        <v>921</v>
      </c>
      <c r="D7" s="238" t="s">
        <v>517</v>
      </c>
      <c r="E7" s="245">
        <v>250234425</v>
      </c>
      <c r="F7" s="240" t="s">
        <v>518</v>
      </c>
      <c r="G7" s="247">
        <f t="shared" ref="G7:G19" si="1">D38</f>
        <v>2351967.084740696</v>
      </c>
      <c r="H7" s="247">
        <f t="shared" si="0"/>
        <v>247882457.9152593</v>
      </c>
    </row>
    <row r="8" spans="1:24" ht="13" x14ac:dyDescent="0.3">
      <c r="A8" s="242">
        <f>A7+1</f>
        <v>3</v>
      </c>
      <c r="C8" s="240">
        <v>922</v>
      </c>
      <c r="D8" s="238" t="s">
        <v>519</v>
      </c>
      <c r="E8" s="245">
        <v>-225318190</v>
      </c>
      <c r="F8" s="240" t="s">
        <v>520</v>
      </c>
      <c r="G8" s="247">
        <f t="shared" si="1"/>
        <v>-77722052.712449998</v>
      </c>
      <c r="H8" s="247">
        <f t="shared" si="0"/>
        <v>-147596137.28755</v>
      </c>
      <c r="I8" s="240" t="s">
        <v>521</v>
      </c>
    </row>
    <row r="9" spans="1:24" ht="13" x14ac:dyDescent="0.3">
      <c r="A9" s="242">
        <f t="shared" ref="A9:A20" si="2">A8+1</f>
        <v>4</v>
      </c>
      <c r="B9" s="242"/>
      <c r="C9" s="240">
        <v>923</v>
      </c>
      <c r="D9" s="238" t="s">
        <v>522</v>
      </c>
      <c r="E9" s="245">
        <v>59887693</v>
      </c>
      <c r="F9" s="240" t="s">
        <v>523</v>
      </c>
      <c r="G9" s="246">
        <f t="shared" si="1"/>
        <v>8235606.2878677836</v>
      </c>
      <c r="H9" s="246">
        <f t="shared" si="0"/>
        <v>51652086.712132215</v>
      </c>
    </row>
    <row r="10" spans="1:24" ht="13" x14ac:dyDescent="0.3">
      <c r="A10" s="242">
        <f t="shared" si="2"/>
        <v>5</v>
      </c>
      <c r="B10" s="242"/>
      <c r="C10" s="240">
        <v>924</v>
      </c>
      <c r="D10" s="238" t="s">
        <v>524</v>
      </c>
      <c r="E10" s="245">
        <v>15607270</v>
      </c>
      <c r="F10" s="240" t="s">
        <v>525</v>
      </c>
      <c r="G10" s="247">
        <f t="shared" si="1"/>
        <v>0</v>
      </c>
      <c r="H10" s="247">
        <f t="shared" si="0"/>
        <v>15607270</v>
      </c>
    </row>
    <row r="11" spans="1:24" ht="13" x14ac:dyDescent="0.3">
      <c r="A11" s="242">
        <f t="shared" si="2"/>
        <v>6</v>
      </c>
      <c r="B11" s="242"/>
      <c r="C11" s="240">
        <v>925</v>
      </c>
      <c r="D11" s="238" t="s">
        <v>526</v>
      </c>
      <c r="E11" s="245">
        <v>902073996</v>
      </c>
      <c r="F11" s="240" t="s">
        <v>527</v>
      </c>
      <c r="G11" s="247">
        <f t="shared" si="1"/>
        <v>168752277.52000001</v>
      </c>
      <c r="H11" s="247">
        <f t="shared" si="0"/>
        <v>733321718.48000002</v>
      </c>
    </row>
    <row r="12" spans="1:24" ht="13" x14ac:dyDescent="0.3">
      <c r="A12" s="242">
        <f t="shared" si="2"/>
        <v>7</v>
      </c>
      <c r="B12" s="242"/>
      <c r="C12" s="240">
        <v>926</v>
      </c>
      <c r="D12" s="238" t="s">
        <v>528</v>
      </c>
      <c r="E12" s="245">
        <v>82906034</v>
      </c>
      <c r="F12" s="240" t="s">
        <v>529</v>
      </c>
      <c r="G12" s="247">
        <f t="shared" si="1"/>
        <v>2203319.4670550339</v>
      </c>
      <c r="H12" s="247">
        <f t="shared" si="0"/>
        <v>80702714.532944962</v>
      </c>
    </row>
    <row r="13" spans="1:24" ht="13" x14ac:dyDescent="0.3">
      <c r="A13" s="242">
        <f t="shared" si="2"/>
        <v>8</v>
      </c>
      <c r="B13" s="242"/>
      <c r="C13" s="240">
        <v>927</v>
      </c>
      <c r="D13" s="238" t="s">
        <v>530</v>
      </c>
      <c r="E13" s="245">
        <v>104335318</v>
      </c>
      <c r="F13" s="240" t="s">
        <v>531</v>
      </c>
      <c r="G13" s="247">
        <f t="shared" si="1"/>
        <v>104335318</v>
      </c>
      <c r="H13" s="247">
        <f t="shared" si="0"/>
        <v>0</v>
      </c>
    </row>
    <row r="14" spans="1:24" ht="13" x14ac:dyDescent="0.3">
      <c r="A14" s="242">
        <f t="shared" si="2"/>
        <v>9</v>
      </c>
      <c r="B14" s="242"/>
      <c r="C14" s="240">
        <v>928</v>
      </c>
      <c r="D14" s="238" t="s">
        <v>532</v>
      </c>
      <c r="E14" s="245">
        <v>11713250</v>
      </c>
      <c r="F14" s="240" t="s">
        <v>533</v>
      </c>
      <c r="G14" s="247">
        <f t="shared" si="1"/>
        <v>9979027.6099999994</v>
      </c>
      <c r="H14" s="247">
        <f t="shared" si="0"/>
        <v>1734222.3900000006</v>
      </c>
    </row>
    <row r="15" spans="1:24" ht="13" x14ac:dyDescent="0.3">
      <c r="A15" s="242">
        <f t="shared" si="2"/>
        <v>10</v>
      </c>
      <c r="B15" s="242"/>
      <c r="C15" s="240">
        <v>929</v>
      </c>
      <c r="D15" s="238" t="s">
        <v>534</v>
      </c>
      <c r="E15" s="245">
        <v>0</v>
      </c>
      <c r="F15" s="240" t="s">
        <v>535</v>
      </c>
      <c r="G15" s="247">
        <f t="shared" si="1"/>
        <v>0</v>
      </c>
      <c r="H15" s="247">
        <f t="shared" si="0"/>
        <v>0</v>
      </c>
    </row>
    <row r="16" spans="1:24" ht="13" x14ac:dyDescent="0.3">
      <c r="A16" s="242">
        <f t="shared" si="2"/>
        <v>11</v>
      </c>
      <c r="B16" s="242"/>
      <c r="C16" s="240">
        <v>930.1</v>
      </c>
      <c r="D16" s="238" t="s">
        <v>536</v>
      </c>
      <c r="E16" s="245">
        <v>11245961</v>
      </c>
      <c r="F16" s="240" t="s">
        <v>537</v>
      </c>
      <c r="G16" s="247">
        <f t="shared" si="1"/>
        <v>4498348</v>
      </c>
      <c r="H16" s="247">
        <f t="shared" si="0"/>
        <v>6747613</v>
      </c>
    </row>
    <row r="17" spans="1:8" ht="13" x14ac:dyDescent="0.3">
      <c r="A17" s="242">
        <f t="shared" si="2"/>
        <v>12</v>
      </c>
      <c r="B17" s="242"/>
      <c r="C17" s="240">
        <v>930.2</v>
      </c>
      <c r="D17" s="238" t="s">
        <v>538</v>
      </c>
      <c r="E17" s="245">
        <v>14071912</v>
      </c>
      <c r="F17" s="240" t="s">
        <v>539</v>
      </c>
      <c r="G17" s="247">
        <f t="shared" si="1"/>
        <v>5984741</v>
      </c>
      <c r="H17" s="247">
        <f t="shared" si="0"/>
        <v>8087171</v>
      </c>
    </row>
    <row r="18" spans="1:8" ht="13" x14ac:dyDescent="0.3">
      <c r="A18" s="242">
        <f t="shared" si="2"/>
        <v>13</v>
      </c>
      <c r="B18" s="242"/>
      <c r="C18" s="240">
        <v>931</v>
      </c>
      <c r="D18" s="238" t="s">
        <v>540</v>
      </c>
      <c r="E18" s="245">
        <v>8581490</v>
      </c>
      <c r="F18" s="240" t="s">
        <v>541</v>
      </c>
      <c r="G18" s="247">
        <f t="shared" si="1"/>
        <v>12016812.699999999</v>
      </c>
      <c r="H18" s="247">
        <f t="shared" si="0"/>
        <v>-3435322.6999999993</v>
      </c>
    </row>
    <row r="19" spans="1:8" ht="13" x14ac:dyDescent="0.3">
      <c r="A19" s="242">
        <f t="shared" si="2"/>
        <v>14</v>
      </c>
      <c r="B19" s="242"/>
      <c r="C19" s="240">
        <v>935</v>
      </c>
      <c r="D19" s="238" t="s">
        <v>542</v>
      </c>
      <c r="E19" s="249">
        <v>26158179</v>
      </c>
      <c r="F19" s="240" t="s">
        <v>543</v>
      </c>
      <c r="G19" s="247">
        <f t="shared" si="1"/>
        <v>811671.73</v>
      </c>
      <c r="H19" s="250">
        <f t="shared" si="0"/>
        <v>25346507.27</v>
      </c>
    </row>
    <row r="20" spans="1:8" ht="13" x14ac:dyDescent="0.3">
      <c r="A20" s="242">
        <f t="shared" si="2"/>
        <v>15</v>
      </c>
      <c r="E20" s="247">
        <f>SUM(E6:E19)</f>
        <v>1675347648</v>
      </c>
      <c r="G20" s="251" t="s">
        <v>544</v>
      </c>
      <c r="H20" s="246">
        <f>SUM(H6:H19)</f>
        <v>1216193324.7575271</v>
      </c>
    </row>
    <row r="22" spans="1:8" ht="13" x14ac:dyDescent="0.3">
      <c r="F22" s="244" t="s">
        <v>96</v>
      </c>
      <c r="G22" s="244" t="s">
        <v>98</v>
      </c>
    </row>
    <row r="23" spans="1:8" ht="13" x14ac:dyDescent="0.3">
      <c r="A23" s="242">
        <f>A20+1</f>
        <v>16</v>
      </c>
      <c r="E23" s="251" t="s">
        <v>545</v>
      </c>
      <c r="F23" s="246">
        <f>H20</f>
        <v>1216193324.7575271</v>
      </c>
      <c r="G23" s="248" t="str">
        <f>"Line "&amp;A20&amp;""</f>
        <v>Line 15</v>
      </c>
    </row>
    <row r="24" spans="1:8" ht="13" x14ac:dyDescent="0.3">
      <c r="A24" s="242">
        <f t="shared" ref="A24:A30" si="3">A23+1</f>
        <v>17</v>
      </c>
      <c r="E24" s="251" t="s">
        <v>546</v>
      </c>
      <c r="F24" s="250">
        <f>E10</f>
        <v>15607270</v>
      </c>
      <c r="G24" s="248" t="str">
        <f>"Line "&amp;A10&amp;""</f>
        <v>Line 5</v>
      </c>
    </row>
    <row r="25" spans="1:8" ht="13" x14ac:dyDescent="0.3">
      <c r="A25" s="242">
        <f t="shared" si="3"/>
        <v>18</v>
      </c>
      <c r="E25" s="251" t="s">
        <v>547</v>
      </c>
      <c r="F25" s="246">
        <f>F23-F24</f>
        <v>1200586054.7575271</v>
      </c>
      <c r="G25" s="248" t="str">
        <f>"Line "&amp;A23&amp;" - Line "&amp;A24&amp;""</f>
        <v>Line 16 - Line 17</v>
      </c>
    </row>
    <row r="26" spans="1:8" ht="13" x14ac:dyDescent="0.3">
      <c r="A26" s="242">
        <f t="shared" si="3"/>
        <v>19</v>
      </c>
      <c r="E26" s="251" t="s">
        <v>548</v>
      </c>
      <c r="F26" s="252">
        <v>6.5680595610890333E-2</v>
      </c>
      <c r="G26" s="248" t="s">
        <v>681</v>
      </c>
    </row>
    <row r="27" spans="1:8" ht="13" x14ac:dyDescent="0.3">
      <c r="A27" s="242">
        <f t="shared" si="3"/>
        <v>20</v>
      </c>
      <c r="E27" s="251" t="s">
        <v>550</v>
      </c>
      <c r="F27" s="246">
        <f>F25*F26</f>
        <v>78855207.15860337</v>
      </c>
      <c r="G27" s="248" t="str">
        <f>"Line "&amp;A25&amp;" * Line "&amp;A26&amp;""</f>
        <v>Line 18 * Line 19</v>
      </c>
    </row>
    <row r="28" spans="1:8" ht="13" x14ac:dyDescent="0.3">
      <c r="A28" s="242">
        <f t="shared" si="3"/>
        <v>21</v>
      </c>
      <c r="E28" s="251" t="s">
        <v>551</v>
      </c>
      <c r="F28" s="253">
        <v>0.18668038449535004</v>
      </c>
      <c r="G28" s="248" t="s">
        <v>682</v>
      </c>
    </row>
    <row r="29" spans="1:8" ht="13" x14ac:dyDescent="0.3">
      <c r="A29" s="242">
        <f t="shared" si="3"/>
        <v>22</v>
      </c>
      <c r="E29" s="251" t="s">
        <v>553</v>
      </c>
      <c r="F29" s="250">
        <f>H10*F28</f>
        <v>2913571.1645227419</v>
      </c>
      <c r="G29" s="248" t="str">
        <f>"Line "&amp;A10&amp;" Col 4 * Line "&amp;A28&amp;""</f>
        <v>Line 5 Col 4 * Line 21</v>
      </c>
    </row>
    <row r="30" spans="1:8" ht="13" x14ac:dyDescent="0.3">
      <c r="A30" s="242">
        <f t="shared" si="3"/>
        <v>23</v>
      </c>
      <c r="E30" s="251" t="s">
        <v>554</v>
      </c>
      <c r="F30" s="246">
        <f>F27+F29</f>
        <v>81768778.323126107</v>
      </c>
      <c r="G30" s="248" t="str">
        <f>"Line "&amp;A27&amp;" + Line "&amp;A29&amp;""</f>
        <v>Line 20 + Line 22</v>
      </c>
    </row>
    <row r="32" spans="1:8" ht="13" x14ac:dyDescent="0.3">
      <c r="B32" s="237" t="s">
        <v>555</v>
      </c>
      <c r="E32" s="241" t="s">
        <v>12</v>
      </c>
      <c r="F32" s="241" t="s">
        <v>343</v>
      </c>
      <c r="G32" s="241" t="s">
        <v>361</v>
      </c>
      <c r="H32" s="241" t="s">
        <v>13</v>
      </c>
    </row>
    <row r="33" spans="1:11" ht="13" x14ac:dyDescent="0.3">
      <c r="B33" s="237"/>
      <c r="C33" s="287" t="s">
        <v>660</v>
      </c>
      <c r="D33" s="288" t="s">
        <v>674</v>
      </c>
      <c r="E33" s="242" t="s">
        <v>556</v>
      </c>
      <c r="F33" s="241"/>
      <c r="G33" s="241"/>
      <c r="H33" s="241"/>
    </row>
    <row r="34" spans="1:11" ht="13" x14ac:dyDescent="0.3">
      <c r="E34" s="242" t="s">
        <v>557</v>
      </c>
    </row>
    <row r="35" spans="1:11" ht="13" x14ac:dyDescent="0.3">
      <c r="D35" s="242" t="s">
        <v>558</v>
      </c>
      <c r="E35" s="242" t="s">
        <v>559</v>
      </c>
      <c r="F35" s="242" t="s">
        <v>560</v>
      </c>
      <c r="G35" s="242"/>
      <c r="H35" s="242"/>
    </row>
    <row r="36" spans="1:11" ht="13" x14ac:dyDescent="0.3">
      <c r="C36" s="244" t="s">
        <v>513</v>
      </c>
      <c r="D36" s="241" t="s">
        <v>561</v>
      </c>
      <c r="E36" s="244" t="s">
        <v>562</v>
      </c>
      <c r="F36" s="244" t="s">
        <v>563</v>
      </c>
      <c r="G36" s="244" t="s">
        <v>564</v>
      </c>
      <c r="H36" s="244" t="s">
        <v>565</v>
      </c>
      <c r="I36" s="244" t="s">
        <v>107</v>
      </c>
    </row>
    <row r="37" spans="1:11" ht="13" x14ac:dyDescent="0.3">
      <c r="A37" s="242">
        <f>A30+1</f>
        <v>24</v>
      </c>
      <c r="C37" s="240">
        <v>920</v>
      </c>
      <c r="D37" s="256">
        <f>SUM(E37:H37)</f>
        <v>217707286.55525932</v>
      </c>
      <c r="E37" s="57">
        <v>74324197.555259317</v>
      </c>
      <c r="F37" s="57"/>
      <c r="G37" s="247">
        <f>G58</f>
        <v>143383089</v>
      </c>
      <c r="H37" s="57"/>
      <c r="I37" s="248" t="s">
        <v>566</v>
      </c>
    </row>
    <row r="38" spans="1:11" ht="13" x14ac:dyDescent="0.3">
      <c r="A38" s="242">
        <f>A37+1</f>
        <v>25</v>
      </c>
      <c r="C38" s="240">
        <v>921</v>
      </c>
      <c r="D38" s="256">
        <f t="shared" ref="D38:D50" si="4">SUM(E38:H38)</f>
        <v>2351967.084740696</v>
      </c>
      <c r="E38" s="57">
        <v>2351967.084740696</v>
      </c>
      <c r="F38" s="57"/>
      <c r="G38" s="57">
        <v>0</v>
      </c>
      <c r="H38" s="57"/>
      <c r="I38" s="248"/>
    </row>
    <row r="39" spans="1:11" ht="13.5" thickBot="1" x14ac:dyDescent="0.35">
      <c r="A39" s="242">
        <f t="shared" ref="A39:A50" si="5">A38+1</f>
        <v>26</v>
      </c>
      <c r="C39" s="240">
        <v>922</v>
      </c>
      <c r="D39" s="256">
        <f t="shared" si="4"/>
        <v>-77722052.712449998</v>
      </c>
      <c r="E39" s="57">
        <v>-10359095.712450001</v>
      </c>
      <c r="F39" s="57"/>
      <c r="G39" s="57">
        <v>-67362957</v>
      </c>
      <c r="H39" s="57"/>
      <c r="I39" s="248"/>
    </row>
    <row r="40" spans="1:11" ht="13.5" thickBot="1" x14ac:dyDescent="0.35">
      <c r="A40" s="242">
        <f t="shared" si="5"/>
        <v>27</v>
      </c>
      <c r="C40" s="240">
        <v>923</v>
      </c>
      <c r="D40" s="254">
        <f t="shared" si="4"/>
        <v>8235606.2878677836</v>
      </c>
      <c r="E40" s="255">
        <v>8235606.2878677836</v>
      </c>
      <c r="F40" s="57"/>
      <c r="G40" s="57">
        <v>0</v>
      </c>
      <c r="H40" s="57"/>
      <c r="I40" s="248"/>
      <c r="J40" s="244"/>
      <c r="K40" s="244"/>
    </row>
    <row r="41" spans="1:11" ht="13" x14ac:dyDescent="0.3">
      <c r="A41" s="242">
        <f t="shared" si="5"/>
        <v>28</v>
      </c>
      <c r="C41" s="240">
        <v>924</v>
      </c>
      <c r="D41" s="256">
        <f t="shared" si="4"/>
        <v>0</v>
      </c>
      <c r="E41" s="57">
        <v>0</v>
      </c>
      <c r="F41" s="57"/>
      <c r="G41" s="57">
        <v>0</v>
      </c>
      <c r="H41" s="57"/>
      <c r="I41" s="248"/>
      <c r="K41" s="247"/>
    </row>
    <row r="42" spans="1:11" ht="13" x14ac:dyDescent="0.3">
      <c r="A42" s="242">
        <f t="shared" si="5"/>
        <v>29</v>
      </c>
      <c r="C42" s="240">
        <v>925</v>
      </c>
      <c r="D42" s="256">
        <f t="shared" si="4"/>
        <v>168752277.52000001</v>
      </c>
      <c r="E42" s="57">
        <v>168752277.52000001</v>
      </c>
      <c r="F42" s="57"/>
      <c r="G42" s="57">
        <v>0</v>
      </c>
      <c r="H42" s="57"/>
      <c r="I42" s="248" t="s">
        <v>675</v>
      </c>
      <c r="K42" s="247"/>
    </row>
    <row r="43" spans="1:11" ht="13" x14ac:dyDescent="0.3">
      <c r="A43" s="242">
        <f t="shared" si="5"/>
        <v>30</v>
      </c>
      <c r="C43" s="240">
        <v>926</v>
      </c>
      <c r="D43" s="256">
        <f t="shared" si="4"/>
        <v>2203319.4670550339</v>
      </c>
      <c r="E43" s="57">
        <v>14093319.467055034</v>
      </c>
      <c r="F43" s="57"/>
      <c r="G43" s="57">
        <v>0</v>
      </c>
      <c r="H43" s="247">
        <f>E71</f>
        <v>-11890000</v>
      </c>
      <c r="I43" s="248" t="s">
        <v>455</v>
      </c>
      <c r="K43" s="247"/>
    </row>
    <row r="44" spans="1:11" ht="13" x14ac:dyDescent="0.3">
      <c r="A44" s="242">
        <f t="shared" si="5"/>
        <v>31</v>
      </c>
      <c r="C44" s="240">
        <v>927</v>
      </c>
      <c r="D44" s="256">
        <f t="shared" si="4"/>
        <v>104335318</v>
      </c>
      <c r="E44" s="247">
        <v>0</v>
      </c>
      <c r="F44" s="247">
        <f>E13</f>
        <v>104335318</v>
      </c>
      <c r="G44" s="247">
        <v>0</v>
      </c>
      <c r="H44" s="247">
        <v>0</v>
      </c>
      <c r="I44" s="248" t="s">
        <v>14</v>
      </c>
      <c r="K44" s="247"/>
    </row>
    <row r="45" spans="1:11" ht="13" x14ac:dyDescent="0.3">
      <c r="A45" s="242">
        <f t="shared" si="5"/>
        <v>32</v>
      </c>
      <c r="C45" s="240">
        <v>928</v>
      </c>
      <c r="D45" s="256">
        <f t="shared" si="4"/>
        <v>9979027.6099999994</v>
      </c>
      <c r="E45" s="57">
        <v>9979027.6099999994</v>
      </c>
      <c r="F45" s="57"/>
      <c r="G45" s="57">
        <v>0</v>
      </c>
      <c r="H45" s="57"/>
      <c r="I45" s="248"/>
      <c r="K45" s="247"/>
    </row>
    <row r="46" spans="1:11" ht="13" x14ac:dyDescent="0.3">
      <c r="A46" s="242">
        <f t="shared" si="5"/>
        <v>33</v>
      </c>
      <c r="C46" s="240">
        <v>929</v>
      </c>
      <c r="D46" s="256">
        <f t="shared" si="4"/>
        <v>0</v>
      </c>
      <c r="E46" s="57">
        <v>0</v>
      </c>
      <c r="F46" s="57"/>
      <c r="G46" s="57">
        <v>0</v>
      </c>
      <c r="H46" s="57"/>
      <c r="I46" s="248"/>
      <c r="K46" s="247"/>
    </row>
    <row r="47" spans="1:11" ht="13" x14ac:dyDescent="0.3">
      <c r="A47" s="242">
        <f t="shared" si="5"/>
        <v>34</v>
      </c>
      <c r="C47" s="240">
        <v>930.1</v>
      </c>
      <c r="D47" s="256">
        <f t="shared" si="4"/>
        <v>4498348</v>
      </c>
      <c r="E47" s="57">
        <v>4498348</v>
      </c>
      <c r="F47" s="57"/>
      <c r="G47" s="57">
        <v>0</v>
      </c>
      <c r="H47" s="57"/>
      <c r="I47" s="248"/>
      <c r="K47" s="247"/>
    </row>
    <row r="48" spans="1:11" ht="13" x14ac:dyDescent="0.3">
      <c r="A48" s="242">
        <f t="shared" si="5"/>
        <v>35</v>
      </c>
      <c r="C48" s="240">
        <v>930.2</v>
      </c>
      <c r="D48" s="256">
        <f t="shared" si="4"/>
        <v>5984741</v>
      </c>
      <c r="E48" s="57">
        <v>5984741</v>
      </c>
      <c r="F48" s="57"/>
      <c r="G48" s="57">
        <v>0</v>
      </c>
      <c r="H48" s="57"/>
      <c r="I48" s="248"/>
      <c r="J48" s="247"/>
    </row>
    <row r="49" spans="1:10" ht="13" x14ac:dyDescent="0.3">
      <c r="A49" s="242">
        <f t="shared" si="5"/>
        <v>36</v>
      </c>
      <c r="C49" s="240">
        <v>931</v>
      </c>
      <c r="D49" s="256">
        <f t="shared" si="4"/>
        <v>12016812.699999999</v>
      </c>
      <c r="E49" s="57">
        <v>12016812.699999999</v>
      </c>
      <c r="F49" s="57"/>
      <c r="G49" s="57">
        <v>0</v>
      </c>
      <c r="H49" s="57"/>
      <c r="I49" s="248"/>
      <c r="J49" s="247"/>
    </row>
    <row r="50" spans="1:10" ht="13" x14ac:dyDescent="0.3">
      <c r="A50" s="242">
        <f t="shared" si="5"/>
        <v>37</v>
      </c>
      <c r="C50" s="240">
        <v>935</v>
      </c>
      <c r="D50" s="256">
        <f t="shared" si="4"/>
        <v>811671.73</v>
      </c>
      <c r="E50" s="57">
        <v>811671.73</v>
      </c>
      <c r="F50" s="57"/>
      <c r="G50" s="57">
        <v>0</v>
      </c>
      <c r="H50" s="57"/>
      <c r="I50" s="248"/>
    </row>
    <row r="51" spans="1:10" ht="13" x14ac:dyDescent="0.3">
      <c r="A51" s="242"/>
      <c r="C51" s="240"/>
      <c r="D51" s="256"/>
      <c r="E51" s="247"/>
      <c r="F51" s="247"/>
      <c r="G51" s="247"/>
      <c r="H51" s="247"/>
      <c r="I51" s="248"/>
    </row>
    <row r="52" spans="1:10" ht="13" x14ac:dyDescent="0.3">
      <c r="B52" s="237" t="s">
        <v>567</v>
      </c>
    </row>
    <row r="53" spans="1:10" ht="13" x14ac:dyDescent="0.3">
      <c r="B53" s="237"/>
      <c r="C53" s="238" t="s">
        <v>568</v>
      </c>
      <c r="G53" s="242"/>
      <c r="H53" s="242"/>
    </row>
    <row r="54" spans="1:10" ht="13" x14ac:dyDescent="0.3">
      <c r="B54" s="237"/>
      <c r="C54" s="50" t="s">
        <v>569</v>
      </c>
      <c r="D54" s="50"/>
      <c r="E54" s="50"/>
      <c r="G54" s="242"/>
      <c r="H54" s="242"/>
    </row>
    <row r="55" spans="1:10" ht="13" x14ac:dyDescent="0.3">
      <c r="B55" s="237"/>
      <c r="C55" s="287" t="s">
        <v>660</v>
      </c>
      <c r="D55" s="288" t="s">
        <v>674</v>
      </c>
      <c r="G55" s="244" t="s">
        <v>96</v>
      </c>
      <c r="H55" s="244" t="s">
        <v>98</v>
      </c>
    </row>
    <row r="56" spans="1:10" ht="13" x14ac:dyDescent="0.3">
      <c r="A56" s="242"/>
      <c r="B56" s="242" t="s">
        <v>187</v>
      </c>
      <c r="C56" s="289"/>
      <c r="F56" s="251" t="s">
        <v>570</v>
      </c>
      <c r="G56" s="57">
        <v>148050456</v>
      </c>
      <c r="H56" s="248" t="s">
        <v>300</v>
      </c>
    </row>
    <row r="57" spans="1:10" ht="13" x14ac:dyDescent="0.3">
      <c r="A57" s="242"/>
      <c r="B57" s="242" t="s">
        <v>190</v>
      </c>
      <c r="F57" s="251" t="s">
        <v>571</v>
      </c>
      <c r="G57" s="250">
        <f>E61</f>
        <v>4667367</v>
      </c>
      <c r="H57" s="248" t="str">
        <f>"Note 2, "&amp;B61&amp;""</f>
        <v>Note 2, d</v>
      </c>
    </row>
    <row r="58" spans="1:10" ht="13" x14ac:dyDescent="0.3">
      <c r="A58" s="242"/>
      <c r="B58" s="242" t="s">
        <v>193</v>
      </c>
      <c r="F58" s="251" t="s">
        <v>572</v>
      </c>
      <c r="G58" s="247">
        <f>G56-G57</f>
        <v>143383089</v>
      </c>
    </row>
    <row r="59" spans="1:10" ht="13" x14ac:dyDescent="0.3">
      <c r="A59" s="242"/>
      <c r="C59" s="50" t="s">
        <v>573</v>
      </c>
      <c r="D59" s="50"/>
      <c r="E59" s="50"/>
      <c r="G59" s="247"/>
    </row>
    <row r="60" spans="1:10" ht="13" x14ac:dyDescent="0.3">
      <c r="A60" s="242"/>
      <c r="D60" s="257" t="s">
        <v>574</v>
      </c>
      <c r="E60" s="244" t="s">
        <v>96</v>
      </c>
      <c r="F60" s="244" t="s">
        <v>98</v>
      </c>
      <c r="G60" s="247"/>
    </row>
    <row r="61" spans="1:10" ht="13" x14ac:dyDescent="0.3">
      <c r="A61" s="242"/>
      <c r="B61" s="242" t="s">
        <v>195</v>
      </c>
      <c r="D61" s="238" t="s">
        <v>575</v>
      </c>
      <c r="E61" s="66">
        <v>4667367</v>
      </c>
      <c r="F61" s="248" t="s">
        <v>576</v>
      </c>
      <c r="G61" s="247"/>
    </row>
    <row r="62" spans="1:10" ht="13" x14ac:dyDescent="0.3">
      <c r="A62" s="242"/>
      <c r="B62" s="242" t="s">
        <v>199</v>
      </c>
      <c r="D62" s="238" t="s">
        <v>577</v>
      </c>
      <c r="E62" s="66">
        <v>2525320</v>
      </c>
      <c r="F62" s="248" t="s">
        <v>576</v>
      </c>
      <c r="G62" s="247"/>
      <c r="I62" s="102"/>
    </row>
    <row r="63" spans="1:10" ht="13" x14ac:dyDescent="0.3">
      <c r="A63" s="242"/>
      <c r="B63" s="242" t="s">
        <v>202</v>
      </c>
      <c r="D63" s="238" t="s">
        <v>578</v>
      </c>
      <c r="E63" s="103">
        <v>4239356</v>
      </c>
      <c r="F63" s="248" t="s">
        <v>576</v>
      </c>
      <c r="G63" s="247"/>
      <c r="I63" s="247"/>
    </row>
    <row r="64" spans="1:10" ht="13" x14ac:dyDescent="0.3">
      <c r="A64" s="242"/>
      <c r="B64" s="242" t="s">
        <v>205</v>
      </c>
      <c r="D64" s="251" t="s">
        <v>84</v>
      </c>
      <c r="E64" s="247">
        <f>SUM(E61:E63)</f>
        <v>11432043</v>
      </c>
      <c r="F64" s="248" t="str">
        <f>"Sum of "&amp;B61&amp;" to "&amp;B63&amp;""</f>
        <v>Sum of d to f</v>
      </c>
      <c r="G64" s="247"/>
    </row>
    <row r="66" spans="1:7" ht="13" x14ac:dyDescent="0.3">
      <c r="B66" s="237" t="s">
        <v>579</v>
      </c>
    </row>
    <row r="67" spans="1:7" ht="13" x14ac:dyDescent="0.3">
      <c r="E67" s="244" t="s">
        <v>96</v>
      </c>
      <c r="F67" s="257" t="s">
        <v>580</v>
      </c>
    </row>
    <row r="68" spans="1:7" ht="13" x14ac:dyDescent="0.3">
      <c r="A68" s="242"/>
      <c r="B68" s="242" t="s">
        <v>187</v>
      </c>
      <c r="D68" s="251" t="s">
        <v>581</v>
      </c>
      <c r="E68" s="290">
        <v>6329000</v>
      </c>
      <c r="F68" s="248" t="s">
        <v>582</v>
      </c>
    </row>
    <row r="69" spans="1:7" ht="13" x14ac:dyDescent="0.3">
      <c r="A69" s="242"/>
      <c r="B69" s="242" t="s">
        <v>190</v>
      </c>
      <c r="D69" s="251" t="s">
        <v>583</v>
      </c>
      <c r="E69" s="259">
        <v>18219000</v>
      </c>
      <c r="F69" s="248" t="s">
        <v>584</v>
      </c>
    </row>
    <row r="70" spans="1:7" ht="13" x14ac:dyDescent="0.3">
      <c r="A70" s="242"/>
      <c r="B70" s="242" t="s">
        <v>193</v>
      </c>
      <c r="D70" s="251" t="s">
        <v>585</v>
      </c>
      <c r="E70" s="260">
        <v>6329000</v>
      </c>
      <c r="F70" s="248" t="s">
        <v>300</v>
      </c>
    </row>
    <row r="71" spans="1:7" ht="13" x14ac:dyDescent="0.3">
      <c r="A71" s="242"/>
      <c r="B71" s="242" t="s">
        <v>195</v>
      </c>
      <c r="D71" s="251" t="s">
        <v>586</v>
      </c>
      <c r="E71" s="247">
        <f>E70-E69</f>
        <v>-11890000</v>
      </c>
      <c r="F71" s="248" t="str">
        <f>""&amp;B70&amp;" - "&amp;B69&amp;""</f>
        <v>c - b</v>
      </c>
    </row>
    <row r="72" spans="1:7" ht="13" x14ac:dyDescent="0.3">
      <c r="A72" s="242"/>
      <c r="B72" s="237" t="s">
        <v>587</v>
      </c>
      <c r="D72" s="251"/>
      <c r="E72" s="247"/>
      <c r="F72" s="248"/>
    </row>
    <row r="73" spans="1:7" ht="13" x14ac:dyDescent="0.3">
      <c r="A73" s="242"/>
      <c r="B73" s="237"/>
      <c r="C73" s="238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3" s="251"/>
      <c r="E73" s="247"/>
      <c r="F73" s="248"/>
    </row>
    <row r="74" spans="1:7" ht="13" x14ac:dyDescent="0.3">
      <c r="A74" s="242"/>
      <c r="B74" s="237"/>
      <c r="C74" s="238" t="s">
        <v>588</v>
      </c>
      <c r="D74" s="251"/>
      <c r="E74" s="247"/>
      <c r="F74" s="248"/>
    </row>
    <row r="76" spans="1:7" ht="13" x14ac:dyDescent="0.3">
      <c r="B76" s="237" t="s">
        <v>175</v>
      </c>
    </row>
    <row r="77" spans="1:7" x14ac:dyDescent="0.25">
      <c r="C77" s="238" t="str">
        <f>"1) Enter amounts of A&amp;G expenses from FERC Form 1 in Lines "&amp;A6&amp;" to "&amp;A19&amp;"."</f>
        <v>1) Enter amounts of A&amp;G expenses from FERC Form 1 in Lines 1 to 14.</v>
      </c>
    </row>
    <row r="78" spans="1:7" x14ac:dyDescent="0.25">
      <c r="C78" s="238" t="s">
        <v>589</v>
      </c>
      <c r="G78" s="238" t="str">
        <f>"Column 3, Line "&amp;A37&amp;""</f>
        <v>Column 3, Line 24</v>
      </c>
    </row>
    <row r="79" spans="1:7" x14ac:dyDescent="0.25">
      <c r="C79" s="248" t="str">
        <f>"is calculated in Note 2.  The PBOPs exclusion in Column 4, Line "&amp;A43&amp;" is calculated in Note 3."</f>
        <v>is calculated in Note 2.  The PBOPs exclusion in Column 4, Line 30 is calculated in Note 3.</v>
      </c>
    </row>
    <row r="80" spans="1:7" x14ac:dyDescent="0.25">
      <c r="C80" s="248" t="s">
        <v>590</v>
      </c>
    </row>
    <row r="81" spans="3:7" x14ac:dyDescent="0.25">
      <c r="C81" s="248" t="s">
        <v>591</v>
      </c>
      <c r="D81" s="251"/>
      <c r="E81" s="247"/>
      <c r="F81" s="248"/>
    </row>
    <row r="82" spans="3:7" x14ac:dyDescent="0.25">
      <c r="C82" s="248" t="s">
        <v>592</v>
      </c>
      <c r="D82" s="251"/>
      <c r="E82" s="247"/>
      <c r="F82" s="248"/>
    </row>
    <row r="83" spans="3:7" x14ac:dyDescent="0.25">
      <c r="C83" s="248" t="s">
        <v>593</v>
      </c>
    </row>
    <row r="84" spans="3:7" x14ac:dyDescent="0.25">
      <c r="C84" s="248" t="s">
        <v>594</v>
      </c>
    </row>
    <row r="85" spans="3:7" x14ac:dyDescent="0.25">
      <c r="C85" s="248" t="s">
        <v>595</v>
      </c>
    </row>
    <row r="86" spans="3:7" x14ac:dyDescent="0.25">
      <c r="C86" s="248" t="s">
        <v>596</v>
      </c>
    </row>
    <row r="87" spans="3:7" x14ac:dyDescent="0.25">
      <c r="C87" s="248" t="s">
        <v>597</v>
      </c>
    </row>
    <row r="88" spans="3:7" x14ac:dyDescent="0.25">
      <c r="C88" s="248" t="s">
        <v>598</v>
      </c>
      <c r="E88" s="261"/>
      <c r="F88" s="261"/>
      <c r="G88" s="261"/>
    </row>
    <row r="89" spans="3:7" x14ac:dyDescent="0.25">
      <c r="C89" s="262" t="s">
        <v>599</v>
      </c>
      <c r="E89" s="261"/>
      <c r="F89" s="261"/>
      <c r="G89" s="261"/>
    </row>
    <row r="90" spans="3:7" x14ac:dyDescent="0.25">
      <c r="C90" s="262" t="s">
        <v>600</v>
      </c>
      <c r="E90" s="261"/>
      <c r="F90" s="261"/>
      <c r="G90" s="261"/>
    </row>
    <row r="91" spans="3:7" x14ac:dyDescent="0.25">
      <c r="C91" s="262" t="s">
        <v>601</v>
      </c>
      <c r="E91" s="261"/>
      <c r="F91" s="261"/>
      <c r="G91" s="261"/>
    </row>
    <row r="92" spans="3:7" x14ac:dyDescent="0.25">
      <c r="C92" s="248" t="s">
        <v>602</v>
      </c>
      <c r="E92" s="261"/>
      <c r="F92" s="261"/>
      <c r="G92" s="261"/>
    </row>
    <row r="93" spans="3:7" x14ac:dyDescent="0.25">
      <c r="C93" s="262" t="s">
        <v>603</v>
      </c>
      <c r="E93" s="261"/>
      <c r="F93" s="261"/>
      <c r="G93" s="261"/>
    </row>
    <row r="94" spans="3:7" x14ac:dyDescent="0.25">
      <c r="C94" s="262" t="s">
        <v>604</v>
      </c>
      <c r="E94" s="261"/>
      <c r="F94" s="261"/>
      <c r="G94" s="261"/>
    </row>
    <row r="95" spans="3:7" x14ac:dyDescent="0.25">
      <c r="C95" s="262" t="s">
        <v>605</v>
      </c>
      <c r="E95" s="261"/>
      <c r="F95" s="261"/>
      <c r="G95" s="261"/>
    </row>
    <row r="96" spans="3:7" x14ac:dyDescent="0.25">
      <c r="C96" s="262" t="s">
        <v>606</v>
      </c>
      <c r="E96" s="261"/>
      <c r="F96" s="261"/>
      <c r="G96" s="261"/>
    </row>
    <row r="97" spans="3:10" ht="13" x14ac:dyDescent="0.3">
      <c r="C97" s="104" t="s">
        <v>607</v>
      </c>
      <c r="D97" s="50"/>
      <c r="E97" s="50"/>
      <c r="F97" s="50"/>
      <c r="G97" s="50"/>
      <c r="H97" s="50"/>
      <c r="I97" s="50"/>
      <c r="J97" s="50"/>
    </row>
    <row r="98" spans="3:10" x14ac:dyDescent="0.25">
      <c r="C98" s="238" t="s">
        <v>608</v>
      </c>
    </row>
    <row r="99" spans="3:10" x14ac:dyDescent="0.25">
      <c r="C99" s="104" t="s">
        <v>609</v>
      </c>
      <c r="D99" s="50"/>
      <c r="E99" s="50"/>
      <c r="F99" s="50"/>
      <c r="G99" s="50"/>
      <c r="H99" s="50"/>
      <c r="I99" s="50"/>
    </row>
    <row r="100" spans="3:10" x14ac:dyDescent="0.25">
      <c r="C100" s="238" t="str">
        <f>"4) Determine the PBOPs exclusion.  The authorized amount of PBOPs expense (line "&amp;B68&amp;") may only be revised"</f>
        <v>4) Determine the PBOPs exclusion.  The authorized amount of PBOPs expense (line a) may only be revised</v>
      </c>
    </row>
    <row r="101" spans="3:10" x14ac:dyDescent="0.25">
      <c r="C101" s="238" t="s">
        <v>610</v>
      </c>
    </row>
    <row r="102" spans="3:10" x14ac:dyDescent="0.25">
      <c r="C102" s="238" t="s">
        <v>611</v>
      </c>
    </row>
    <row r="103" spans="3:10" x14ac:dyDescent="0.25">
      <c r="C103" s="238" t="s">
        <v>612</v>
      </c>
      <c r="I103" s="73" t="s">
        <v>613</v>
      </c>
      <c r="J103" s="73"/>
    </row>
    <row r="104" spans="3:10" x14ac:dyDescent="0.25">
      <c r="C104" s="238" t="s">
        <v>614</v>
      </c>
    </row>
    <row r="105" spans="3:10" x14ac:dyDescent="0.25">
      <c r="C105" s="238" t="s">
        <v>676</v>
      </c>
    </row>
    <row r="106" spans="3:10" x14ac:dyDescent="0.25">
      <c r="C106" s="238" t="s">
        <v>677</v>
      </c>
    </row>
    <row r="107" spans="3:10" x14ac:dyDescent="0.25">
      <c r="C107" s="238" t="s">
        <v>678</v>
      </c>
    </row>
    <row r="108" spans="3:10" x14ac:dyDescent="0.25">
      <c r="C108" s="238" t="s">
        <v>679</v>
      </c>
    </row>
    <row r="109" spans="3:10" x14ac:dyDescent="0.25">
      <c r="C109" s="238" t="s">
        <v>680</v>
      </c>
    </row>
    <row r="110" spans="3:10" x14ac:dyDescent="0.25">
      <c r="C110" s="291"/>
    </row>
  </sheetData>
  <pageMargins left="0.75" right="0.75" top="1" bottom="1" header="0.5" footer="0.5"/>
  <pageSetup scale="68" orientation="landscape" cellComments="asDisplayed" r:id="rId1"/>
  <headerFooter alignWithMargins="0">
    <oddHeader xml:space="preserve">&amp;CSchedule 20
Administrative and General Expenses
(TO2021 EDIT Adj)&amp;RTO2021 Annual Update
Attachment 4
WP-Schedule 3-One Time Adjustment Transition
Page &amp;P of &amp;N
</oddHeader>
    <oddFooter>&amp;R&amp;A</oddFooter>
  </headerFooter>
  <rowBreaks count="2" manualBreakCount="2">
    <brk id="51" max="9" man="1"/>
    <brk id="7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CD7BD-3459-4389-9A51-8CF40B2750F4}">
  <sheetPr codeName="Sheet3">
    <tabColor rgb="FFCCECFF"/>
    <pageSetUpPr fitToPage="1"/>
  </sheetPr>
  <dimension ref="B3:J10"/>
  <sheetViews>
    <sheetView zoomScaleNormal="100" workbookViewId="0">
      <selection activeCell="B1" sqref="B1"/>
    </sheetView>
  </sheetViews>
  <sheetFormatPr defaultRowHeight="14.5" x14ac:dyDescent="0.35"/>
  <cols>
    <col min="1" max="1" width="1.7265625" customWidth="1"/>
    <col min="2" max="2" width="9.26953125" customWidth="1"/>
    <col min="3" max="3" width="10.7265625" customWidth="1"/>
    <col min="4" max="4" width="13.1796875" customWidth="1"/>
    <col min="5" max="5" width="19.453125" customWidth="1"/>
    <col min="6" max="6" width="12.1796875" customWidth="1"/>
    <col min="7" max="7" width="14.54296875" customWidth="1"/>
    <col min="8" max="8" width="24.453125" customWidth="1"/>
    <col min="9" max="9" width="12.54296875" customWidth="1"/>
    <col min="10" max="10" width="13.54296875" customWidth="1"/>
    <col min="11" max="11" width="2.54296875" customWidth="1"/>
    <col min="12" max="12" width="25.54296875" customWidth="1"/>
  </cols>
  <sheetData>
    <row r="3" spans="2:10" ht="14.5" customHeight="1" x14ac:dyDescent="0.35">
      <c r="B3" s="417" t="s">
        <v>94</v>
      </c>
      <c r="C3" s="417"/>
      <c r="D3" s="417"/>
      <c r="E3" s="417"/>
      <c r="F3" s="417"/>
      <c r="G3" s="417"/>
      <c r="H3" s="417"/>
      <c r="I3" s="417"/>
      <c r="J3" s="417"/>
    </row>
    <row r="4" spans="2:10" ht="14.5" customHeight="1" x14ac:dyDescent="0.35">
      <c r="B4" s="417"/>
      <c r="C4" s="417"/>
      <c r="D4" s="417"/>
      <c r="E4" s="417"/>
      <c r="F4" s="417"/>
      <c r="G4" s="417"/>
      <c r="H4" s="417"/>
      <c r="I4" s="417"/>
      <c r="J4" s="417"/>
    </row>
    <row r="5" spans="2:10" ht="29" x14ac:dyDescent="0.35">
      <c r="B5" s="426" t="s">
        <v>95</v>
      </c>
      <c r="C5" s="426"/>
      <c r="D5" s="426"/>
      <c r="E5" s="156" t="s">
        <v>96</v>
      </c>
      <c r="F5" s="128" t="s">
        <v>97</v>
      </c>
      <c r="G5" s="128" t="s">
        <v>91</v>
      </c>
      <c r="H5" s="427" t="s">
        <v>98</v>
      </c>
      <c r="I5" s="427"/>
      <c r="J5" s="427"/>
    </row>
    <row r="6" spans="2:10" ht="46" customHeight="1" x14ac:dyDescent="0.35">
      <c r="B6" s="418" t="s">
        <v>916</v>
      </c>
      <c r="C6" s="419"/>
      <c r="D6" s="420"/>
      <c r="E6" s="235">
        <f>'TO2018 WF-Sch4-TUTRR-Rev'!E73</f>
        <v>1029975576.9781398</v>
      </c>
      <c r="F6" s="127">
        <f>315/365</f>
        <v>0.86301369863013699</v>
      </c>
      <c r="G6" s="129">
        <f>E6*F6</f>
        <v>888883032.1866138</v>
      </c>
      <c r="H6" s="421" t="s">
        <v>924</v>
      </c>
      <c r="I6" s="421"/>
      <c r="J6" s="421"/>
    </row>
    <row r="7" spans="2:10" ht="36" customHeight="1" x14ac:dyDescent="0.35">
      <c r="B7" s="418" t="s">
        <v>917</v>
      </c>
      <c r="C7" s="419"/>
      <c r="D7" s="420"/>
      <c r="E7" s="28">
        <f>'TO2018 WF-Sch4-TUTRR-Rev'!J71</f>
        <v>1031044751.7302366</v>
      </c>
      <c r="F7" s="131">
        <f>315/365</f>
        <v>0.86301369863013699</v>
      </c>
      <c r="G7" s="236">
        <f>E7*F7</f>
        <v>889805744.6439029</v>
      </c>
      <c r="H7" s="421" t="s">
        <v>925</v>
      </c>
      <c r="I7" s="421"/>
      <c r="J7" s="421"/>
    </row>
    <row r="8" spans="2:10" ht="22" customHeight="1" x14ac:dyDescent="0.35">
      <c r="B8" s="423" t="s">
        <v>99</v>
      </c>
      <c r="C8" s="424"/>
      <c r="D8" s="424"/>
      <c r="E8" s="424"/>
      <c r="F8" s="425"/>
      <c r="G8" s="130">
        <f>G6-G7</f>
        <v>-922712.45728909969</v>
      </c>
      <c r="H8" s="422"/>
      <c r="I8" s="422"/>
      <c r="J8" s="422"/>
    </row>
    <row r="10" spans="2:10" x14ac:dyDescent="0.35">
      <c r="E10" s="7"/>
    </row>
  </sheetData>
  <mergeCells count="9">
    <mergeCell ref="B3:J4"/>
    <mergeCell ref="B7:D7"/>
    <mergeCell ref="H7:J7"/>
    <mergeCell ref="H8:J8"/>
    <mergeCell ref="B8:F8"/>
    <mergeCell ref="B5:D5"/>
    <mergeCell ref="H5:J5"/>
    <mergeCell ref="B6:D6"/>
    <mergeCell ref="H6:J6"/>
  </mergeCells>
  <pageMargins left="0.7" right="0.7" top="0.75" bottom="0.75" header="0.3" footer="0.3"/>
  <pageSetup scale="92" orientation="landscape" horizontalDpi="4294967293" verticalDpi="1200" r:id="rId1"/>
  <headerFooter>
    <oddHeader xml:space="preserve">&amp;R&amp;"Arial,Regular"&amp;10TO2021 Annual Update
Attachment 4
WP-Schedule 3-One Time Adjustment Transition
Page &amp;P of &amp;N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925C8-3BCA-4564-BE37-B2022F9A34D6}">
  <sheetPr codeName="Sheet4">
    <tabColor rgb="FFCCECFF"/>
  </sheetPr>
  <dimension ref="A1:R172"/>
  <sheetViews>
    <sheetView zoomScaleNormal="100" zoomScalePageLayoutView="80" workbookViewId="0"/>
  </sheetViews>
  <sheetFormatPr defaultRowHeight="12.5" x14ac:dyDescent="0.25"/>
  <cols>
    <col min="1" max="2" width="4.54296875" style="319" customWidth="1"/>
    <col min="3" max="3" width="18.54296875" style="319" customWidth="1"/>
    <col min="4" max="4" width="10.453125" style="319" bestFit="1" customWidth="1"/>
    <col min="5" max="7" width="15.54296875" style="319" customWidth="1"/>
    <col min="8" max="8" width="24.54296875" style="319" customWidth="1"/>
    <col min="9" max="9" width="4.54296875" style="319" customWidth="1"/>
    <col min="10" max="10" width="15.54296875" style="319" customWidth="1"/>
    <col min="11" max="11" width="2.54296875" style="319" customWidth="1"/>
    <col min="12" max="12" width="29.36328125" style="319" customWidth="1"/>
    <col min="13" max="13" width="4.453125" style="319" customWidth="1"/>
    <col min="14" max="14" width="15.453125" style="319" customWidth="1"/>
    <col min="15" max="16384" width="8.7265625" style="319"/>
  </cols>
  <sheetData>
    <row r="1" spans="1:14" ht="13" x14ac:dyDescent="0.3">
      <c r="A1" s="318" t="s">
        <v>100</v>
      </c>
    </row>
    <row r="3" spans="1:14" ht="13" x14ac:dyDescent="0.3">
      <c r="B3" s="320" t="s">
        <v>101</v>
      </c>
      <c r="L3" s="321"/>
    </row>
    <row r="4" spans="1:14" ht="13" x14ac:dyDescent="0.3">
      <c r="B4" s="322"/>
      <c r="F4" s="321" t="s">
        <v>102</v>
      </c>
      <c r="G4" s="321"/>
      <c r="H4" s="321" t="s">
        <v>103</v>
      </c>
      <c r="L4" s="321"/>
      <c r="N4" s="321"/>
    </row>
    <row r="5" spans="1:14" ht="13" x14ac:dyDescent="0.3">
      <c r="A5" s="323" t="s">
        <v>104</v>
      </c>
      <c r="B5" s="324"/>
      <c r="C5" s="325" t="s">
        <v>105</v>
      </c>
      <c r="F5" s="326" t="s">
        <v>106</v>
      </c>
      <c r="G5" s="326" t="s">
        <v>107</v>
      </c>
      <c r="H5" s="326" t="s">
        <v>108</v>
      </c>
      <c r="J5" s="326" t="s">
        <v>96</v>
      </c>
      <c r="L5" s="326"/>
      <c r="N5" s="326"/>
    </row>
    <row r="6" spans="1:14" ht="13" x14ac:dyDescent="0.3">
      <c r="A6" s="321">
        <v>1</v>
      </c>
      <c r="C6" s="327" t="s">
        <v>109</v>
      </c>
      <c r="F6" s="319" t="s">
        <v>110</v>
      </c>
      <c r="H6" s="327" t="s">
        <v>766</v>
      </c>
      <c r="J6" s="328">
        <v>8939630709.3337479</v>
      </c>
      <c r="L6" s="326"/>
      <c r="N6" s="328"/>
    </row>
    <row r="7" spans="1:14" ht="13" x14ac:dyDescent="0.3">
      <c r="A7" s="321">
        <f>A6+1</f>
        <v>2</v>
      </c>
      <c r="C7" s="327" t="s">
        <v>111</v>
      </c>
      <c r="F7" s="319" t="s">
        <v>112</v>
      </c>
      <c r="H7" s="327" t="s">
        <v>767</v>
      </c>
      <c r="J7" s="328">
        <v>289044062.07088608</v>
      </c>
      <c r="L7" s="326"/>
      <c r="N7" s="328"/>
    </row>
    <row r="8" spans="1:14" ht="13" x14ac:dyDescent="0.3">
      <c r="A8" s="321">
        <f>A7+1</f>
        <v>3</v>
      </c>
      <c r="C8" s="327" t="s">
        <v>113</v>
      </c>
      <c r="F8" s="319" t="s">
        <v>112</v>
      </c>
      <c r="H8" s="319" t="s">
        <v>770</v>
      </c>
      <c r="J8" s="328">
        <v>9942155</v>
      </c>
      <c r="L8" s="326"/>
      <c r="N8" s="328"/>
    </row>
    <row r="9" spans="1:14" ht="13" x14ac:dyDescent="0.3">
      <c r="A9" s="321">
        <f>A8+1</f>
        <v>4</v>
      </c>
      <c r="C9" s="327" t="s">
        <v>114</v>
      </c>
      <c r="F9" s="319" t="s">
        <v>112</v>
      </c>
      <c r="H9" s="329" t="s">
        <v>773</v>
      </c>
      <c r="J9" s="328">
        <v>0</v>
      </c>
      <c r="L9" s="326"/>
      <c r="N9" s="328"/>
    </row>
    <row r="10" spans="1:14" ht="13" x14ac:dyDescent="0.3">
      <c r="A10" s="321"/>
      <c r="C10" s="327"/>
      <c r="J10" s="328"/>
      <c r="L10" s="326"/>
      <c r="N10" s="328"/>
    </row>
    <row r="11" spans="1:14" ht="13" x14ac:dyDescent="0.3">
      <c r="A11" s="321"/>
      <c r="C11" s="330" t="s">
        <v>115</v>
      </c>
      <c r="J11" s="328"/>
      <c r="L11" s="326"/>
      <c r="N11" s="328"/>
    </row>
    <row r="12" spans="1:14" ht="13" x14ac:dyDescent="0.3">
      <c r="A12" s="321">
        <f>A9+1</f>
        <v>5</v>
      </c>
      <c r="C12" s="331" t="s">
        <v>116</v>
      </c>
      <c r="F12" s="319" t="s">
        <v>110</v>
      </c>
      <c r="H12" s="327" t="s">
        <v>776</v>
      </c>
      <c r="J12" s="328">
        <v>21481204.872946855</v>
      </c>
      <c r="L12" s="326"/>
      <c r="N12" s="328"/>
    </row>
    <row r="13" spans="1:14" ht="13" x14ac:dyDescent="0.3">
      <c r="A13" s="321">
        <f>A12+1</f>
        <v>6</v>
      </c>
      <c r="C13" s="324" t="s">
        <v>117</v>
      </c>
      <c r="F13" s="319" t="s">
        <v>110</v>
      </c>
      <c r="H13" s="327" t="s">
        <v>777</v>
      </c>
      <c r="J13" s="328">
        <v>21290573.843281552</v>
      </c>
      <c r="L13" s="326"/>
      <c r="N13" s="328"/>
    </row>
    <row r="14" spans="1:14" ht="13" x14ac:dyDescent="0.3">
      <c r="A14" s="321">
        <f>A13+1</f>
        <v>7</v>
      </c>
      <c r="C14" s="331" t="s">
        <v>118</v>
      </c>
      <c r="F14" s="329" t="s">
        <v>119</v>
      </c>
      <c r="H14" s="319" t="s">
        <v>780</v>
      </c>
      <c r="J14" s="332">
        <v>24344015.645957366</v>
      </c>
      <c r="L14" s="326"/>
      <c r="N14" s="328"/>
    </row>
    <row r="15" spans="1:14" ht="13" x14ac:dyDescent="0.3">
      <c r="A15" s="321">
        <f>A14+1</f>
        <v>8</v>
      </c>
      <c r="C15" s="331" t="s">
        <v>120</v>
      </c>
      <c r="H15" s="319" t="str">
        <f>"Line "&amp;A12&amp;" + Line "&amp;A13&amp;" + Line "&amp;A14&amp;""</f>
        <v>Line 5 + Line 6 + Line 7</v>
      </c>
      <c r="J15" s="333">
        <f>SUM(J12:J14)</f>
        <v>67115794.362185776</v>
      </c>
      <c r="L15" s="326"/>
      <c r="N15" s="328"/>
    </row>
    <row r="16" spans="1:14" ht="13" x14ac:dyDescent="0.3">
      <c r="A16" s="321"/>
      <c r="C16" s="331"/>
      <c r="J16" s="328"/>
      <c r="L16" s="326"/>
      <c r="N16" s="328"/>
    </row>
    <row r="17" spans="1:14" ht="13" x14ac:dyDescent="0.3">
      <c r="A17" s="321"/>
      <c r="C17" s="334" t="s">
        <v>121</v>
      </c>
      <c r="J17" s="328"/>
      <c r="L17" s="326"/>
      <c r="N17" s="328"/>
    </row>
    <row r="18" spans="1:14" ht="13" x14ac:dyDescent="0.3">
      <c r="A18" s="321">
        <f>A15+1</f>
        <v>9</v>
      </c>
      <c r="C18" s="331" t="s">
        <v>122</v>
      </c>
      <c r="F18" s="319" t="s">
        <v>110</v>
      </c>
      <c r="G18" s="319" t="s">
        <v>123</v>
      </c>
      <c r="H18" s="327" t="s">
        <v>796</v>
      </c>
      <c r="J18" s="328">
        <v>-1839774172.2805853</v>
      </c>
      <c r="L18" s="326"/>
      <c r="N18" s="328"/>
    </row>
    <row r="19" spans="1:14" ht="13" x14ac:dyDescent="0.3">
      <c r="A19" s="321">
        <f>A18+1</f>
        <v>10</v>
      </c>
      <c r="C19" s="331" t="s">
        <v>124</v>
      </c>
      <c r="F19" s="319" t="s">
        <v>112</v>
      </c>
      <c r="G19" s="319" t="s">
        <v>123</v>
      </c>
      <c r="H19" s="327" t="s">
        <v>797</v>
      </c>
      <c r="J19" s="328">
        <v>0</v>
      </c>
      <c r="L19" s="326"/>
      <c r="N19" s="328"/>
    </row>
    <row r="20" spans="1:14" ht="13" x14ac:dyDescent="0.3">
      <c r="A20" s="321">
        <f>A19+1</f>
        <v>11</v>
      </c>
      <c r="C20" s="331" t="s">
        <v>125</v>
      </c>
      <c r="D20" s="47"/>
      <c r="F20" s="319" t="s">
        <v>112</v>
      </c>
      <c r="G20" s="319" t="s">
        <v>123</v>
      </c>
      <c r="H20" s="327" t="s">
        <v>798</v>
      </c>
      <c r="J20" s="335">
        <v>-105831142.34877566</v>
      </c>
      <c r="L20" s="326"/>
      <c r="N20" s="328"/>
    </row>
    <row r="21" spans="1:14" ht="13" x14ac:dyDescent="0.3">
      <c r="A21" s="321">
        <f>A20+1</f>
        <v>12</v>
      </c>
      <c r="C21" s="46" t="s">
        <v>126</v>
      </c>
      <c r="D21" s="47"/>
      <c r="H21" s="319" t="str">
        <f>"Line "&amp;A18&amp;" + Line "&amp;A19&amp;" + Line "&amp;A20&amp;""</f>
        <v>Line 9 + Line 10 + Line 11</v>
      </c>
      <c r="J21" s="328">
        <f>SUM(J18:J20)</f>
        <v>-1945605314.6293609</v>
      </c>
      <c r="L21" s="326"/>
      <c r="N21" s="328"/>
    </row>
    <row r="22" spans="1:14" ht="13" x14ac:dyDescent="0.3">
      <c r="A22" s="321"/>
      <c r="C22" s="329"/>
      <c r="J22" s="328"/>
      <c r="L22" s="326"/>
      <c r="N22" s="328"/>
    </row>
    <row r="23" spans="1:14" ht="13" x14ac:dyDescent="0.3">
      <c r="A23" s="321">
        <f>A21+1</f>
        <v>13</v>
      </c>
      <c r="C23" s="336" t="s">
        <v>127</v>
      </c>
      <c r="F23" s="319" t="s">
        <v>112</v>
      </c>
      <c r="H23" s="327" t="s">
        <v>802</v>
      </c>
      <c r="J23" s="328">
        <v>-1632992371.4042728</v>
      </c>
      <c r="L23" s="326"/>
      <c r="N23" s="328"/>
    </row>
    <row r="24" spans="1:14" ht="13" x14ac:dyDescent="0.3">
      <c r="A24" s="321">
        <f>A23+1</f>
        <v>14</v>
      </c>
      <c r="C24" s="327" t="s">
        <v>128</v>
      </c>
      <c r="F24" s="319" t="s">
        <v>110</v>
      </c>
      <c r="H24" s="327" t="s">
        <v>804</v>
      </c>
      <c r="J24" s="328">
        <v>602185189.09144735</v>
      </c>
      <c r="L24" s="326"/>
      <c r="N24" s="328"/>
    </row>
    <row r="25" spans="1:14" ht="13" x14ac:dyDescent="0.3">
      <c r="A25" s="321">
        <f>A24+1</f>
        <v>15</v>
      </c>
      <c r="C25" s="336" t="s">
        <v>129</v>
      </c>
      <c r="F25" s="319" t="s">
        <v>112</v>
      </c>
      <c r="G25" s="319" t="s">
        <v>123</v>
      </c>
      <c r="H25" s="327" t="s">
        <v>806</v>
      </c>
      <c r="J25" s="328">
        <v>-50661304.942000374</v>
      </c>
      <c r="L25" s="326"/>
      <c r="N25" s="328"/>
    </row>
    <row r="26" spans="1:14" ht="13" x14ac:dyDescent="0.3">
      <c r="A26" s="321">
        <f>A25+1</f>
        <v>16</v>
      </c>
      <c r="C26" s="327" t="s">
        <v>130</v>
      </c>
      <c r="H26" s="329" t="s">
        <v>809</v>
      </c>
      <c r="J26" s="328">
        <v>-192296783.42467985</v>
      </c>
      <c r="L26" s="326"/>
      <c r="N26" s="328"/>
    </row>
    <row r="27" spans="1:14" ht="13" x14ac:dyDescent="0.3">
      <c r="A27" s="321">
        <f>A26+1</f>
        <v>17</v>
      </c>
      <c r="C27" s="336" t="s">
        <v>131</v>
      </c>
      <c r="F27" s="319" t="s">
        <v>112</v>
      </c>
      <c r="H27" s="327" t="s">
        <v>811</v>
      </c>
      <c r="J27" s="328">
        <v>0</v>
      </c>
      <c r="L27" s="326"/>
      <c r="N27" s="328"/>
    </row>
    <row r="28" spans="1:14" ht="13" x14ac:dyDescent="0.3">
      <c r="A28" s="321"/>
      <c r="C28" s="336"/>
      <c r="L28" s="326"/>
      <c r="N28" s="328"/>
    </row>
    <row r="29" spans="1:14" ht="13" x14ac:dyDescent="0.3">
      <c r="A29" s="321">
        <f>A27+1</f>
        <v>18</v>
      </c>
      <c r="C29" s="319" t="s">
        <v>132</v>
      </c>
      <c r="H29" s="319" t="str">
        <f>"L"&amp;A6&amp;"+L"&amp;A7&amp;"+L"&amp;A8&amp;"+L"&amp;A9&amp;"+L"&amp;A15&amp;"+L"&amp;A21&amp;"+"</f>
        <v>L1+L2+L3+L4+L8+L12+</v>
      </c>
      <c r="J29" s="333">
        <f>J6+ J7+J8+J9+J15+J21+J23+J24+J25+J26+J27</f>
        <v>6086362135.4579544</v>
      </c>
      <c r="L29" s="326"/>
      <c r="N29" s="328"/>
    </row>
    <row r="30" spans="1:14" ht="13" x14ac:dyDescent="0.3">
      <c r="A30" s="321"/>
      <c r="H30" s="319" t="str">
        <f>"L"&amp;A23&amp;"+L"&amp;A24&amp;"+L"&amp;A25&amp;"+L"&amp;A26&amp;"+L"&amp;A27&amp;""</f>
        <v>L13+L14+L15+L16+L17</v>
      </c>
      <c r="J30" s="328"/>
      <c r="L30" s="326"/>
      <c r="N30" s="328"/>
    </row>
    <row r="31" spans="1:14" ht="13" x14ac:dyDescent="0.3">
      <c r="A31" s="321"/>
      <c r="B31" s="318" t="s">
        <v>133</v>
      </c>
      <c r="J31" s="328"/>
      <c r="L31" s="326"/>
      <c r="N31" s="328"/>
    </row>
    <row r="32" spans="1:14" ht="13" x14ac:dyDescent="0.3">
      <c r="A32" s="323" t="s">
        <v>104</v>
      </c>
      <c r="C32" s="318"/>
      <c r="J32" s="328"/>
      <c r="L32" s="326"/>
      <c r="N32" s="328"/>
    </row>
    <row r="33" spans="1:14" ht="13" x14ac:dyDescent="0.3">
      <c r="A33" s="321">
        <f>A29+1</f>
        <v>19</v>
      </c>
      <c r="B33" s="329"/>
      <c r="C33" s="329" t="s">
        <v>134</v>
      </c>
      <c r="D33" s="329"/>
      <c r="E33" s="329"/>
      <c r="F33" s="329"/>
      <c r="G33" s="329" t="s">
        <v>135</v>
      </c>
      <c r="H33" s="329" t="str">
        <f>"Instruction 1, Line "&amp;B98&amp;""</f>
        <v>Instruction 1, Line j</v>
      </c>
      <c r="I33" s="329"/>
      <c r="J33" s="337">
        <f>E98</f>
        <v>7.5731353457413608E-2</v>
      </c>
      <c r="L33" s="326"/>
      <c r="M33" s="338"/>
      <c r="N33" s="328"/>
    </row>
    <row r="34" spans="1:14" ht="13" x14ac:dyDescent="0.3">
      <c r="A34" s="321">
        <f>A33+1</f>
        <v>20</v>
      </c>
      <c r="C34" s="329" t="s">
        <v>136</v>
      </c>
      <c r="D34" s="329"/>
      <c r="E34" s="329"/>
      <c r="F34" s="329"/>
      <c r="G34" s="329"/>
      <c r="H34" s="319" t="str">
        <f>"Line "&amp;A29&amp;" * Line "&amp;A33&amp;""</f>
        <v>Line 18 * Line 19</v>
      </c>
      <c r="J34" s="339">
        <f>J29*J33</f>
        <v>460928442.15018505</v>
      </c>
      <c r="L34" s="326"/>
      <c r="N34" s="328"/>
    </row>
    <row r="35" spans="1:14" ht="13" x14ac:dyDescent="0.3">
      <c r="A35" s="321"/>
      <c r="B35" s="324"/>
      <c r="L35" s="326"/>
      <c r="N35" s="328"/>
    </row>
    <row r="36" spans="1:14" ht="13" x14ac:dyDescent="0.3">
      <c r="A36" s="321"/>
      <c r="B36" s="318" t="s">
        <v>137</v>
      </c>
      <c r="L36" s="326"/>
      <c r="N36" s="328"/>
    </row>
    <row r="37" spans="1:14" ht="13" x14ac:dyDescent="0.3">
      <c r="A37" s="321"/>
      <c r="B37" s="324"/>
      <c r="L37" s="326"/>
      <c r="N37" s="328"/>
    </row>
    <row r="38" spans="1:14" ht="13" x14ac:dyDescent="0.3">
      <c r="A38" s="321">
        <f>A34+1</f>
        <v>21</v>
      </c>
      <c r="C38" s="329" t="s">
        <v>138</v>
      </c>
      <c r="J38" s="333">
        <f>(((J29*J42) + J45) *(J43/(1-J43)))+(J44/(1-J43))</f>
        <v>91506407.299972415</v>
      </c>
      <c r="L38" s="326"/>
      <c r="N38" s="328"/>
    </row>
    <row r="39" spans="1:14" ht="13" x14ac:dyDescent="0.3">
      <c r="A39" s="321"/>
      <c r="J39" s="329"/>
      <c r="L39" s="326"/>
      <c r="N39" s="328"/>
    </row>
    <row r="40" spans="1:14" ht="13" x14ac:dyDescent="0.3">
      <c r="A40" s="321"/>
      <c r="D40" s="319" t="s">
        <v>139</v>
      </c>
      <c r="L40" s="326"/>
      <c r="N40" s="328"/>
    </row>
    <row r="41" spans="1:14" ht="13" x14ac:dyDescent="0.3">
      <c r="A41" s="321">
        <f>A38+1</f>
        <v>22</v>
      </c>
      <c r="D41" s="324" t="s">
        <v>140</v>
      </c>
      <c r="H41" s="319" t="str">
        <f>"Line "&amp;A29&amp;""</f>
        <v>Line 18</v>
      </c>
      <c r="J41" s="328">
        <f>J29</f>
        <v>6086362135.4579544</v>
      </c>
      <c r="L41" s="326"/>
      <c r="N41" s="328"/>
    </row>
    <row r="42" spans="1:14" ht="13" x14ac:dyDescent="0.3">
      <c r="A42" s="321">
        <f>A41+1</f>
        <v>23</v>
      </c>
      <c r="D42" s="331" t="s">
        <v>141</v>
      </c>
      <c r="G42" s="329" t="s">
        <v>142</v>
      </c>
      <c r="H42" s="329" t="str">
        <f>"Instruction 1, Line "&amp;B103&amp;""</f>
        <v>Instruction 1, Line k</v>
      </c>
      <c r="J42" s="337">
        <f>E103</f>
        <v>5.3927439169434502E-2</v>
      </c>
      <c r="L42" s="326"/>
      <c r="M42" s="338"/>
      <c r="N42" s="328"/>
    </row>
    <row r="43" spans="1:14" ht="13" x14ac:dyDescent="0.3">
      <c r="A43" s="321">
        <f>A42+1</f>
        <v>24</v>
      </c>
      <c r="D43" s="324" t="s">
        <v>143</v>
      </c>
      <c r="H43" s="319" t="s">
        <v>781</v>
      </c>
      <c r="J43" s="338">
        <v>0.27983599999999997</v>
      </c>
      <c r="L43" s="326"/>
      <c r="M43" s="338"/>
      <c r="N43" s="328"/>
    </row>
    <row r="44" spans="1:14" ht="13" x14ac:dyDescent="0.3">
      <c r="A44" s="321">
        <f>A43+1</f>
        <v>25</v>
      </c>
      <c r="D44" s="324" t="s">
        <v>144</v>
      </c>
      <c r="H44" s="319" t="s">
        <v>782</v>
      </c>
      <c r="J44" s="328">
        <v>-27044842</v>
      </c>
      <c r="L44" s="326"/>
      <c r="N44" s="328"/>
    </row>
    <row r="45" spans="1:14" ht="13" x14ac:dyDescent="0.3">
      <c r="A45" s="321">
        <f>A44+1</f>
        <v>26</v>
      </c>
      <c r="D45" s="324" t="s">
        <v>145</v>
      </c>
      <c r="H45" s="319" t="s">
        <v>783</v>
      </c>
      <c r="J45" s="340">
        <v>3917123</v>
      </c>
      <c r="L45" s="326"/>
      <c r="N45" s="328"/>
    </row>
    <row r="46" spans="1:14" ht="13" x14ac:dyDescent="0.3">
      <c r="A46" s="321"/>
      <c r="B46" s="324"/>
      <c r="L46" s="326"/>
      <c r="N46" s="328"/>
    </row>
    <row r="47" spans="1:14" ht="13" x14ac:dyDescent="0.3">
      <c r="A47" s="321"/>
      <c r="B47" s="318" t="s">
        <v>146</v>
      </c>
      <c r="L47" s="326"/>
      <c r="N47" s="328"/>
    </row>
    <row r="48" spans="1:14" ht="13" x14ac:dyDescent="0.3">
      <c r="A48" s="321">
        <f>A45+1</f>
        <v>27</v>
      </c>
      <c r="B48" s="324"/>
      <c r="C48" s="319" t="s">
        <v>147</v>
      </c>
      <c r="H48" s="319" t="s">
        <v>784</v>
      </c>
      <c r="J48" s="328">
        <v>112781173.69267865</v>
      </c>
      <c r="L48" s="326"/>
      <c r="N48" s="328"/>
    </row>
    <row r="49" spans="1:14" ht="13" x14ac:dyDescent="0.3">
      <c r="A49" s="321">
        <f t="shared" ref="A49:A59" si="0">A48+1</f>
        <v>28</v>
      </c>
      <c r="B49" s="324"/>
      <c r="C49" s="329" t="s">
        <v>148</v>
      </c>
      <c r="H49" s="319" t="s">
        <v>785</v>
      </c>
      <c r="J49" s="333">
        <v>81970951.47498028</v>
      </c>
      <c r="L49" s="326"/>
      <c r="N49" s="328"/>
    </row>
    <row r="50" spans="1:14" ht="13" x14ac:dyDescent="0.3">
      <c r="A50" s="321">
        <f>A49+1</f>
        <v>29</v>
      </c>
      <c r="B50" s="324"/>
      <c r="C50" s="319" t="s">
        <v>149</v>
      </c>
      <c r="H50" s="319" t="s">
        <v>786</v>
      </c>
      <c r="J50" s="328">
        <v>4075483.5901751588</v>
      </c>
      <c r="L50" s="326"/>
      <c r="N50" s="328"/>
    </row>
    <row r="51" spans="1:14" ht="13" x14ac:dyDescent="0.3">
      <c r="A51" s="321">
        <f t="shared" si="0"/>
        <v>30</v>
      </c>
      <c r="B51" s="324"/>
      <c r="C51" s="329" t="s">
        <v>150</v>
      </c>
      <c r="H51" s="319" t="s">
        <v>787</v>
      </c>
      <c r="J51" s="328">
        <v>255157633.3971031</v>
      </c>
      <c r="L51" s="326"/>
      <c r="N51" s="328"/>
    </row>
    <row r="52" spans="1:14" ht="13" x14ac:dyDescent="0.3">
      <c r="A52" s="321">
        <f t="shared" si="0"/>
        <v>31</v>
      </c>
      <c r="B52" s="324"/>
      <c r="C52" s="329" t="s">
        <v>151</v>
      </c>
      <c r="H52" s="319" t="s">
        <v>788</v>
      </c>
      <c r="J52" s="328">
        <v>0</v>
      </c>
      <c r="L52" s="326"/>
      <c r="N52" s="328"/>
    </row>
    <row r="53" spans="1:14" ht="13" x14ac:dyDescent="0.3">
      <c r="A53" s="321">
        <f t="shared" si="0"/>
        <v>32</v>
      </c>
      <c r="B53" s="324"/>
      <c r="C53" s="329" t="s">
        <v>152</v>
      </c>
      <c r="H53" s="319" t="s">
        <v>789</v>
      </c>
      <c r="J53" s="328">
        <v>66058181.16746673</v>
      </c>
      <c r="L53" s="326"/>
      <c r="N53" s="328"/>
    </row>
    <row r="54" spans="1:14" ht="13" x14ac:dyDescent="0.3">
      <c r="A54" s="321">
        <f t="shared" si="0"/>
        <v>33</v>
      </c>
      <c r="B54" s="324"/>
      <c r="C54" s="319" t="s">
        <v>153</v>
      </c>
      <c r="G54" s="329"/>
      <c r="H54" s="319" t="s">
        <v>790</v>
      </c>
      <c r="J54" s="328">
        <v>-54094032.244774804</v>
      </c>
      <c r="L54" s="326"/>
      <c r="N54" s="328"/>
    </row>
    <row r="55" spans="1:14" ht="13" x14ac:dyDescent="0.3">
      <c r="A55" s="321">
        <f t="shared" si="0"/>
        <v>34</v>
      </c>
      <c r="B55" s="324"/>
      <c r="C55" s="319" t="s">
        <v>154</v>
      </c>
      <c r="H55" s="319" t="str">
        <f>"Line "&amp;A34&amp;""</f>
        <v>Line 20</v>
      </c>
      <c r="J55" s="333">
        <f>J34</f>
        <v>460928442.15018505</v>
      </c>
      <c r="L55" s="326"/>
      <c r="N55" s="328"/>
    </row>
    <row r="56" spans="1:14" ht="13" x14ac:dyDescent="0.3">
      <c r="A56" s="321">
        <f t="shared" si="0"/>
        <v>35</v>
      </c>
      <c r="B56" s="324"/>
      <c r="C56" s="319" t="s">
        <v>155</v>
      </c>
      <c r="H56" s="319" t="str">
        <f>"Line "&amp;A38&amp;""</f>
        <v>Line 21</v>
      </c>
      <c r="J56" s="339">
        <f>J38</f>
        <v>91506407.299972415</v>
      </c>
      <c r="L56" s="326"/>
      <c r="N56" s="328"/>
    </row>
    <row r="57" spans="1:14" ht="13" x14ac:dyDescent="0.3">
      <c r="A57" s="321">
        <f t="shared" si="0"/>
        <v>36</v>
      </c>
      <c r="B57" s="324"/>
      <c r="C57" s="329" t="s">
        <v>156</v>
      </c>
      <c r="H57" s="319" t="s">
        <v>791</v>
      </c>
      <c r="J57" s="340">
        <v>0</v>
      </c>
      <c r="L57" s="326"/>
      <c r="N57" s="328"/>
    </row>
    <row r="58" spans="1:14" ht="13" x14ac:dyDescent="0.3">
      <c r="A58" s="321">
        <f t="shared" si="0"/>
        <v>37</v>
      </c>
      <c r="B58" s="324"/>
      <c r="C58" s="48" t="s">
        <v>157</v>
      </c>
      <c r="D58" s="48"/>
      <c r="H58" s="319" t="s">
        <v>792</v>
      </c>
      <c r="J58" s="335">
        <v>0</v>
      </c>
      <c r="L58" s="326"/>
      <c r="N58" s="328"/>
    </row>
    <row r="59" spans="1:14" ht="13" x14ac:dyDescent="0.3">
      <c r="A59" s="321">
        <f t="shared" si="0"/>
        <v>38</v>
      </c>
      <c r="B59" s="324"/>
      <c r="C59" s="329" t="s">
        <v>158</v>
      </c>
      <c r="H59" s="319" t="str">
        <f>"Sum Line "&amp;A48&amp;" to Line "&amp;A58&amp;""</f>
        <v>Sum Line 27 to Line 37</v>
      </c>
      <c r="J59" s="333">
        <f>SUM(J48:J58)</f>
        <v>1018384240.5277866</v>
      </c>
      <c r="L59" s="326"/>
      <c r="N59" s="328"/>
    </row>
    <row r="60" spans="1:14" ht="13" x14ac:dyDescent="0.3">
      <c r="A60" s="321"/>
      <c r="B60" s="324"/>
      <c r="J60" s="328"/>
      <c r="L60" s="326"/>
      <c r="N60" s="328"/>
    </row>
    <row r="61" spans="1:14" ht="12.75" customHeight="1" x14ac:dyDescent="0.3">
      <c r="A61" s="321">
        <f>A59+1</f>
        <v>39</v>
      </c>
      <c r="B61" s="324"/>
      <c r="C61" s="329" t="s">
        <v>159</v>
      </c>
      <c r="H61" s="319" t="s">
        <v>814</v>
      </c>
      <c r="J61" s="333">
        <v>25263750.677767433</v>
      </c>
      <c r="L61" s="326"/>
      <c r="N61" s="328"/>
    </row>
    <row r="62" spans="1:14" ht="12.75" customHeight="1" x14ac:dyDescent="0.3">
      <c r="A62" s="321" t="s">
        <v>160</v>
      </c>
      <c r="B62" s="329"/>
      <c r="C62" s="329" t="s">
        <v>161</v>
      </c>
      <c r="D62" s="329"/>
      <c r="E62" s="329"/>
      <c r="F62" s="329"/>
      <c r="G62" s="329"/>
      <c r="H62" s="329" t="s">
        <v>162</v>
      </c>
      <c r="I62" s="329"/>
      <c r="J62" s="339">
        <f>-J61</f>
        <v>-25263750.677767433</v>
      </c>
      <c r="L62" s="326"/>
      <c r="N62" s="328"/>
    </row>
    <row r="63" spans="1:14" ht="13" x14ac:dyDescent="0.3">
      <c r="A63" s="321"/>
      <c r="B63" s="324"/>
      <c r="C63" s="329"/>
      <c r="J63" s="328"/>
      <c r="L63" s="326"/>
      <c r="N63" s="328"/>
    </row>
    <row r="64" spans="1:14" ht="13" x14ac:dyDescent="0.3">
      <c r="A64" s="321">
        <f>A61+1</f>
        <v>40</v>
      </c>
      <c r="B64" s="324"/>
      <c r="C64" s="329" t="s">
        <v>163</v>
      </c>
      <c r="H64" s="329" t="s">
        <v>164</v>
      </c>
      <c r="J64" s="333">
        <f>J59+J61+J62</f>
        <v>1018384240.5277866</v>
      </c>
      <c r="L64" s="326"/>
      <c r="N64" s="328"/>
    </row>
    <row r="65" spans="1:18" ht="13" x14ac:dyDescent="0.3">
      <c r="A65" s="321"/>
      <c r="B65" s="324"/>
      <c r="C65" s="329"/>
      <c r="J65" s="328"/>
    </row>
    <row r="66" spans="1:18" ht="13" x14ac:dyDescent="0.3">
      <c r="A66" s="321"/>
      <c r="B66" s="320" t="s">
        <v>165</v>
      </c>
      <c r="C66" s="329"/>
      <c r="J66" s="328"/>
      <c r="N66" s="321"/>
    </row>
    <row r="67" spans="1:18" ht="13.5" thickBot="1" x14ac:dyDescent="0.35">
      <c r="A67" s="323" t="s">
        <v>104</v>
      </c>
      <c r="B67" s="336"/>
      <c r="G67" s="325" t="s">
        <v>166</v>
      </c>
      <c r="N67" s="326"/>
    </row>
    <row r="68" spans="1:18" ht="13" x14ac:dyDescent="0.3">
      <c r="A68" s="321">
        <f>A64+1</f>
        <v>41</v>
      </c>
      <c r="B68" s="336"/>
      <c r="D68" s="341" t="s">
        <v>167</v>
      </c>
      <c r="E68" s="328">
        <f>J64</f>
        <v>1018384240.5277866</v>
      </c>
      <c r="G68" s="319" t="str">
        <f>"Line "&amp;A64&amp;""</f>
        <v>Line 40</v>
      </c>
      <c r="J68" s="342" t="s">
        <v>168</v>
      </c>
      <c r="L68" s="328"/>
      <c r="N68" s="328"/>
    </row>
    <row r="69" spans="1:18" ht="13" x14ac:dyDescent="0.3">
      <c r="A69" s="321">
        <f>A68+1</f>
        <v>42</v>
      </c>
      <c r="B69" s="336"/>
      <c r="D69" s="341" t="s">
        <v>169</v>
      </c>
      <c r="E69" s="343">
        <v>9.2480778683301894E-3</v>
      </c>
      <c r="G69" s="319" t="s">
        <v>816</v>
      </c>
      <c r="J69" s="344" t="s">
        <v>170</v>
      </c>
      <c r="L69" s="338"/>
      <c r="N69" s="338"/>
    </row>
    <row r="70" spans="1:18" ht="13" x14ac:dyDescent="0.3">
      <c r="A70" s="321">
        <f>A69+1</f>
        <v>43</v>
      </c>
      <c r="B70" s="336"/>
      <c r="D70" s="345" t="s">
        <v>171</v>
      </c>
      <c r="E70" s="328">
        <v>9418096.7562812716</v>
      </c>
      <c r="G70" s="319" t="str">
        <f>"Line "&amp;A68&amp;" * Line "&amp;A69&amp;""</f>
        <v>Line 41 * Line 42</v>
      </c>
      <c r="J70" s="346">
        <f>E73</f>
        <v>1029975576.9781398</v>
      </c>
      <c r="L70" s="328"/>
      <c r="N70" s="328"/>
    </row>
    <row r="71" spans="1:18" ht="25.5" x14ac:dyDescent="0.3">
      <c r="A71" s="321">
        <f>A70+1</f>
        <v>44</v>
      </c>
      <c r="B71" s="336"/>
      <c r="D71" s="341" t="s">
        <v>172</v>
      </c>
      <c r="E71" s="343">
        <v>2.134007585335019E-3</v>
      </c>
      <c r="G71" s="319" t="s">
        <v>816</v>
      </c>
      <c r="J71" s="347">
        <v>1031044751.7302366</v>
      </c>
      <c r="L71" s="348" t="s">
        <v>918</v>
      </c>
      <c r="N71" s="338"/>
    </row>
    <row r="72" spans="1:18" ht="13.5" thickBot="1" x14ac:dyDescent="0.35">
      <c r="A72" s="321">
        <f>A71+1</f>
        <v>45</v>
      </c>
      <c r="B72" s="336"/>
      <c r="D72" s="341" t="s">
        <v>173</v>
      </c>
      <c r="E72" s="328">
        <v>2173239.6940719392</v>
      </c>
      <c r="G72" s="319" t="str">
        <f>"Line "&amp;A70&amp;" * Line "&amp;A71&amp;""</f>
        <v>Line 43 * Line 44</v>
      </c>
      <c r="J72" s="349">
        <f>J70-J71</f>
        <v>-1069174.7520968914</v>
      </c>
      <c r="L72" s="328"/>
      <c r="N72" s="328"/>
    </row>
    <row r="73" spans="1:18" ht="13" x14ac:dyDescent="0.3">
      <c r="A73" s="321">
        <f>A72+1</f>
        <v>46</v>
      </c>
      <c r="B73" s="336"/>
      <c r="D73" s="341" t="s">
        <v>174</v>
      </c>
      <c r="E73" s="328">
        <f>E68+E70+E72</f>
        <v>1029975576.9781398</v>
      </c>
      <c r="G73" s="319" t="str">
        <f>"L "&amp;A68&amp;" + L "&amp;A70&amp;" + L "&amp;A72&amp;""</f>
        <v>L 41 + L 43 + L 45</v>
      </c>
      <c r="L73" s="328"/>
      <c r="N73" s="328"/>
    </row>
    <row r="74" spans="1:18" ht="13" x14ac:dyDescent="0.3">
      <c r="B74" s="320" t="s">
        <v>175</v>
      </c>
      <c r="D74" s="345"/>
      <c r="E74" s="328"/>
      <c r="H74" s="50"/>
    </row>
    <row r="75" spans="1:18" ht="13" x14ac:dyDescent="0.3">
      <c r="A75" s="321"/>
      <c r="B75" s="329" t="s">
        <v>176</v>
      </c>
      <c r="C75" s="320"/>
      <c r="D75" s="345"/>
      <c r="E75" s="328"/>
      <c r="L75" s="411"/>
      <c r="M75" s="412"/>
      <c r="N75" s="413"/>
      <c r="O75" s="413"/>
      <c r="P75" s="413"/>
      <c r="Q75" s="413"/>
      <c r="R75" s="413"/>
    </row>
    <row r="76" spans="1:18" ht="13" x14ac:dyDescent="0.3">
      <c r="A76" s="321"/>
      <c r="B76" s="329" t="s">
        <v>177</v>
      </c>
      <c r="C76" s="320"/>
      <c r="D76" s="345"/>
      <c r="E76" s="328"/>
      <c r="L76" s="411"/>
      <c r="M76" s="412"/>
      <c r="N76" s="413"/>
      <c r="O76" s="413"/>
      <c r="P76" s="413"/>
      <c r="Q76" s="413"/>
      <c r="R76" s="413"/>
    </row>
    <row r="77" spans="1:18" ht="13" x14ac:dyDescent="0.3">
      <c r="A77" s="321"/>
      <c r="B77" s="327" t="s">
        <v>178</v>
      </c>
      <c r="C77" s="329"/>
      <c r="D77" s="345"/>
      <c r="E77" s="328"/>
      <c r="L77" s="411"/>
      <c r="M77" s="412"/>
      <c r="N77" s="413"/>
      <c r="O77" s="413"/>
      <c r="P77" s="413"/>
      <c r="Q77" s="413"/>
      <c r="R77" s="413"/>
    </row>
    <row r="78" spans="1:18" ht="13" x14ac:dyDescent="0.3">
      <c r="A78" s="321"/>
      <c r="B78" s="327" t="s">
        <v>179</v>
      </c>
      <c r="D78" s="345"/>
      <c r="E78" s="328"/>
      <c r="L78" s="414"/>
      <c r="M78" s="415"/>
      <c r="N78" s="413"/>
      <c r="O78" s="413"/>
      <c r="P78" s="413"/>
      <c r="Q78" s="413"/>
      <c r="R78" s="413"/>
    </row>
    <row r="79" spans="1:18" ht="13" x14ac:dyDescent="0.3">
      <c r="A79" s="321"/>
      <c r="L79" s="411"/>
      <c r="M79" s="413"/>
      <c r="N79" s="413"/>
      <c r="O79" s="413"/>
      <c r="P79" s="413"/>
      <c r="Q79" s="413"/>
      <c r="R79" s="413"/>
    </row>
    <row r="80" spans="1:18" ht="13" x14ac:dyDescent="0.3">
      <c r="A80" s="321"/>
      <c r="B80" s="329" t="s">
        <v>180</v>
      </c>
      <c r="L80" s="328"/>
    </row>
    <row r="81" spans="1:12" ht="13" x14ac:dyDescent="0.3">
      <c r="A81" s="321"/>
      <c r="B81" s="329"/>
      <c r="C81" s="329" t="s">
        <v>181</v>
      </c>
      <c r="L81" s="328"/>
    </row>
    <row r="82" spans="1:12" ht="13" x14ac:dyDescent="0.3">
      <c r="A82" s="321"/>
      <c r="B82" s="329"/>
      <c r="J82" s="321" t="s">
        <v>182</v>
      </c>
      <c r="L82" s="328"/>
    </row>
    <row r="83" spans="1:12" ht="13" x14ac:dyDescent="0.3">
      <c r="A83" s="321"/>
      <c r="E83" s="326" t="s">
        <v>183</v>
      </c>
      <c r="F83" s="325" t="s">
        <v>166</v>
      </c>
      <c r="G83" s="326" t="s">
        <v>184</v>
      </c>
      <c r="H83" s="326" t="s">
        <v>185</v>
      </c>
      <c r="J83" s="326" t="s">
        <v>186</v>
      </c>
      <c r="L83" s="328"/>
    </row>
    <row r="84" spans="1:12" ht="13" x14ac:dyDescent="0.3">
      <c r="B84" s="351" t="s">
        <v>187</v>
      </c>
      <c r="C84" s="329" t="s">
        <v>188</v>
      </c>
      <c r="E84" s="352">
        <v>0.10299999999999999</v>
      </c>
      <c r="F84" s="329" t="s">
        <v>189</v>
      </c>
      <c r="G84" s="353">
        <v>43781</v>
      </c>
      <c r="H84" s="353">
        <v>43830</v>
      </c>
      <c r="I84" s="329"/>
      <c r="J84" s="354">
        <v>50</v>
      </c>
      <c r="K84" s="329"/>
      <c r="L84" s="328"/>
    </row>
    <row r="85" spans="1:12" ht="13" x14ac:dyDescent="0.3">
      <c r="B85" s="351" t="s">
        <v>190</v>
      </c>
      <c r="C85" s="329" t="s">
        <v>191</v>
      </c>
      <c r="E85" s="352">
        <v>0.112</v>
      </c>
      <c r="F85" s="329" t="s">
        <v>192</v>
      </c>
      <c r="G85" s="353">
        <v>43466</v>
      </c>
      <c r="H85" s="353">
        <v>43780</v>
      </c>
      <c r="I85" s="329"/>
      <c r="J85" s="354">
        <v>315</v>
      </c>
      <c r="K85" s="329"/>
      <c r="L85" s="329"/>
    </row>
    <row r="86" spans="1:12" ht="13" x14ac:dyDescent="0.3">
      <c r="B86" s="351" t="s">
        <v>193</v>
      </c>
      <c r="C86" s="329"/>
      <c r="E86" s="355"/>
      <c r="F86" s="329"/>
      <c r="G86" s="356"/>
      <c r="H86" s="356"/>
      <c r="I86" s="341" t="s">
        <v>194</v>
      </c>
      <c r="J86" s="329">
        <f>SUM(J84:J85)</f>
        <v>365</v>
      </c>
      <c r="K86" s="329"/>
      <c r="L86" s="329"/>
    </row>
    <row r="87" spans="1:12" ht="13" x14ac:dyDescent="0.3">
      <c r="B87" s="351" t="s">
        <v>195</v>
      </c>
      <c r="C87" s="329" t="s">
        <v>196</v>
      </c>
      <c r="E87" s="357">
        <f>((E84*J84) + (E85* J85)) / J86</f>
        <v>0.11076712328767123</v>
      </c>
      <c r="F87" s="329" t="s">
        <v>197</v>
      </c>
      <c r="H87" s="329"/>
      <c r="I87" s="329"/>
      <c r="J87" s="329"/>
      <c r="K87" s="329"/>
      <c r="L87" s="329"/>
    </row>
    <row r="88" spans="1:12" ht="13" x14ac:dyDescent="0.3">
      <c r="A88" s="321"/>
      <c r="B88" s="329"/>
      <c r="H88" s="329"/>
      <c r="I88" s="329"/>
      <c r="J88" s="329"/>
      <c r="K88" s="329"/>
      <c r="L88" s="329"/>
    </row>
    <row r="89" spans="1:12" ht="13" x14ac:dyDescent="0.3">
      <c r="A89" s="321"/>
      <c r="B89" s="329" t="s">
        <v>198</v>
      </c>
      <c r="H89" s="329"/>
      <c r="I89" s="329"/>
      <c r="J89" s="329"/>
      <c r="K89" s="329"/>
      <c r="L89" s="329"/>
    </row>
    <row r="90" spans="1:12" ht="13" x14ac:dyDescent="0.3">
      <c r="A90" s="321"/>
      <c r="B90" s="329"/>
      <c r="E90" s="325" t="s">
        <v>166</v>
      </c>
      <c r="H90" s="329"/>
      <c r="I90" s="329"/>
      <c r="J90" s="329"/>
      <c r="K90" s="329"/>
      <c r="L90" s="329"/>
    </row>
    <row r="91" spans="1:12" ht="13" x14ac:dyDescent="0.3">
      <c r="B91" s="351" t="s">
        <v>199</v>
      </c>
      <c r="C91" s="329" t="s">
        <v>200</v>
      </c>
      <c r="E91" s="358" t="s">
        <v>201</v>
      </c>
      <c r="F91" s="359"/>
      <c r="G91" s="359"/>
      <c r="H91" s="354"/>
      <c r="I91" s="354"/>
      <c r="J91" s="354"/>
      <c r="K91" s="329"/>
      <c r="L91" s="329"/>
    </row>
    <row r="92" spans="1:12" ht="13" x14ac:dyDescent="0.3">
      <c r="B92" s="351" t="s">
        <v>202</v>
      </c>
      <c r="C92" s="329" t="s">
        <v>203</v>
      </c>
      <c r="E92" s="358" t="s">
        <v>204</v>
      </c>
      <c r="F92" s="359"/>
      <c r="G92" s="359"/>
      <c r="H92" s="354"/>
      <c r="I92" s="354"/>
      <c r="J92" s="354"/>
      <c r="K92" s="329"/>
      <c r="L92" s="329"/>
    </row>
    <row r="93" spans="1:12" x14ac:dyDescent="0.25">
      <c r="C93" s="329"/>
      <c r="E93" s="356"/>
      <c r="I93" s="329"/>
      <c r="J93" s="329"/>
      <c r="K93" s="329"/>
      <c r="L93" s="329"/>
    </row>
    <row r="94" spans="1:12" ht="13" x14ac:dyDescent="0.3">
      <c r="E94" s="326" t="s">
        <v>183</v>
      </c>
      <c r="F94" s="325" t="s">
        <v>166</v>
      </c>
      <c r="H94" s="329"/>
      <c r="I94" s="329"/>
      <c r="L94" s="329"/>
    </row>
    <row r="95" spans="1:12" ht="13" x14ac:dyDescent="0.3">
      <c r="B95" s="351" t="s">
        <v>205</v>
      </c>
      <c r="C95" s="329" t="s">
        <v>206</v>
      </c>
      <c r="D95" s="329"/>
      <c r="E95" s="338">
        <v>2.1803914287979103E-2</v>
      </c>
      <c r="F95" s="319" t="s">
        <v>793</v>
      </c>
      <c r="H95" s="329"/>
      <c r="I95" s="329"/>
    </row>
    <row r="96" spans="1:12" ht="13" x14ac:dyDescent="0.3">
      <c r="B96" s="351" t="s">
        <v>207</v>
      </c>
      <c r="C96" s="329" t="s">
        <v>208</v>
      </c>
      <c r="E96" s="338">
        <v>4.1703636316651844E-3</v>
      </c>
      <c r="F96" s="319" t="s">
        <v>794</v>
      </c>
      <c r="H96" s="329"/>
      <c r="I96" s="329"/>
    </row>
    <row r="97" spans="1:10" ht="13" x14ac:dyDescent="0.3">
      <c r="B97" s="351" t="s">
        <v>209</v>
      </c>
      <c r="C97" s="329" t="s">
        <v>210</v>
      </c>
      <c r="E97" s="350">
        <v>4.975707553776932E-2</v>
      </c>
      <c r="F97" s="319" t="s">
        <v>795</v>
      </c>
      <c r="G97" s="329"/>
      <c r="H97" s="329"/>
    </row>
    <row r="98" spans="1:10" ht="13" x14ac:dyDescent="0.3">
      <c r="B98" s="321" t="s">
        <v>211</v>
      </c>
      <c r="C98" s="331" t="s">
        <v>134</v>
      </c>
      <c r="E98" s="360">
        <f>SUM(E95:E97)</f>
        <v>7.5731353457413608E-2</v>
      </c>
      <c r="F98" s="328" t="str">
        <f>"Sum of Lines "&amp;B95&amp;" to "&amp;B97&amp;""</f>
        <v>Sum of Lines g to i</v>
      </c>
      <c r="G98" s="361"/>
      <c r="J98" s="362"/>
    </row>
    <row r="99" spans="1:10" ht="13" x14ac:dyDescent="0.3">
      <c r="A99" s="321"/>
      <c r="C99" s="45"/>
      <c r="D99" s="51"/>
      <c r="E99" s="328"/>
      <c r="F99" s="328"/>
      <c r="G99" s="361"/>
      <c r="H99" s="328"/>
      <c r="J99" s="362"/>
    </row>
    <row r="100" spans="1:10" ht="13" x14ac:dyDescent="0.3">
      <c r="A100" s="321"/>
      <c r="B100" s="329" t="s">
        <v>212</v>
      </c>
    </row>
    <row r="101" spans="1:10" ht="13" x14ac:dyDescent="0.3">
      <c r="A101" s="321"/>
    </row>
    <row r="102" spans="1:10" ht="13" x14ac:dyDescent="0.3">
      <c r="A102" s="321"/>
      <c r="E102" s="326" t="s">
        <v>183</v>
      </c>
      <c r="F102" s="325" t="s">
        <v>166</v>
      </c>
    </row>
    <row r="103" spans="1:10" ht="13" x14ac:dyDescent="0.3">
      <c r="B103" s="351" t="s">
        <v>213</v>
      </c>
      <c r="E103" s="338">
        <f>E96+E97</f>
        <v>5.3927439169434502E-2</v>
      </c>
      <c r="F103" s="328" t="str">
        <f>"Sum of Lines "&amp;B96&amp;" to "&amp;B97&amp;""</f>
        <v>Sum of Lines h to i</v>
      </c>
    </row>
    <row r="104" spans="1:10" ht="13" x14ac:dyDescent="0.3">
      <c r="A104" s="321"/>
      <c r="E104" s="338"/>
      <c r="F104" s="328"/>
    </row>
    <row r="105" spans="1:10" ht="13" x14ac:dyDescent="0.3">
      <c r="A105" s="321"/>
      <c r="B105" s="329" t="s">
        <v>87</v>
      </c>
      <c r="E105" s="361"/>
      <c r="F105" s="361"/>
      <c r="G105" s="361"/>
      <c r="H105" s="328"/>
    </row>
    <row r="106" spans="1:10" ht="13" x14ac:dyDescent="0.3">
      <c r="A106" s="321"/>
      <c r="B106" s="329" t="s">
        <v>214</v>
      </c>
    </row>
    <row r="107" spans="1:10" ht="13" x14ac:dyDescent="0.3">
      <c r="A107" s="321"/>
      <c r="B107" s="329" t="s">
        <v>215</v>
      </c>
      <c r="D107" s="321"/>
      <c r="E107" s="321"/>
      <c r="F107" s="321"/>
      <c r="G107" s="321"/>
      <c r="H107" s="321"/>
    </row>
    <row r="108" spans="1:10" ht="13" x14ac:dyDescent="0.3">
      <c r="A108" s="321"/>
      <c r="B108" s="327"/>
      <c r="D108" s="321"/>
      <c r="E108" s="321"/>
      <c r="F108" s="321"/>
      <c r="G108" s="321"/>
      <c r="H108" s="321"/>
    </row>
    <row r="109" spans="1:10" ht="13" x14ac:dyDescent="0.3">
      <c r="A109" s="321"/>
      <c r="C109" s="44"/>
      <c r="D109" s="44"/>
      <c r="E109" s="326"/>
      <c r="F109" s="326"/>
      <c r="G109" s="326"/>
      <c r="H109" s="326"/>
    </row>
    <row r="110" spans="1:10" ht="13" x14ac:dyDescent="0.3">
      <c r="A110" s="321"/>
    </row>
    <row r="111" spans="1:10" ht="13" x14ac:dyDescent="0.3">
      <c r="A111" s="321"/>
    </row>
    <row r="112" spans="1:10" ht="13" x14ac:dyDescent="0.3">
      <c r="A112" s="321"/>
    </row>
    <row r="113" spans="1:10" ht="13" x14ac:dyDescent="0.3">
      <c r="A113" s="321"/>
      <c r="C113" s="45"/>
      <c r="E113" s="328"/>
      <c r="F113" s="328"/>
      <c r="H113" s="328"/>
      <c r="J113" s="362"/>
    </row>
    <row r="114" spans="1:10" ht="13" x14ac:dyDescent="0.3">
      <c r="A114" s="321"/>
      <c r="C114" s="45"/>
      <c r="E114" s="328"/>
      <c r="F114" s="328"/>
      <c r="H114" s="328"/>
      <c r="J114" s="362"/>
    </row>
    <row r="115" spans="1:10" ht="13" x14ac:dyDescent="0.3">
      <c r="A115" s="323"/>
      <c r="C115" s="45"/>
      <c r="E115" s="328"/>
      <c r="F115" s="328"/>
      <c r="H115" s="328"/>
      <c r="J115" s="362"/>
    </row>
    <row r="116" spans="1:10" ht="13" x14ac:dyDescent="0.3">
      <c r="A116" s="321"/>
      <c r="D116" s="49"/>
      <c r="E116" s="328"/>
      <c r="F116" s="328"/>
      <c r="G116" s="329"/>
      <c r="H116" s="328"/>
      <c r="J116" s="362"/>
    </row>
    <row r="117" spans="1:10" ht="13" x14ac:dyDescent="0.3">
      <c r="A117" s="321"/>
      <c r="C117" s="45"/>
      <c r="D117" s="341"/>
      <c r="E117" s="335"/>
      <c r="F117" s="328"/>
      <c r="G117" s="329"/>
      <c r="H117" s="328"/>
      <c r="J117" s="362"/>
    </row>
    <row r="118" spans="1:10" ht="13" x14ac:dyDescent="0.3">
      <c r="A118" s="321"/>
      <c r="C118" s="45"/>
      <c r="D118" s="341"/>
      <c r="E118" s="328"/>
      <c r="F118" s="328"/>
      <c r="G118" s="329"/>
      <c r="H118" s="328"/>
      <c r="J118" s="362"/>
    </row>
    <row r="119" spans="1:10" ht="13" x14ac:dyDescent="0.3">
      <c r="A119" s="321"/>
    </row>
    <row r="120" spans="1:10" ht="13" x14ac:dyDescent="0.3">
      <c r="A120" s="321"/>
      <c r="B120" s="318"/>
    </row>
    <row r="121" spans="1:10" ht="13" x14ac:dyDescent="0.3">
      <c r="A121" s="321"/>
    </row>
    <row r="122" spans="1:10" ht="13" x14ac:dyDescent="0.3">
      <c r="A122" s="321"/>
    </row>
    <row r="123" spans="1:10" ht="13" x14ac:dyDescent="0.3">
      <c r="A123" s="321"/>
      <c r="F123" s="321"/>
    </row>
    <row r="124" spans="1:10" ht="13" x14ac:dyDescent="0.3">
      <c r="A124" s="321"/>
      <c r="F124" s="321"/>
    </row>
    <row r="125" spans="1:10" ht="13" x14ac:dyDescent="0.3">
      <c r="A125" s="321"/>
      <c r="D125" s="321"/>
      <c r="E125" s="321"/>
      <c r="F125" s="321"/>
      <c r="H125" s="321"/>
    </row>
    <row r="126" spans="1:10" ht="13" x14ac:dyDescent="0.3">
      <c r="A126" s="321"/>
      <c r="D126" s="321"/>
      <c r="E126" s="321"/>
      <c r="F126" s="321"/>
      <c r="G126" s="321"/>
      <c r="H126" s="351"/>
    </row>
    <row r="127" spans="1:10" ht="13" x14ac:dyDescent="0.3">
      <c r="A127" s="323"/>
      <c r="C127" s="44"/>
      <c r="D127" s="44"/>
      <c r="E127" s="326"/>
      <c r="F127" s="363"/>
      <c r="G127" s="326"/>
      <c r="H127" s="351"/>
    </row>
    <row r="128" spans="1:10" ht="13" x14ac:dyDescent="0.3">
      <c r="A128" s="321"/>
      <c r="C128" s="45"/>
      <c r="D128" s="51"/>
      <c r="E128" s="328"/>
      <c r="F128" s="328"/>
      <c r="G128" s="357"/>
      <c r="H128" s="328"/>
    </row>
    <row r="129" spans="1:8" ht="13" x14ac:dyDescent="0.3">
      <c r="A129" s="321"/>
      <c r="C129" s="45"/>
      <c r="D129" s="51"/>
      <c r="E129" s="328"/>
      <c r="F129" s="328"/>
      <c r="G129" s="357"/>
      <c r="H129" s="328"/>
    </row>
    <row r="130" spans="1:8" ht="13" x14ac:dyDescent="0.3">
      <c r="A130" s="321"/>
      <c r="C130" s="45"/>
      <c r="D130" s="51"/>
      <c r="E130" s="328"/>
      <c r="F130" s="328"/>
      <c r="G130" s="357"/>
      <c r="H130" s="328"/>
    </row>
    <row r="131" spans="1:8" ht="13" x14ac:dyDescent="0.3">
      <c r="A131" s="321"/>
      <c r="C131" s="45"/>
      <c r="D131" s="51"/>
      <c r="E131" s="328"/>
      <c r="F131" s="328"/>
      <c r="G131" s="357"/>
      <c r="H131" s="328"/>
    </row>
    <row r="132" spans="1:8" ht="13" x14ac:dyDescent="0.3">
      <c r="A132" s="321"/>
      <c r="C132" s="45"/>
      <c r="D132" s="51"/>
      <c r="E132" s="328"/>
      <c r="F132" s="328"/>
      <c r="G132" s="357"/>
      <c r="H132" s="328"/>
    </row>
    <row r="133" spans="1:8" ht="13" x14ac:dyDescent="0.3">
      <c r="A133" s="321"/>
      <c r="C133" s="45"/>
      <c r="D133" s="51"/>
      <c r="E133" s="328"/>
      <c r="F133" s="328"/>
      <c r="G133" s="357"/>
      <c r="H133" s="328"/>
    </row>
    <row r="134" spans="1:8" ht="13" x14ac:dyDescent="0.3">
      <c r="A134" s="321"/>
      <c r="C134" s="45"/>
      <c r="D134" s="51"/>
      <c r="E134" s="328"/>
      <c r="F134" s="328"/>
      <c r="G134" s="357"/>
      <c r="H134" s="328"/>
    </row>
    <row r="135" spans="1:8" ht="13" x14ac:dyDescent="0.3">
      <c r="A135" s="321"/>
      <c r="C135" s="45"/>
      <c r="D135" s="51"/>
      <c r="E135" s="328"/>
      <c r="F135" s="328"/>
      <c r="G135" s="357"/>
      <c r="H135" s="328"/>
    </row>
    <row r="136" spans="1:8" ht="13" x14ac:dyDescent="0.3">
      <c r="A136" s="321"/>
      <c r="C136" s="45"/>
      <c r="D136" s="51"/>
      <c r="E136" s="328"/>
      <c r="F136" s="328"/>
      <c r="G136" s="357"/>
      <c r="H136" s="328"/>
    </row>
    <row r="137" spans="1:8" ht="13" x14ac:dyDescent="0.3">
      <c r="A137" s="321"/>
      <c r="C137" s="45"/>
      <c r="D137" s="51"/>
      <c r="E137" s="328"/>
      <c r="F137" s="328"/>
      <c r="G137" s="357"/>
      <c r="H137" s="328"/>
    </row>
    <row r="138" spans="1:8" ht="13" x14ac:dyDescent="0.3">
      <c r="A138" s="321"/>
      <c r="C138" s="45"/>
      <c r="D138" s="51"/>
      <c r="E138" s="328"/>
      <c r="F138" s="328"/>
      <c r="G138" s="357"/>
      <c r="H138" s="328"/>
    </row>
    <row r="139" spans="1:8" ht="13" x14ac:dyDescent="0.3">
      <c r="A139" s="321"/>
      <c r="C139" s="45"/>
      <c r="D139" s="51"/>
      <c r="E139" s="328"/>
      <c r="F139" s="328"/>
      <c r="G139" s="357"/>
      <c r="H139" s="335"/>
    </row>
    <row r="140" spans="1:8" ht="13" x14ac:dyDescent="0.3">
      <c r="A140" s="321"/>
      <c r="H140" s="328"/>
    </row>
    <row r="141" spans="1:8" ht="13" x14ac:dyDescent="0.3">
      <c r="A141" s="321"/>
      <c r="C141" s="45"/>
      <c r="D141" s="51"/>
      <c r="F141" s="364"/>
      <c r="G141" s="357"/>
      <c r="H141" s="364"/>
    </row>
    <row r="142" spans="1:8" ht="13" x14ac:dyDescent="0.3">
      <c r="A142" s="321"/>
      <c r="B142" s="318"/>
      <c r="C142" s="45"/>
      <c r="D142" s="51"/>
      <c r="F142" s="364"/>
      <c r="G142" s="357"/>
      <c r="H142" s="364"/>
    </row>
    <row r="143" spans="1:8" ht="13" x14ac:dyDescent="0.3">
      <c r="A143" s="323"/>
      <c r="B143" s="318"/>
      <c r="C143" s="45"/>
      <c r="D143" s="51"/>
      <c r="F143" s="364"/>
      <c r="G143" s="357"/>
      <c r="H143" s="364"/>
    </row>
    <row r="144" spans="1:8" ht="13" x14ac:dyDescent="0.3">
      <c r="A144" s="321"/>
      <c r="C144" s="45"/>
      <c r="D144" s="52"/>
      <c r="E144" s="328"/>
      <c r="F144" s="365"/>
      <c r="G144" s="357"/>
      <c r="H144" s="364"/>
    </row>
    <row r="145" spans="1:8" ht="13" x14ac:dyDescent="0.3">
      <c r="A145" s="321"/>
      <c r="C145" s="45"/>
      <c r="D145" s="345"/>
      <c r="E145" s="328"/>
      <c r="F145" s="365"/>
      <c r="G145" s="357"/>
      <c r="H145" s="364"/>
    </row>
    <row r="146" spans="1:8" ht="13" x14ac:dyDescent="0.3">
      <c r="A146" s="321"/>
      <c r="C146" s="45"/>
      <c r="D146" s="345"/>
      <c r="E146" s="335"/>
      <c r="F146" s="365"/>
      <c r="G146" s="357"/>
      <c r="H146" s="364"/>
    </row>
    <row r="147" spans="1:8" ht="13" x14ac:dyDescent="0.3">
      <c r="A147" s="321"/>
      <c r="C147" s="45"/>
      <c r="D147" s="52"/>
      <c r="E147" s="328"/>
      <c r="F147" s="364"/>
      <c r="G147" s="357"/>
      <c r="H147" s="364"/>
    </row>
    <row r="148" spans="1:8" ht="13" x14ac:dyDescent="0.3">
      <c r="A148" s="321"/>
      <c r="C148" s="45"/>
      <c r="D148" s="51"/>
      <c r="F148" s="364"/>
      <c r="G148" s="357"/>
      <c r="H148" s="364"/>
    </row>
    <row r="149" spans="1:8" ht="13" x14ac:dyDescent="0.3">
      <c r="A149" s="321"/>
    </row>
    <row r="150" spans="1:8" ht="13" x14ac:dyDescent="0.3">
      <c r="A150" s="321"/>
    </row>
    <row r="151" spans="1:8" ht="13" x14ac:dyDescent="0.3">
      <c r="A151" s="321"/>
    </row>
    <row r="152" spans="1:8" ht="13" x14ac:dyDescent="0.3">
      <c r="A152" s="321"/>
      <c r="B152" s="318"/>
    </row>
    <row r="153" spans="1:8" ht="13" x14ac:dyDescent="0.3">
      <c r="A153" s="321"/>
      <c r="B153" s="329"/>
    </row>
    <row r="154" spans="1:8" ht="13" x14ac:dyDescent="0.3">
      <c r="A154" s="321"/>
      <c r="B154" s="329"/>
    </row>
    <row r="155" spans="1:8" ht="13" x14ac:dyDescent="0.3">
      <c r="A155" s="321"/>
      <c r="B155" s="329"/>
    </row>
    <row r="156" spans="1:8" ht="13" x14ac:dyDescent="0.3">
      <c r="A156" s="321"/>
    </row>
    <row r="157" spans="1:8" ht="13" x14ac:dyDescent="0.3">
      <c r="A157" s="321"/>
      <c r="B157" s="318"/>
    </row>
    <row r="158" spans="1:8" ht="13" x14ac:dyDescent="0.3">
      <c r="A158" s="321"/>
    </row>
    <row r="159" spans="1:8" ht="13" x14ac:dyDescent="0.3">
      <c r="A159" s="323"/>
      <c r="C159" s="44"/>
      <c r="D159" s="326"/>
    </row>
    <row r="160" spans="1:8" ht="13" x14ac:dyDescent="0.3">
      <c r="A160" s="321"/>
      <c r="C160" s="45"/>
      <c r="D160" s="366"/>
      <c r="F160" s="338"/>
    </row>
    <row r="161" spans="1:6" ht="13" x14ac:dyDescent="0.3">
      <c r="A161" s="321"/>
      <c r="C161" s="45"/>
      <c r="D161" s="366"/>
      <c r="F161" s="338"/>
    </row>
    <row r="162" spans="1:6" ht="13" x14ac:dyDescent="0.3">
      <c r="A162" s="321"/>
      <c r="C162" s="45"/>
      <c r="D162" s="366"/>
      <c r="F162" s="338"/>
    </row>
    <row r="163" spans="1:6" ht="13" x14ac:dyDescent="0.3">
      <c r="A163" s="321"/>
      <c r="C163" s="45"/>
      <c r="D163" s="366"/>
      <c r="F163" s="338"/>
    </row>
    <row r="164" spans="1:6" ht="13" x14ac:dyDescent="0.3">
      <c r="A164" s="321"/>
      <c r="C164" s="45"/>
      <c r="D164" s="366"/>
      <c r="F164" s="338"/>
    </row>
    <row r="165" spans="1:6" ht="13" x14ac:dyDescent="0.3">
      <c r="A165" s="321"/>
      <c r="C165" s="45"/>
      <c r="D165" s="366"/>
      <c r="F165" s="338"/>
    </row>
    <row r="166" spans="1:6" ht="13" x14ac:dyDescent="0.3">
      <c r="A166" s="321"/>
      <c r="C166" s="45"/>
      <c r="D166" s="366"/>
      <c r="F166" s="338"/>
    </row>
    <row r="167" spans="1:6" ht="13" x14ac:dyDescent="0.3">
      <c r="A167" s="321"/>
      <c r="C167" s="45"/>
      <c r="D167" s="366"/>
      <c r="F167" s="338"/>
    </row>
    <row r="168" spans="1:6" ht="13" x14ac:dyDescent="0.3">
      <c r="A168" s="321"/>
      <c r="C168" s="45"/>
      <c r="D168" s="366"/>
      <c r="F168" s="338"/>
    </row>
    <row r="169" spans="1:6" ht="13" x14ac:dyDescent="0.3">
      <c r="A169" s="321"/>
      <c r="C169" s="45"/>
      <c r="D169" s="366"/>
      <c r="F169" s="338"/>
    </row>
    <row r="170" spans="1:6" ht="13" x14ac:dyDescent="0.3">
      <c r="A170" s="321"/>
      <c r="C170" s="45"/>
      <c r="D170" s="366"/>
      <c r="F170" s="338"/>
    </row>
    <row r="171" spans="1:6" ht="13" x14ac:dyDescent="0.3">
      <c r="A171" s="321"/>
      <c r="C171" s="45"/>
      <c r="D171" s="367"/>
      <c r="F171" s="350"/>
    </row>
    <row r="172" spans="1:6" ht="13" x14ac:dyDescent="0.3">
      <c r="A172" s="321"/>
      <c r="C172" s="49"/>
      <c r="D172" s="366"/>
    </row>
  </sheetData>
  <pageMargins left="0.75" right="0.75" top="1" bottom="1" header="0.5" footer="0.5"/>
  <pageSetup scale="74" orientation="landscape" cellComments="asDisplayed" r:id="rId1"/>
  <headerFooter alignWithMargins="0">
    <oddHeader xml:space="preserve">&amp;C&amp;"Arial,Regular"&amp;10Schedule 4
True Up TRR
(TO2018 Wildfire Adj)&amp;R&amp;"Arial,Regular"&amp;10TO2021 Annual Update
Attachment 4
WP-Schedule 3-One Time Adjustment Transition
Page &amp;P of &amp;N
</oddHeader>
    <oddFooter>&amp;R&amp;A</oddFooter>
  </headerFooter>
  <rowBreaks count="4" manualBreakCount="4">
    <brk id="46" max="11" man="1"/>
    <brk id="73" max="16383" man="1"/>
    <brk id="119" max="9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E3A77-FAD5-42DE-9423-948AB8AB5F87}">
  <sheetPr codeName="Sheet5">
    <tabColor rgb="FFCCECFF"/>
    <pageSetUpPr fitToPage="1"/>
  </sheetPr>
  <dimension ref="A1:P81"/>
  <sheetViews>
    <sheetView zoomScaleNormal="100" zoomScaleSheetLayoutView="100" zoomScalePageLayoutView="80" workbookViewId="0"/>
  </sheetViews>
  <sheetFormatPr defaultColWidth="8.54296875" defaultRowHeight="12.5" x14ac:dyDescent="0.25"/>
  <cols>
    <col min="1" max="1" width="4.54296875" style="238" customWidth="1"/>
    <col min="2" max="2" width="6.453125" style="238" customWidth="1"/>
    <col min="3" max="3" width="14.54296875" style="238" customWidth="1"/>
    <col min="4" max="4" width="16.453125" style="238" customWidth="1"/>
    <col min="5" max="14" width="14.54296875" style="238" customWidth="1"/>
    <col min="15" max="15" width="14.453125" style="238" customWidth="1"/>
    <col min="16" max="16" width="18" style="238" customWidth="1"/>
    <col min="17" max="16384" width="8.54296875" style="238"/>
  </cols>
  <sheetData>
    <row r="1" spans="1:16" ht="13" x14ac:dyDescent="0.3">
      <c r="A1" s="237" t="s">
        <v>683</v>
      </c>
      <c r="B1" s="237"/>
    </row>
    <row r="2" spans="1:16" ht="13" x14ac:dyDescent="0.3">
      <c r="A2" s="242" t="s">
        <v>684</v>
      </c>
      <c r="B2" s="292">
        <v>2019</v>
      </c>
    </row>
    <row r="3" spans="1:16" ht="13" x14ac:dyDescent="0.3">
      <c r="C3" s="241" t="s">
        <v>12</v>
      </c>
      <c r="D3" s="241" t="s">
        <v>343</v>
      </c>
      <c r="E3" s="241" t="s">
        <v>361</v>
      </c>
      <c r="F3" s="241" t="s">
        <v>13</v>
      </c>
      <c r="G3" s="241" t="s">
        <v>362</v>
      </c>
      <c r="H3" s="241" t="s">
        <v>363</v>
      </c>
      <c r="I3" s="241" t="s">
        <v>364</v>
      </c>
      <c r="J3" s="241" t="s">
        <v>451</v>
      </c>
      <c r="K3" s="241" t="s">
        <v>685</v>
      </c>
      <c r="L3" s="241" t="s">
        <v>686</v>
      </c>
      <c r="M3" s="241" t="s">
        <v>687</v>
      </c>
      <c r="N3" s="241" t="s">
        <v>688</v>
      </c>
      <c r="O3" s="241" t="s">
        <v>689</v>
      </c>
      <c r="P3" s="241" t="s">
        <v>690</v>
      </c>
    </row>
    <row r="4" spans="1:16" ht="13" x14ac:dyDescent="0.3">
      <c r="A4" s="244" t="s">
        <v>104</v>
      </c>
      <c r="B4" s="244" t="s">
        <v>691</v>
      </c>
      <c r="C4" s="251" t="s">
        <v>110</v>
      </c>
      <c r="D4" s="293" t="s">
        <v>27</v>
      </c>
      <c r="E4" s="269" t="s">
        <v>30</v>
      </c>
      <c r="F4" s="269" t="s">
        <v>32</v>
      </c>
      <c r="G4" s="269" t="s">
        <v>34</v>
      </c>
      <c r="H4" s="269" t="s">
        <v>36</v>
      </c>
      <c r="I4" s="269" t="s">
        <v>37</v>
      </c>
      <c r="J4" s="269" t="s">
        <v>471</v>
      </c>
      <c r="K4" s="269" t="s">
        <v>39</v>
      </c>
      <c r="L4" s="269" t="s">
        <v>40</v>
      </c>
      <c r="M4" s="269" t="s">
        <v>41</v>
      </c>
      <c r="N4" s="269" t="s">
        <v>42</v>
      </c>
      <c r="O4" s="269" t="s">
        <v>43</v>
      </c>
      <c r="P4" s="269" t="s">
        <v>27</v>
      </c>
    </row>
    <row r="5" spans="1:16" ht="13" x14ac:dyDescent="0.3">
      <c r="A5" s="244"/>
      <c r="B5" s="244"/>
      <c r="C5" s="269" t="s">
        <v>692</v>
      </c>
      <c r="D5" s="293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</row>
    <row r="6" spans="1:16" ht="13" x14ac:dyDescent="0.3">
      <c r="A6" s="243"/>
      <c r="B6" s="243"/>
      <c r="C6" s="251"/>
      <c r="D6" s="293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</row>
    <row r="7" spans="1:16" ht="13" x14ac:dyDescent="0.3">
      <c r="B7" s="237" t="s">
        <v>693</v>
      </c>
      <c r="D7" s="293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</row>
    <row r="8" spans="1:16" ht="13" x14ac:dyDescent="0.3">
      <c r="A8" s="242">
        <v>1</v>
      </c>
      <c r="B8" s="242"/>
      <c r="C8" s="247">
        <f>SUM(D8:P8)/13</f>
        <v>14061240659.277691</v>
      </c>
      <c r="D8" s="245">
        <v>12801900000</v>
      </c>
      <c r="E8" s="245">
        <v>12801899999.969999</v>
      </c>
      <c r="F8" s="245">
        <v>12762614285.68</v>
      </c>
      <c r="G8" s="245">
        <v>13862614285.68</v>
      </c>
      <c r="H8" s="245">
        <v>13862614285.68</v>
      </c>
      <c r="I8" s="245">
        <v>13862614285.68</v>
      </c>
      <c r="J8" s="245">
        <v>13862614285.68</v>
      </c>
      <c r="K8" s="245">
        <v>13862614285.68</v>
      </c>
      <c r="L8" s="245">
        <v>15023328571.389999</v>
      </c>
      <c r="M8" s="245">
        <v>15023328571.389999</v>
      </c>
      <c r="N8" s="245">
        <v>15023328571.389999</v>
      </c>
      <c r="O8" s="245">
        <v>15023328571.389999</v>
      </c>
      <c r="P8" s="245">
        <v>15023328571</v>
      </c>
    </row>
    <row r="9" spans="1:16" ht="13" x14ac:dyDescent="0.3">
      <c r="A9" s="242"/>
      <c r="B9" s="237" t="s">
        <v>694</v>
      </c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</row>
    <row r="10" spans="1:16" ht="13" x14ac:dyDescent="0.3">
      <c r="A10" s="242">
        <f>A8+1</f>
        <v>2</v>
      </c>
      <c r="B10" s="242"/>
      <c r="C10" s="247">
        <f>SUM(D10:P10)/13</f>
        <v>0</v>
      </c>
      <c r="D10" s="245">
        <v>0</v>
      </c>
      <c r="E10" s="245">
        <v>0</v>
      </c>
      <c r="F10" s="245">
        <v>0</v>
      </c>
      <c r="G10" s="245">
        <v>0</v>
      </c>
      <c r="H10" s="245">
        <v>0</v>
      </c>
      <c r="I10" s="245">
        <v>0</v>
      </c>
      <c r="J10" s="245">
        <v>0</v>
      </c>
      <c r="K10" s="245">
        <v>0</v>
      </c>
      <c r="L10" s="245">
        <v>0</v>
      </c>
      <c r="M10" s="245">
        <v>0</v>
      </c>
      <c r="N10" s="245">
        <v>0</v>
      </c>
      <c r="O10" s="245">
        <v>0</v>
      </c>
      <c r="P10" s="245">
        <v>0</v>
      </c>
    </row>
    <row r="11" spans="1:16" ht="13" x14ac:dyDescent="0.3">
      <c r="A11" s="242"/>
      <c r="B11" s="237" t="s">
        <v>695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</row>
    <row r="12" spans="1:16" ht="13" x14ac:dyDescent="0.3">
      <c r="A12" s="242" t="s">
        <v>696</v>
      </c>
      <c r="B12" s="237"/>
      <c r="C12" s="247">
        <f>SUM(D12:P12)/13</f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</row>
    <row r="13" spans="1:16" ht="13" x14ac:dyDescent="0.3">
      <c r="A13" s="242"/>
      <c r="B13" s="237" t="s">
        <v>697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</row>
    <row r="14" spans="1:16" ht="13" x14ac:dyDescent="0.3">
      <c r="A14" s="242">
        <f>A10+1</f>
        <v>3</v>
      </c>
      <c r="B14" s="242"/>
      <c r="C14" s="247">
        <f>SUM(D14:P14)/13</f>
        <v>306455395.05307692</v>
      </c>
      <c r="D14" s="245">
        <v>306490453</v>
      </c>
      <c r="E14" s="245">
        <v>306484699.54000002</v>
      </c>
      <c r="F14" s="245">
        <v>306478922.25999999</v>
      </c>
      <c r="G14" s="245">
        <v>306473120.62</v>
      </c>
      <c r="H14" s="245">
        <v>306467294.50999999</v>
      </c>
      <c r="I14" s="245">
        <v>306461443.82999998</v>
      </c>
      <c r="J14" s="245">
        <v>306455568.48000002</v>
      </c>
      <c r="K14" s="245">
        <v>306449668.36000001</v>
      </c>
      <c r="L14" s="245">
        <v>306443743.36000001</v>
      </c>
      <c r="M14" s="245">
        <v>306437793.38</v>
      </c>
      <c r="N14" s="245">
        <v>306431818.31</v>
      </c>
      <c r="O14" s="245">
        <v>306425818.04000002</v>
      </c>
      <c r="P14" s="245">
        <v>306419792</v>
      </c>
    </row>
    <row r="15" spans="1:16" ht="13" x14ac:dyDescent="0.3">
      <c r="A15" s="242"/>
      <c r="B15" s="23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</row>
    <row r="16" spans="1:16" ht="13" x14ac:dyDescent="0.3">
      <c r="A16" s="242">
        <f>A14+1</f>
        <v>4</v>
      </c>
      <c r="B16" s="263" t="s">
        <v>698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</row>
    <row r="17" spans="1:16" ht="13" x14ac:dyDescent="0.3">
      <c r="A17" s="242"/>
      <c r="B17" s="23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16" ht="13" x14ac:dyDescent="0.3">
      <c r="A18" s="242">
        <f>A16+1</f>
        <v>5</v>
      </c>
      <c r="B18" s="263" t="s">
        <v>698</v>
      </c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</row>
    <row r="19" spans="1:16" ht="13" x14ac:dyDescent="0.3">
      <c r="B19" s="237"/>
    </row>
    <row r="20" spans="1:16" ht="13" x14ac:dyDescent="0.3">
      <c r="A20" s="242">
        <v>6</v>
      </c>
      <c r="B20" s="263" t="s">
        <v>698</v>
      </c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</row>
    <row r="21" spans="1:16" ht="13" x14ac:dyDescent="0.3">
      <c r="A21" s="242"/>
      <c r="B21" s="23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</row>
    <row r="22" spans="1:16" ht="13" x14ac:dyDescent="0.3">
      <c r="A22" s="242">
        <f>A20+1</f>
        <v>7</v>
      </c>
      <c r="B22" s="263" t="s">
        <v>698</v>
      </c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</row>
    <row r="23" spans="1:16" ht="13" x14ac:dyDescent="0.3">
      <c r="B23" s="237" t="s">
        <v>699</v>
      </c>
    </row>
    <row r="24" spans="1:16" ht="13" x14ac:dyDescent="0.3">
      <c r="A24" s="242">
        <v>18</v>
      </c>
      <c r="B24" s="242"/>
      <c r="C24" s="247">
        <f t="shared" ref="C24:C30" si="0">SUM(D24:P24)/13</f>
        <v>2245054950</v>
      </c>
      <c r="D24" s="245">
        <v>2245054950</v>
      </c>
      <c r="E24" s="245">
        <v>2245054950</v>
      </c>
      <c r="F24" s="245">
        <v>2245054950</v>
      </c>
      <c r="G24" s="245">
        <v>2245054950</v>
      </c>
      <c r="H24" s="245">
        <v>2245054950</v>
      </c>
      <c r="I24" s="245">
        <v>2245054950</v>
      </c>
      <c r="J24" s="245">
        <v>2245054950</v>
      </c>
      <c r="K24" s="245">
        <v>2245054950</v>
      </c>
      <c r="L24" s="245">
        <v>2245054950</v>
      </c>
      <c r="M24" s="245">
        <v>2245054950</v>
      </c>
      <c r="N24" s="245">
        <v>2245054950</v>
      </c>
      <c r="O24" s="245">
        <v>2245054950</v>
      </c>
      <c r="P24" s="245">
        <v>2245054950</v>
      </c>
    </row>
    <row r="25" spans="1:16" ht="13" x14ac:dyDescent="0.3">
      <c r="A25" s="242"/>
      <c r="B25" s="237" t="s">
        <v>700</v>
      </c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</row>
    <row r="26" spans="1:16" ht="13" x14ac:dyDescent="0.3">
      <c r="A26" s="242">
        <f>A24+1</f>
        <v>19</v>
      </c>
      <c r="B26" s="242"/>
      <c r="C26" s="247">
        <f t="shared" si="0"/>
        <v>-35163418.50555554</v>
      </c>
      <c r="D26" s="57">
        <v>-36870625.247222207</v>
      </c>
      <c r="E26" s="57">
        <v>-36586090.790277764</v>
      </c>
      <c r="F26" s="57">
        <v>-36301556.333333321</v>
      </c>
      <c r="G26" s="57">
        <v>-36017021.876388878</v>
      </c>
      <c r="H26" s="57">
        <v>-35732487.419444434</v>
      </c>
      <c r="I26" s="57">
        <v>-35447952.962499984</v>
      </c>
      <c r="J26" s="57">
        <v>-35163418.50555554</v>
      </c>
      <c r="K26" s="57">
        <v>-34878884.048611097</v>
      </c>
      <c r="L26" s="57">
        <v>-34594349.591666661</v>
      </c>
      <c r="M26" s="57">
        <v>-34309815.13472221</v>
      </c>
      <c r="N26" s="57">
        <v>-34025280.677777767</v>
      </c>
      <c r="O26" s="57">
        <v>-33740746.220833324</v>
      </c>
      <c r="P26" s="57">
        <v>-33456211.763888881</v>
      </c>
    </row>
    <row r="27" spans="1:16" ht="13" x14ac:dyDescent="0.3">
      <c r="A27" s="242"/>
      <c r="B27" s="237" t="s">
        <v>701</v>
      </c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</row>
    <row r="28" spans="1:16" ht="13" x14ac:dyDescent="0.3">
      <c r="A28" s="242">
        <f>A26+1</f>
        <v>20</v>
      </c>
      <c r="B28" s="242"/>
      <c r="C28" s="247">
        <f t="shared" si="0"/>
        <v>-17823980.290312503</v>
      </c>
      <c r="D28" s="245">
        <v>-18337973.014893901</v>
      </c>
      <c r="E28" s="57">
        <v>-18252334.578202222</v>
      </c>
      <c r="F28" s="57">
        <v>-18166696.141510591</v>
      </c>
      <c r="G28" s="57">
        <v>-18081057.70481896</v>
      </c>
      <c r="H28" s="57">
        <v>-17995419.268127326</v>
      </c>
      <c r="I28" s="57">
        <v>-17909780.831435699</v>
      </c>
      <c r="J28" s="57">
        <v>-17824142.394744068</v>
      </c>
      <c r="K28" s="57">
        <v>-17738503.958052438</v>
      </c>
      <c r="L28" s="57">
        <v>-17652865.521360807</v>
      </c>
      <c r="M28" s="57">
        <v>-17567227.079999998</v>
      </c>
      <c r="N28" s="57">
        <v>-17481588.647977501</v>
      </c>
      <c r="O28" s="57">
        <v>-17395247.760305524</v>
      </c>
      <c r="P28" s="57">
        <v>-17308906.872633502</v>
      </c>
    </row>
    <row r="29" spans="1:16" ht="13" x14ac:dyDescent="0.3">
      <c r="B29" s="237" t="s">
        <v>702</v>
      </c>
    </row>
    <row r="30" spans="1:16" ht="13" x14ac:dyDescent="0.3">
      <c r="A30" s="242">
        <v>27</v>
      </c>
      <c r="B30" s="242"/>
      <c r="C30" s="247">
        <f t="shared" si="0"/>
        <v>15704168456.186155</v>
      </c>
      <c r="D30" s="245">
        <v>13785814466</v>
      </c>
      <c r="E30" s="57">
        <v>13895712474.389999</v>
      </c>
      <c r="F30" s="57">
        <v>13767842252.379999</v>
      </c>
      <c r="G30" s="57">
        <v>13870286066.51</v>
      </c>
      <c r="H30" s="57">
        <v>14697239347.15</v>
      </c>
      <c r="I30" s="57">
        <v>14816789369.77</v>
      </c>
      <c r="J30" s="57">
        <v>15492646758.120001</v>
      </c>
      <c r="K30" s="57">
        <v>15638828771.209999</v>
      </c>
      <c r="L30" s="57">
        <v>17040370051.540001</v>
      </c>
      <c r="M30" s="57">
        <v>17645554361.889999</v>
      </c>
      <c r="N30" s="57">
        <v>17790078831.189999</v>
      </c>
      <c r="O30" s="57">
        <v>17885756771.27</v>
      </c>
      <c r="P30" s="57">
        <v>17827270409</v>
      </c>
    </row>
    <row r="31" spans="1:16" ht="13.5" thickBot="1" x14ac:dyDescent="0.35">
      <c r="A31" s="242"/>
      <c r="B31" s="237" t="s">
        <v>703</v>
      </c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</row>
    <row r="32" spans="1:16" ht="13.5" thickBot="1" x14ac:dyDescent="0.35">
      <c r="A32" s="242">
        <v>30</v>
      </c>
      <c r="B32" s="242"/>
      <c r="C32" s="246">
        <f>SUM(D32:P32)/13</f>
        <v>2604739.0269230772</v>
      </c>
      <c r="D32" s="294">
        <v>2604107</v>
      </c>
      <c r="E32" s="294">
        <v>2604255.75</v>
      </c>
      <c r="F32" s="295">
        <v>2604255.75</v>
      </c>
      <c r="G32" s="295">
        <v>2604255.75</v>
      </c>
      <c r="H32" s="295">
        <v>2604255.75</v>
      </c>
      <c r="I32" s="295">
        <v>2604353.25</v>
      </c>
      <c r="J32" s="295">
        <v>2605065.75</v>
      </c>
      <c r="K32" s="295">
        <v>2605065.75</v>
      </c>
      <c r="L32" s="295">
        <v>2605206</v>
      </c>
      <c r="M32" s="295">
        <v>2605206</v>
      </c>
      <c r="N32" s="295">
        <v>2605206</v>
      </c>
      <c r="O32" s="295">
        <v>2605206</v>
      </c>
      <c r="P32" s="296">
        <v>2605168.6</v>
      </c>
    </row>
    <row r="33" spans="1:16" ht="13.5" thickBot="1" x14ac:dyDescent="0.35">
      <c r="A33" s="242"/>
      <c r="B33" s="237" t="s">
        <v>704</v>
      </c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</row>
    <row r="34" spans="1:16" ht="13.5" thickBot="1" x14ac:dyDescent="0.35">
      <c r="A34" s="242">
        <f>A32+1</f>
        <v>31</v>
      </c>
      <c r="B34" s="242"/>
      <c r="C34" s="246">
        <f>SUM(D34:P34)/13</f>
        <v>25862851.14692308</v>
      </c>
      <c r="D34" s="294">
        <v>22574194.449999999</v>
      </c>
      <c r="E34" s="295">
        <v>22115036.120000001</v>
      </c>
      <c r="F34" s="295">
        <v>26679120.789999999</v>
      </c>
      <c r="G34" s="295">
        <v>26605429.539999999</v>
      </c>
      <c r="H34" s="295">
        <v>26146271.210000001</v>
      </c>
      <c r="I34" s="295">
        <v>25687112.879999999</v>
      </c>
      <c r="J34" s="295">
        <v>25613421.649999999</v>
      </c>
      <c r="K34" s="295">
        <v>25154263.32</v>
      </c>
      <c r="L34" s="295">
        <v>24695104.989999998</v>
      </c>
      <c r="M34" s="295">
        <v>24621413.75</v>
      </c>
      <c r="N34" s="295">
        <v>24162255.420000002</v>
      </c>
      <c r="O34" s="296">
        <v>23351570.789999999</v>
      </c>
      <c r="P34" s="297">
        <v>38811870</v>
      </c>
    </row>
    <row r="35" spans="1:16" ht="13" x14ac:dyDescent="0.3">
      <c r="A35" s="242"/>
      <c r="B35" s="242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</row>
    <row r="36" spans="1:16" ht="13" x14ac:dyDescent="0.3">
      <c r="A36" s="242"/>
      <c r="B36" s="257" t="s">
        <v>175</v>
      </c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</row>
    <row r="37" spans="1:16" ht="13" x14ac:dyDescent="0.3">
      <c r="A37" s="242"/>
      <c r="B37" s="238" t="s">
        <v>705</v>
      </c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 ht="13" x14ac:dyDescent="0.3">
      <c r="A38" s="242"/>
      <c r="B38" s="248" t="s">
        <v>706</v>
      </c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</row>
    <row r="39" spans="1:16" ht="13" x14ac:dyDescent="0.3">
      <c r="A39" s="242"/>
      <c r="B39" s="238" t="s">
        <v>707</v>
      </c>
      <c r="C39" s="263" t="s">
        <v>698</v>
      </c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</row>
    <row r="40" spans="1:16" x14ac:dyDescent="0.25">
      <c r="B40" s="238" t="s">
        <v>708</v>
      </c>
    </row>
    <row r="41" spans="1:16" x14ac:dyDescent="0.25">
      <c r="B41" s="248"/>
    </row>
    <row r="42" spans="1:16" ht="13" x14ac:dyDescent="0.3">
      <c r="B42" s="237" t="s">
        <v>87</v>
      </c>
    </row>
    <row r="43" spans="1:16" x14ac:dyDescent="0.25">
      <c r="B43" s="238" t="s">
        <v>709</v>
      </c>
    </row>
    <row r="44" spans="1:16" x14ac:dyDescent="0.25">
      <c r="B44" s="238" t="s">
        <v>710</v>
      </c>
    </row>
    <row r="45" spans="1:16" x14ac:dyDescent="0.25">
      <c r="B45" s="238" t="s">
        <v>711</v>
      </c>
    </row>
    <row r="46" spans="1:16" x14ac:dyDescent="0.25">
      <c r="B46" s="238" t="s">
        <v>712</v>
      </c>
    </row>
    <row r="47" spans="1:16" ht="13" x14ac:dyDescent="0.3">
      <c r="B47" s="238" t="s">
        <v>713</v>
      </c>
      <c r="C47" s="263" t="s">
        <v>698</v>
      </c>
    </row>
    <row r="48" spans="1:16" ht="13" x14ac:dyDescent="0.3">
      <c r="B48" s="238" t="s">
        <v>714</v>
      </c>
      <c r="C48" s="263" t="s">
        <v>698</v>
      </c>
    </row>
    <row r="49" spans="2:13" ht="13" x14ac:dyDescent="0.3">
      <c r="B49" s="238" t="s">
        <v>715</v>
      </c>
      <c r="C49" s="263" t="s">
        <v>698</v>
      </c>
    </row>
    <row r="50" spans="2:13" ht="13" x14ac:dyDescent="0.3">
      <c r="B50" s="238" t="s">
        <v>716</v>
      </c>
      <c r="C50" s="263" t="s">
        <v>698</v>
      </c>
    </row>
    <row r="51" spans="2:13" x14ac:dyDescent="0.25">
      <c r="B51" s="238" t="s">
        <v>717</v>
      </c>
    </row>
    <row r="52" spans="2:13" x14ac:dyDescent="0.25">
      <c r="B52" s="238" t="s">
        <v>718</v>
      </c>
    </row>
    <row r="53" spans="2:13" x14ac:dyDescent="0.25">
      <c r="B53" s="248" t="s">
        <v>719</v>
      </c>
    </row>
    <row r="54" spans="2:13" ht="13" x14ac:dyDescent="0.3">
      <c r="H54" s="242" t="s">
        <v>720</v>
      </c>
    </row>
    <row r="55" spans="2:13" ht="13" x14ac:dyDescent="0.3">
      <c r="C55" s="242"/>
      <c r="E55" s="242" t="s">
        <v>721</v>
      </c>
      <c r="F55" s="242" t="s">
        <v>722</v>
      </c>
      <c r="G55" s="242" t="s">
        <v>722</v>
      </c>
      <c r="H55" s="242" t="s">
        <v>723</v>
      </c>
      <c r="I55" s="242" t="s">
        <v>724</v>
      </c>
    </row>
    <row r="56" spans="2:13" ht="13.5" thickBot="1" x14ac:dyDescent="0.35">
      <c r="C56" s="244" t="s">
        <v>725</v>
      </c>
      <c r="E56" s="244" t="s">
        <v>96</v>
      </c>
      <c r="F56" s="244" t="s">
        <v>726</v>
      </c>
      <c r="G56" s="244" t="s">
        <v>727</v>
      </c>
      <c r="H56" s="241" t="s">
        <v>728</v>
      </c>
      <c r="I56" s="244" t="s">
        <v>720</v>
      </c>
      <c r="J56" s="244" t="s">
        <v>107</v>
      </c>
    </row>
    <row r="57" spans="2:13" ht="13" thickBot="1" x14ac:dyDescent="0.3">
      <c r="C57" s="298" t="s">
        <v>729</v>
      </c>
      <c r="D57" s="299"/>
      <c r="E57" s="57">
        <v>350000000</v>
      </c>
      <c r="F57" s="300">
        <v>40925</v>
      </c>
      <c r="G57" s="255">
        <v>5957289</v>
      </c>
      <c r="H57" s="301">
        <v>10</v>
      </c>
      <c r="I57" s="259">
        <v>595728.9</v>
      </c>
      <c r="J57" s="73"/>
      <c r="K57" s="73"/>
      <c r="L57" s="73"/>
      <c r="M57" s="73"/>
    </row>
    <row r="58" spans="2:13" ht="13" thickBot="1" x14ac:dyDescent="0.3">
      <c r="C58" s="298" t="s">
        <v>730</v>
      </c>
      <c r="D58" s="299"/>
      <c r="E58" s="57">
        <v>400000000</v>
      </c>
      <c r="F58" s="300">
        <v>41303</v>
      </c>
      <c r="G58" s="255">
        <v>12972287</v>
      </c>
      <c r="H58" s="301">
        <v>30</v>
      </c>
      <c r="I58" s="259">
        <v>432409.566666667</v>
      </c>
      <c r="J58" s="73"/>
      <c r="K58" s="73"/>
      <c r="L58" s="73"/>
      <c r="M58" s="73"/>
    </row>
    <row r="59" spans="2:13" ht="13" thickBot="1" x14ac:dyDescent="0.3">
      <c r="C59" s="298" t="s">
        <v>731</v>
      </c>
      <c r="D59" s="299"/>
      <c r="E59" s="57">
        <v>275000000</v>
      </c>
      <c r="F59" s="300">
        <v>41704</v>
      </c>
      <c r="G59" s="255">
        <v>6272358</v>
      </c>
      <c r="H59" s="301">
        <v>10</v>
      </c>
      <c r="I59" s="259">
        <v>627235.80000000005</v>
      </c>
      <c r="J59" s="73"/>
      <c r="K59" s="73"/>
      <c r="L59" s="73"/>
      <c r="M59" s="73"/>
    </row>
    <row r="60" spans="2:13" ht="13" thickBot="1" x14ac:dyDescent="0.3">
      <c r="C60" s="298" t="s">
        <v>732</v>
      </c>
      <c r="D60" s="299"/>
      <c r="E60" s="57">
        <v>325000000</v>
      </c>
      <c r="F60" s="300">
        <v>42240</v>
      </c>
      <c r="G60" s="255">
        <v>6419578</v>
      </c>
      <c r="H60" s="301">
        <v>10</v>
      </c>
      <c r="I60" s="259">
        <v>641957.80000000005</v>
      </c>
      <c r="J60" s="73"/>
      <c r="K60" s="73"/>
      <c r="L60" s="73"/>
      <c r="M60" s="73"/>
    </row>
    <row r="61" spans="2:13" ht="13" thickBot="1" x14ac:dyDescent="0.3">
      <c r="C61" s="299" t="s">
        <v>733</v>
      </c>
      <c r="D61" s="299"/>
      <c r="E61" s="57">
        <v>300000000</v>
      </c>
      <c r="F61" s="300">
        <v>42437</v>
      </c>
      <c r="G61" s="255">
        <v>6959810</v>
      </c>
      <c r="H61" s="301">
        <v>10</v>
      </c>
      <c r="I61" s="259">
        <v>695981</v>
      </c>
      <c r="J61" s="73"/>
      <c r="K61" s="73"/>
      <c r="L61" s="73"/>
      <c r="M61" s="73"/>
    </row>
    <row r="62" spans="2:13" ht="13" thickBot="1" x14ac:dyDescent="0.3">
      <c r="C62" s="299" t="s">
        <v>734</v>
      </c>
      <c r="D62" s="299"/>
      <c r="E62" s="57">
        <v>475000000</v>
      </c>
      <c r="F62" s="300">
        <v>42912</v>
      </c>
      <c r="G62" s="255">
        <v>12800620</v>
      </c>
      <c r="H62" s="301">
        <v>30</v>
      </c>
      <c r="I62" s="57">
        <v>426687.33333333302</v>
      </c>
      <c r="J62" s="302" t="s">
        <v>735</v>
      </c>
      <c r="K62" s="73"/>
      <c r="L62" s="73"/>
      <c r="M62" s="73"/>
    </row>
    <row r="63" spans="2:13" x14ac:dyDescent="0.25">
      <c r="C63" s="281"/>
      <c r="D63" s="281"/>
      <c r="G63" s="317"/>
      <c r="I63" s="247">
        <f>SUM(I57:I62)</f>
        <v>3420000.4000000004</v>
      </c>
      <c r="J63" s="238" t="s">
        <v>736</v>
      </c>
    </row>
    <row r="64" spans="2:13" x14ac:dyDescent="0.25">
      <c r="B64" s="238" t="s">
        <v>737</v>
      </c>
    </row>
    <row r="65" spans="2:13" x14ac:dyDescent="0.25">
      <c r="B65" s="248" t="s">
        <v>738</v>
      </c>
    </row>
    <row r="66" spans="2:13" ht="13" x14ac:dyDescent="0.3">
      <c r="G66" s="242" t="s">
        <v>720</v>
      </c>
    </row>
    <row r="67" spans="2:13" ht="13" x14ac:dyDescent="0.3">
      <c r="C67" s="242"/>
      <c r="E67" s="242" t="s">
        <v>739</v>
      </c>
      <c r="F67" s="242" t="s">
        <v>720</v>
      </c>
      <c r="G67" s="242" t="s">
        <v>723</v>
      </c>
      <c r="H67" s="242" t="s">
        <v>724</v>
      </c>
      <c r="I67" s="242"/>
    </row>
    <row r="68" spans="2:13" ht="13" x14ac:dyDescent="0.3">
      <c r="C68" s="244" t="s">
        <v>740</v>
      </c>
      <c r="E68" s="244" t="s">
        <v>726</v>
      </c>
      <c r="F68" s="244" t="s">
        <v>96</v>
      </c>
      <c r="G68" s="241" t="s">
        <v>728</v>
      </c>
      <c r="H68" s="244" t="s">
        <v>720</v>
      </c>
      <c r="I68" s="244" t="s">
        <v>107</v>
      </c>
    </row>
    <row r="69" spans="2:13" x14ac:dyDescent="0.25">
      <c r="C69" s="298" t="s">
        <v>741</v>
      </c>
      <c r="D69" s="299"/>
      <c r="E69" s="303">
        <v>31444</v>
      </c>
      <c r="F69" s="57">
        <v>15312.5</v>
      </c>
      <c r="G69" s="301">
        <v>34</v>
      </c>
      <c r="H69" s="57">
        <v>183750</v>
      </c>
      <c r="I69" s="73"/>
      <c r="J69" s="73"/>
      <c r="K69" s="73"/>
      <c r="L69" s="73"/>
      <c r="M69" s="73"/>
    </row>
    <row r="70" spans="2:13" ht="13" thickBot="1" x14ac:dyDescent="0.3">
      <c r="C70" s="298" t="s">
        <v>741</v>
      </c>
      <c r="D70" s="299"/>
      <c r="E70" s="303">
        <v>31444</v>
      </c>
      <c r="F70" s="57">
        <v>2512.25490196077</v>
      </c>
      <c r="G70" s="301">
        <v>34</v>
      </c>
      <c r="H70" s="57">
        <v>30147.058823529402</v>
      </c>
      <c r="I70" s="73"/>
      <c r="J70" s="73"/>
      <c r="K70" s="73"/>
      <c r="L70" s="73"/>
      <c r="M70" s="73"/>
    </row>
    <row r="71" spans="2:13" ht="13" thickBot="1" x14ac:dyDescent="0.3">
      <c r="C71" s="298" t="s">
        <v>742</v>
      </c>
      <c r="D71" s="299"/>
      <c r="E71" s="303">
        <v>41333</v>
      </c>
      <c r="F71" s="255">
        <v>7184</v>
      </c>
      <c r="G71" s="301">
        <v>30</v>
      </c>
      <c r="H71" s="57">
        <v>86211.699351851697</v>
      </c>
      <c r="I71" s="73" t="s">
        <v>743</v>
      </c>
      <c r="J71" s="73"/>
      <c r="K71" s="73"/>
      <c r="L71" s="73"/>
      <c r="M71" s="73"/>
    </row>
    <row r="72" spans="2:13" ht="13" thickBot="1" x14ac:dyDescent="0.3">
      <c r="C72" s="298" t="s">
        <v>744</v>
      </c>
      <c r="D72" s="299"/>
      <c r="E72" s="303">
        <v>41333</v>
      </c>
      <c r="F72" s="255">
        <v>8019</v>
      </c>
      <c r="G72" s="301">
        <v>30</v>
      </c>
      <c r="H72" s="57">
        <v>96228.865740741297</v>
      </c>
      <c r="I72" s="73" t="s">
        <v>743</v>
      </c>
      <c r="J72" s="73"/>
      <c r="K72" s="73"/>
      <c r="L72" s="73"/>
      <c r="M72" s="73"/>
    </row>
    <row r="73" spans="2:13" ht="13.5" thickBot="1" x14ac:dyDescent="0.35">
      <c r="C73" s="304" t="s">
        <v>745</v>
      </c>
      <c r="D73" s="305"/>
      <c r="E73" s="300">
        <v>42460</v>
      </c>
      <c r="F73" s="255">
        <v>17898</v>
      </c>
      <c r="G73" s="306">
        <v>10</v>
      </c>
      <c r="H73" s="57">
        <v>214780.25000000099</v>
      </c>
      <c r="I73" s="307" t="s">
        <v>746</v>
      </c>
      <c r="J73" s="307"/>
      <c r="K73" s="307"/>
      <c r="L73" s="73"/>
      <c r="M73" s="73"/>
    </row>
    <row r="74" spans="2:13" ht="13.5" thickBot="1" x14ac:dyDescent="0.35">
      <c r="C74" s="304" t="s">
        <v>747</v>
      </c>
      <c r="D74" s="305"/>
      <c r="E74" s="300">
        <v>42935</v>
      </c>
      <c r="F74" s="255">
        <v>35414</v>
      </c>
      <c r="G74" s="306">
        <v>30</v>
      </c>
      <c r="H74" s="57">
        <v>424972.77814815001</v>
      </c>
      <c r="I74" s="428"/>
      <c r="J74" s="428"/>
      <c r="K74" s="428"/>
      <c r="L74" s="73"/>
      <c r="M74" s="73"/>
    </row>
    <row r="75" spans="2:13" x14ac:dyDescent="0.25">
      <c r="C75" s="299"/>
      <c r="D75" s="299"/>
      <c r="E75" s="303"/>
      <c r="F75" s="57"/>
      <c r="G75" s="306"/>
      <c r="H75" s="57"/>
      <c r="I75" s="73"/>
      <c r="J75" s="73"/>
      <c r="K75" s="73"/>
      <c r="L75" s="73"/>
      <c r="M75" s="73"/>
    </row>
    <row r="76" spans="2:13" x14ac:dyDescent="0.25">
      <c r="C76" s="299"/>
      <c r="D76" s="299"/>
      <c r="E76" s="303"/>
      <c r="F76" s="57"/>
      <c r="G76" s="306"/>
      <c r="H76" s="57"/>
      <c r="I76" s="73"/>
      <c r="J76" s="73"/>
      <c r="K76" s="73"/>
      <c r="L76" s="73"/>
      <c r="M76" s="73"/>
    </row>
    <row r="77" spans="2:13" x14ac:dyDescent="0.25">
      <c r="C77" s="281"/>
      <c r="D77" s="281"/>
      <c r="F77" s="317"/>
      <c r="H77" s="247">
        <f>SUM(H69:H76)</f>
        <v>1036090.6520642734</v>
      </c>
      <c r="I77" s="238" t="s">
        <v>748</v>
      </c>
    </row>
    <row r="78" spans="2:13" x14ac:dyDescent="0.25">
      <c r="F78" s="308"/>
    </row>
    <row r="79" spans="2:13" x14ac:dyDescent="0.25">
      <c r="B79" s="238" t="s">
        <v>749</v>
      </c>
    </row>
    <row r="80" spans="2:13" x14ac:dyDescent="0.25">
      <c r="B80" s="238" t="s">
        <v>750</v>
      </c>
    </row>
    <row r="81" spans="2:2" x14ac:dyDescent="0.25">
      <c r="B81" s="238" t="s">
        <v>751</v>
      </c>
    </row>
  </sheetData>
  <mergeCells count="1">
    <mergeCell ref="I74:K74"/>
  </mergeCells>
  <pageMargins left="0.7" right="0.7" top="0.75" bottom="0.75" header="0.3" footer="0.3"/>
  <pageSetup scale="55" fitToHeight="0" orientation="landscape" cellComments="asDisplayed" r:id="rId1"/>
  <headerFooter>
    <oddHeader xml:space="preserve">&amp;C&amp;"Arial,Regular"&amp;10Schedule 5 ROR-2
Return and Capitalization
(TO2018 Wildfire Adj)&amp;R&amp;"Arial,Regular"&amp;10TO2021 Annual Update
Attachment 4
WP-Schedule 3-One Time Adjustment Transition
Page &amp;P of &amp;N
</oddHeader>
    <oddFooter>&amp;R5-ROR-2</oddFooter>
  </headerFooter>
  <rowBreaks count="1" manualBreakCount="1">
    <brk id="41" max="1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A3D34-F835-467B-97C3-F384D934507B}">
  <sheetPr codeName="Sheet6">
    <tabColor rgb="FFCCECFF"/>
  </sheetPr>
  <dimension ref="A1:J188"/>
  <sheetViews>
    <sheetView zoomScaleNormal="100" zoomScaleSheetLayoutView="80" zoomScalePageLayoutView="80" workbookViewId="0"/>
  </sheetViews>
  <sheetFormatPr defaultRowHeight="13" x14ac:dyDescent="0.3"/>
  <cols>
    <col min="1" max="1" width="9.54296875" style="160" customWidth="1"/>
    <col min="2" max="2" width="9.54296875" style="183" customWidth="1"/>
    <col min="3" max="3" width="55" style="183" customWidth="1"/>
    <col min="4" max="4" width="15.54296875" style="183" customWidth="1"/>
    <col min="5" max="5" width="16.54296875" style="183" customWidth="1"/>
    <col min="6" max="6" width="15.54296875" style="183" customWidth="1"/>
    <col min="7" max="7" width="16.54296875" style="183" customWidth="1"/>
    <col min="8" max="8" width="15.54296875" style="183" customWidth="1"/>
    <col min="9" max="9" width="16.453125" style="183" bestFit="1" customWidth="1"/>
    <col min="10" max="10" width="33.54296875" style="183" customWidth="1"/>
    <col min="11" max="16384" width="8.7265625" style="160"/>
  </cols>
  <sheetData>
    <row r="1" spans="1:10" x14ac:dyDescent="0.3">
      <c r="A1" s="159" t="s">
        <v>340</v>
      </c>
      <c r="B1" s="182"/>
      <c r="C1" s="182"/>
      <c r="D1" s="182"/>
      <c r="E1" s="182"/>
      <c r="F1" s="174" t="s">
        <v>217</v>
      </c>
      <c r="G1" s="174"/>
      <c r="H1" s="182"/>
      <c r="I1" s="182"/>
      <c r="J1" s="182"/>
    </row>
    <row r="2" spans="1:10" x14ac:dyDescent="0.3">
      <c r="A2" s="182"/>
      <c r="B2" s="54"/>
      <c r="C2" s="50"/>
      <c r="D2" s="50"/>
      <c r="E2" s="182"/>
      <c r="F2" s="182"/>
      <c r="G2" s="182"/>
      <c r="H2" s="182"/>
      <c r="I2" s="182"/>
      <c r="J2" s="182"/>
    </row>
    <row r="3" spans="1:10" x14ac:dyDescent="0.3">
      <c r="A3" s="182"/>
      <c r="B3" s="54" t="s">
        <v>341</v>
      </c>
      <c r="C3" s="50"/>
      <c r="D3" s="50"/>
      <c r="E3" s="182"/>
      <c r="F3" s="182"/>
      <c r="G3" s="182"/>
      <c r="H3" s="182"/>
      <c r="I3" s="182"/>
      <c r="J3" s="182"/>
    </row>
    <row r="4" spans="1:10" x14ac:dyDescent="0.3">
      <c r="A4" s="182"/>
      <c r="B4" s="54"/>
      <c r="C4" s="50"/>
      <c r="D4" s="50"/>
      <c r="E4" s="182"/>
      <c r="F4" s="182"/>
      <c r="G4" s="182"/>
      <c r="H4" s="182"/>
      <c r="I4" s="182"/>
      <c r="J4" s="182"/>
    </row>
    <row r="5" spans="1:10" x14ac:dyDescent="0.3">
      <c r="A5" s="182"/>
      <c r="B5" s="55" t="s">
        <v>342</v>
      </c>
      <c r="C5" s="50"/>
      <c r="D5" s="50"/>
      <c r="E5" s="182"/>
      <c r="F5" s="182"/>
      <c r="G5" s="182"/>
      <c r="H5" s="182"/>
      <c r="I5" s="182"/>
      <c r="J5" s="182"/>
    </row>
    <row r="6" spans="1:10" x14ac:dyDescent="0.3">
      <c r="A6" s="182"/>
      <c r="B6" s="54"/>
      <c r="C6" s="176" t="s">
        <v>12</v>
      </c>
      <c r="D6" s="176" t="s">
        <v>343</v>
      </c>
      <c r="E6" s="182"/>
      <c r="I6" s="182"/>
      <c r="J6" s="182"/>
    </row>
    <row r="7" spans="1:10" x14ac:dyDescent="0.3">
      <c r="A7" s="182"/>
      <c r="C7" s="50"/>
      <c r="D7" s="182"/>
      <c r="E7" s="182"/>
      <c r="I7" s="182"/>
      <c r="J7" s="182"/>
    </row>
    <row r="8" spans="1:10" x14ac:dyDescent="0.3">
      <c r="A8" s="182"/>
      <c r="B8" s="54"/>
      <c r="C8" s="182"/>
      <c r="D8" s="161" t="s">
        <v>344</v>
      </c>
      <c r="J8" s="182"/>
    </row>
    <row r="9" spans="1:10" x14ac:dyDescent="0.3">
      <c r="A9" s="162" t="s">
        <v>22</v>
      </c>
      <c r="B9" s="54"/>
      <c r="C9" s="184" t="s">
        <v>345</v>
      </c>
      <c r="D9" s="164" t="s">
        <v>346</v>
      </c>
      <c r="E9" s="185" t="s">
        <v>98</v>
      </c>
      <c r="J9" s="182"/>
    </row>
    <row r="10" spans="1:10" ht="14.5" x14ac:dyDescent="0.35">
      <c r="A10" s="186">
        <v>1</v>
      </c>
      <c r="B10" s="54"/>
      <c r="C10" s="167" t="s">
        <v>347</v>
      </c>
      <c r="D10" s="170">
        <f>+D71</f>
        <v>117755457.11550149</v>
      </c>
      <c r="E10" s="168" t="str">
        <f>"Line "&amp;A71&amp;", Col. 2"</f>
        <v>Line 353, Col. 2</v>
      </c>
      <c r="J10" s="182"/>
    </row>
    <row r="11" spans="1:10" x14ac:dyDescent="0.3">
      <c r="A11" s="161">
        <f>A10+1</f>
        <v>2</v>
      </c>
      <c r="B11" s="54"/>
      <c r="C11" s="167" t="s">
        <v>348</v>
      </c>
      <c r="D11" s="170">
        <f>+D91</f>
        <v>-1188810901.2409992</v>
      </c>
      <c r="E11" s="168" t="str">
        <f>"Line "&amp;A91&amp;", Col. 2"</f>
        <v>Line 452, Col. 2</v>
      </c>
      <c r="J11" s="182"/>
    </row>
    <row r="12" spans="1:10" x14ac:dyDescent="0.3">
      <c r="A12" s="161">
        <f t="shared" ref="A12:A24" si="0">A11+1</f>
        <v>3</v>
      </c>
      <c r="B12" s="54"/>
      <c r="C12" s="167" t="s">
        <v>349</v>
      </c>
      <c r="D12" s="170">
        <f>+D131</f>
        <v>-14941597.497067939</v>
      </c>
      <c r="E12" s="168" t="str">
        <f>"Line "&amp;A131&amp;", Col. 2"</f>
        <v>Line 803, Col. 2</v>
      </c>
      <c r="I12" s="187"/>
      <c r="J12" s="182"/>
    </row>
    <row r="13" spans="1:10" x14ac:dyDescent="0.3">
      <c r="A13" s="161">
        <f t="shared" si="0"/>
        <v>4</v>
      </c>
      <c r="B13" s="54"/>
      <c r="C13" s="167" t="s">
        <v>350</v>
      </c>
      <c r="D13" s="56">
        <f>-637169884+101819399</f>
        <v>-535350485</v>
      </c>
      <c r="E13" s="168" t="s">
        <v>351</v>
      </c>
      <c r="I13" s="187"/>
      <c r="J13" s="182"/>
    </row>
    <row r="14" spans="1:10" x14ac:dyDescent="0.3">
      <c r="A14" s="161">
        <f t="shared" si="0"/>
        <v>5</v>
      </c>
      <c r="B14" s="54"/>
      <c r="C14" s="167" t="s">
        <v>352</v>
      </c>
      <c r="D14" s="188">
        <f>SUM(D10:D13)</f>
        <v>-1621347526.6225657</v>
      </c>
      <c r="E14" s="189" t="str">
        <f>"Sum of Lines "&amp;A10&amp;" to "&amp;A13&amp;""</f>
        <v>Sum of Lines 1 to 4</v>
      </c>
      <c r="J14" s="182"/>
    </row>
    <row r="15" spans="1:10" x14ac:dyDescent="0.3">
      <c r="A15" s="161">
        <f t="shared" si="0"/>
        <v>6</v>
      </c>
      <c r="B15" s="54"/>
      <c r="C15" s="168" t="s">
        <v>353</v>
      </c>
      <c r="D15" s="182"/>
      <c r="E15" s="182"/>
      <c r="G15" s="190"/>
      <c r="H15" s="191"/>
      <c r="I15" s="182"/>
      <c r="J15" s="182"/>
    </row>
    <row r="16" spans="1:10" x14ac:dyDescent="0.3">
      <c r="A16" s="161">
        <f t="shared" si="0"/>
        <v>7</v>
      </c>
      <c r="B16" s="55" t="s">
        <v>354</v>
      </c>
      <c r="E16" s="182"/>
      <c r="G16" s="187"/>
      <c r="H16" s="192"/>
      <c r="I16" s="187"/>
      <c r="J16" s="182"/>
    </row>
    <row r="17" spans="1:10" x14ac:dyDescent="0.3">
      <c r="A17" s="161">
        <f t="shared" si="0"/>
        <v>8</v>
      </c>
      <c r="B17" s="55"/>
      <c r="D17" s="161" t="s">
        <v>355</v>
      </c>
      <c r="E17" s="182"/>
      <c r="G17" s="187"/>
      <c r="H17" s="192"/>
      <c r="I17" s="187"/>
      <c r="J17" s="182"/>
    </row>
    <row r="18" spans="1:10" x14ac:dyDescent="0.3">
      <c r="A18" s="161">
        <f t="shared" si="0"/>
        <v>9</v>
      </c>
      <c r="B18" s="54"/>
      <c r="D18" s="164" t="s">
        <v>346</v>
      </c>
      <c r="E18" s="185" t="s">
        <v>98</v>
      </c>
      <c r="G18" s="193"/>
      <c r="H18" s="187"/>
      <c r="I18" s="187"/>
      <c r="J18" s="182"/>
    </row>
    <row r="19" spans="1:10" x14ac:dyDescent="0.3">
      <c r="A19" s="161">
        <f t="shared" si="0"/>
        <v>10</v>
      </c>
      <c r="B19" s="54"/>
      <c r="C19" s="167" t="s">
        <v>352</v>
      </c>
      <c r="D19" s="181">
        <v>-1642932131</v>
      </c>
      <c r="E19" s="168" t="str">
        <f>"Previous Year Informational Filing, Line "&amp;A14&amp;", Col. 2"</f>
        <v>Previous Year Informational Filing, Line 5, Col. 2</v>
      </c>
      <c r="G19" s="194"/>
      <c r="H19" s="187"/>
      <c r="I19" s="187"/>
    </row>
    <row r="20" spans="1:10" x14ac:dyDescent="0.3">
      <c r="A20" s="161">
        <f t="shared" si="0"/>
        <v>11</v>
      </c>
      <c r="B20" s="54"/>
      <c r="D20" s="182"/>
      <c r="E20" s="182"/>
      <c r="F20" s="187"/>
      <c r="G20" s="187"/>
      <c r="H20" s="187"/>
      <c r="I20" s="187"/>
      <c r="J20" s="182"/>
    </row>
    <row r="21" spans="1:10" x14ac:dyDescent="0.3">
      <c r="A21" s="161">
        <f t="shared" si="0"/>
        <v>12</v>
      </c>
      <c r="B21" s="55" t="s">
        <v>356</v>
      </c>
      <c r="D21" s="182"/>
      <c r="E21" s="182"/>
      <c r="F21" s="187"/>
      <c r="G21" s="187"/>
      <c r="H21" s="187"/>
      <c r="I21" s="187"/>
      <c r="J21" s="182"/>
    </row>
    <row r="22" spans="1:10" x14ac:dyDescent="0.3">
      <c r="A22" s="161">
        <f t="shared" si="0"/>
        <v>13</v>
      </c>
      <c r="B22" s="50"/>
      <c r="C22" s="58"/>
      <c r="D22" s="59" t="s">
        <v>357</v>
      </c>
      <c r="E22" s="182"/>
      <c r="F22" s="182"/>
      <c r="G22" s="182"/>
      <c r="H22" s="182"/>
      <c r="I22" s="182"/>
      <c r="J22" s="182"/>
    </row>
    <row r="23" spans="1:10" x14ac:dyDescent="0.3">
      <c r="A23" s="161">
        <f t="shared" si="0"/>
        <v>14</v>
      </c>
      <c r="B23" s="50"/>
      <c r="D23" s="164" t="s">
        <v>346</v>
      </c>
      <c r="E23" s="185" t="s">
        <v>98</v>
      </c>
      <c r="F23" s="182"/>
      <c r="G23" s="193"/>
      <c r="H23" s="182"/>
      <c r="I23" s="182"/>
      <c r="J23" s="182"/>
    </row>
    <row r="24" spans="1:10" x14ac:dyDescent="0.3">
      <c r="A24" s="161">
        <f t="shared" si="0"/>
        <v>15</v>
      </c>
      <c r="B24" s="50"/>
      <c r="C24" s="60" t="s">
        <v>358</v>
      </c>
      <c r="D24" s="61">
        <f>J155</f>
        <v>-1632992371.4042728</v>
      </c>
      <c r="E24" s="168" t="s">
        <v>359</v>
      </c>
      <c r="F24" s="182"/>
      <c r="G24" s="187"/>
      <c r="H24" s="182"/>
      <c r="I24" s="182"/>
      <c r="J24" s="182"/>
    </row>
    <row r="25" spans="1:10" x14ac:dyDescent="0.3">
      <c r="A25" s="161"/>
      <c r="B25" s="50"/>
      <c r="C25" s="58"/>
      <c r="D25" s="62"/>
      <c r="E25" s="182"/>
      <c r="F25" s="182"/>
      <c r="G25" s="182"/>
      <c r="H25" s="182"/>
      <c r="I25" s="182"/>
      <c r="J25" s="182"/>
    </row>
    <row r="26" spans="1:10" x14ac:dyDescent="0.3">
      <c r="A26" s="161"/>
      <c r="B26" s="54" t="s">
        <v>360</v>
      </c>
      <c r="C26" s="58"/>
      <c r="D26" s="62"/>
      <c r="E26" s="182"/>
      <c r="F26" s="182"/>
      <c r="G26" s="182"/>
      <c r="H26" s="182"/>
      <c r="I26" s="182"/>
      <c r="J26" s="182"/>
    </row>
    <row r="27" spans="1:10" x14ac:dyDescent="0.3">
      <c r="A27" s="161"/>
      <c r="B27" s="54"/>
      <c r="C27" s="176" t="s">
        <v>12</v>
      </c>
      <c r="D27" s="176" t="s">
        <v>343</v>
      </c>
      <c r="E27" s="176" t="s">
        <v>361</v>
      </c>
      <c r="F27" s="176" t="s">
        <v>13</v>
      </c>
      <c r="G27" s="176" t="s">
        <v>362</v>
      </c>
      <c r="H27" s="176" t="s">
        <v>363</v>
      </c>
      <c r="I27" s="176" t="s">
        <v>364</v>
      </c>
      <c r="J27" s="182"/>
    </row>
    <row r="28" spans="1:10" x14ac:dyDescent="0.3">
      <c r="A28" s="167"/>
      <c r="B28" s="59"/>
      <c r="C28" s="59"/>
      <c r="D28" s="59" t="s">
        <v>365</v>
      </c>
      <c r="E28" s="59" t="s">
        <v>366</v>
      </c>
      <c r="F28" s="59"/>
      <c r="G28" s="59"/>
      <c r="H28" s="59" t="s">
        <v>367</v>
      </c>
      <c r="I28" s="195" t="s">
        <v>368</v>
      </c>
      <c r="J28" s="182"/>
    </row>
    <row r="29" spans="1:10" x14ac:dyDescent="0.3">
      <c r="A29" s="167"/>
      <c r="B29" s="63" t="s">
        <v>369</v>
      </c>
      <c r="C29" s="63" t="s">
        <v>370</v>
      </c>
      <c r="D29" s="63" t="s">
        <v>371</v>
      </c>
      <c r="E29" s="63" t="s">
        <v>372</v>
      </c>
      <c r="F29" s="63" t="s">
        <v>373</v>
      </c>
      <c r="G29" s="63" t="s">
        <v>374</v>
      </c>
      <c r="H29" s="63" t="s">
        <v>375</v>
      </c>
      <c r="I29" s="63" t="s">
        <v>95</v>
      </c>
      <c r="J29" s="182"/>
    </row>
    <row r="30" spans="1:10" x14ac:dyDescent="0.3">
      <c r="A30" s="161"/>
      <c r="B30" s="50" t="s">
        <v>376</v>
      </c>
      <c r="C30" s="50"/>
      <c r="D30" s="50"/>
      <c r="E30" s="182"/>
      <c r="F30" s="182"/>
      <c r="G30" s="182"/>
      <c r="H30" s="182"/>
      <c r="I30" s="182"/>
      <c r="J30" s="182"/>
    </row>
    <row r="31" spans="1:10" x14ac:dyDescent="0.3">
      <c r="A31" s="196">
        <f>100</f>
        <v>100</v>
      </c>
      <c r="B31" s="64">
        <v>190</v>
      </c>
      <c r="C31" s="65" t="s">
        <v>377</v>
      </c>
      <c r="D31" s="66">
        <v>539259.8899999999</v>
      </c>
      <c r="E31" s="67">
        <f>D31*$G$178</f>
        <v>483.73571206760488</v>
      </c>
      <c r="F31" s="197"/>
      <c r="G31" s="67">
        <f>D31-E31</f>
        <v>538776.15428793232</v>
      </c>
      <c r="H31" s="67"/>
      <c r="I31" s="53" t="s">
        <v>378</v>
      </c>
      <c r="J31" s="174"/>
    </row>
    <row r="32" spans="1:10" x14ac:dyDescent="0.3">
      <c r="A32" s="196">
        <f t="shared" ref="A32:A46" si="1">A31+1</f>
        <v>101</v>
      </c>
      <c r="B32" s="64">
        <v>190</v>
      </c>
      <c r="C32" s="65" t="s">
        <v>379</v>
      </c>
      <c r="D32" s="66">
        <v>1227871.1299999999</v>
      </c>
      <c r="E32" s="67">
        <f>D32*$G$170</f>
        <v>4300.652896665576</v>
      </c>
      <c r="F32" s="197"/>
      <c r="G32" s="67"/>
      <c r="H32" s="67">
        <f>D32-E32</f>
        <v>1223570.4771033344</v>
      </c>
      <c r="I32" s="53" t="s">
        <v>380</v>
      </c>
      <c r="J32" s="174"/>
    </row>
    <row r="33" spans="1:10" x14ac:dyDescent="0.3">
      <c r="A33" s="196">
        <f t="shared" si="1"/>
        <v>102</v>
      </c>
      <c r="B33" s="64">
        <v>190</v>
      </c>
      <c r="C33" s="65" t="s">
        <v>381</v>
      </c>
      <c r="D33" s="66">
        <v>719009.04</v>
      </c>
      <c r="E33" s="67">
        <f>D33*$G$178</f>
        <v>644.97722971282928</v>
      </c>
      <c r="F33" s="197"/>
      <c r="G33" s="67">
        <f>D33-E33</f>
        <v>718364.06277028716</v>
      </c>
      <c r="H33" s="67"/>
      <c r="I33" s="53" t="s">
        <v>378</v>
      </c>
      <c r="J33" s="174"/>
    </row>
    <row r="34" spans="1:10" x14ac:dyDescent="0.3">
      <c r="A34" s="196">
        <f t="shared" si="1"/>
        <v>103</v>
      </c>
      <c r="B34" s="64">
        <v>190</v>
      </c>
      <c r="C34" s="65" t="s">
        <v>382</v>
      </c>
      <c r="D34" s="66">
        <v>1264408.98</v>
      </c>
      <c r="E34" s="67">
        <f>D34*$G$170</f>
        <v>4428.627735882158</v>
      </c>
      <c r="F34" s="67"/>
      <c r="G34" s="67"/>
      <c r="H34" s="67">
        <f>D34-E34</f>
        <v>1259980.3522641179</v>
      </c>
      <c r="I34" s="53" t="s">
        <v>380</v>
      </c>
      <c r="J34" s="174"/>
    </row>
    <row r="35" spans="1:10" x14ac:dyDescent="0.3">
      <c r="A35" s="196">
        <f t="shared" si="1"/>
        <v>104</v>
      </c>
      <c r="B35" s="64">
        <v>190</v>
      </c>
      <c r="C35" s="65" t="s">
        <v>383</v>
      </c>
      <c r="D35" s="66">
        <v>28272451.09</v>
      </c>
      <c r="E35" s="67">
        <f>D35*$G$170</f>
        <v>99025.0488876991</v>
      </c>
      <c r="F35" s="197"/>
      <c r="G35" s="67"/>
      <c r="H35" s="67">
        <f>D35-E35</f>
        <v>28173426.0411123</v>
      </c>
      <c r="I35" s="53" t="s">
        <v>380</v>
      </c>
      <c r="J35" s="174"/>
    </row>
    <row r="36" spans="1:10" ht="12.75" customHeight="1" x14ac:dyDescent="0.3">
      <c r="A36" s="196">
        <f t="shared" si="1"/>
        <v>105</v>
      </c>
      <c r="B36" s="64">
        <v>190</v>
      </c>
      <c r="C36" s="65" t="s">
        <v>384</v>
      </c>
      <c r="D36" s="66">
        <v>13313776.199999999</v>
      </c>
      <c r="E36" s="67">
        <f>D36*$G$170</f>
        <v>46631.87266247331</v>
      </c>
      <c r="F36" s="197"/>
      <c r="G36" s="67"/>
      <c r="H36" s="67">
        <f>D36-E36</f>
        <v>13267144.327337526</v>
      </c>
      <c r="I36" s="53" t="s">
        <v>380</v>
      </c>
      <c r="J36" s="174"/>
    </row>
    <row r="37" spans="1:10" x14ac:dyDescent="0.3">
      <c r="A37" s="196">
        <f t="shared" si="1"/>
        <v>106</v>
      </c>
      <c r="B37" s="64">
        <v>190</v>
      </c>
      <c r="C37" s="65" t="s">
        <v>385</v>
      </c>
      <c r="D37" s="66">
        <v>815253.11999999988</v>
      </c>
      <c r="E37" s="67">
        <f>D37*$G$178</f>
        <v>731.31166591777583</v>
      </c>
      <c r="F37" s="197"/>
      <c r="G37" s="67">
        <f>D37-E37</f>
        <v>814521.80833408213</v>
      </c>
      <c r="H37" s="67"/>
      <c r="I37" s="53" t="s">
        <v>378</v>
      </c>
      <c r="J37" s="174"/>
    </row>
    <row r="38" spans="1:10" ht="13.5" thickBot="1" x14ac:dyDescent="0.35">
      <c r="A38" s="196">
        <f t="shared" si="1"/>
        <v>107</v>
      </c>
      <c r="B38" s="64">
        <v>190</v>
      </c>
      <c r="C38" s="65" t="s">
        <v>672</v>
      </c>
      <c r="D38" s="66">
        <f>818771165.09-D39</f>
        <v>814158069.09000003</v>
      </c>
      <c r="E38" s="67">
        <f>D38*$G$170</f>
        <v>2851611.3561327574</v>
      </c>
      <c r="F38" s="197"/>
      <c r="G38" s="67"/>
      <c r="H38" s="67">
        <f>D38-E38</f>
        <v>811306457.73386729</v>
      </c>
      <c r="I38" s="53" t="s">
        <v>380</v>
      </c>
      <c r="J38" s="174"/>
    </row>
    <row r="39" spans="1:10" ht="13.5" thickBot="1" x14ac:dyDescent="0.35">
      <c r="A39" s="198" t="s">
        <v>671</v>
      </c>
      <c r="B39" s="68">
        <v>190</v>
      </c>
      <c r="C39" s="69" t="s">
        <v>386</v>
      </c>
      <c r="D39" s="70">
        <v>4613096</v>
      </c>
      <c r="E39" s="71">
        <f>+D39</f>
        <v>4613096</v>
      </c>
      <c r="F39" s="199"/>
      <c r="G39" s="71"/>
      <c r="H39" s="71"/>
      <c r="I39" s="72" t="s">
        <v>387</v>
      </c>
      <c r="J39" s="200"/>
    </row>
    <row r="40" spans="1:10" x14ac:dyDescent="0.3">
      <c r="A40" s="196">
        <f>A38+1</f>
        <v>108</v>
      </c>
      <c r="B40" s="64">
        <v>190</v>
      </c>
      <c r="C40" s="65" t="s">
        <v>388</v>
      </c>
      <c r="D40" s="66">
        <v>466893648.7299999</v>
      </c>
      <c r="E40" s="67">
        <f>+D40</f>
        <v>466893648.7299999</v>
      </c>
      <c r="F40" s="197"/>
      <c r="G40" s="67"/>
      <c r="H40" s="67"/>
      <c r="I40" s="53" t="s">
        <v>389</v>
      </c>
      <c r="J40" s="174"/>
    </row>
    <row r="41" spans="1:10" x14ac:dyDescent="0.3">
      <c r="A41" s="196">
        <f t="shared" si="1"/>
        <v>109</v>
      </c>
      <c r="B41" s="64">
        <v>190</v>
      </c>
      <c r="C41" s="65" t="s">
        <v>390</v>
      </c>
      <c r="D41" s="66">
        <v>-0.27999999970896172</v>
      </c>
      <c r="E41" s="67">
        <f>+D41</f>
        <v>-0.27999999970896172</v>
      </c>
      <c r="F41" s="197"/>
      <c r="G41" s="67"/>
      <c r="H41" s="67"/>
      <c r="I41" s="53" t="s">
        <v>391</v>
      </c>
      <c r="J41" s="174"/>
    </row>
    <row r="42" spans="1:10" x14ac:dyDescent="0.3">
      <c r="A42" s="196">
        <f t="shared" si="1"/>
        <v>110</v>
      </c>
      <c r="B42" s="64">
        <v>190</v>
      </c>
      <c r="C42" s="65" t="s">
        <v>392</v>
      </c>
      <c r="D42" s="66">
        <v>37050590.980000004</v>
      </c>
      <c r="E42" s="67">
        <f>D42*$G$170</f>
        <v>129770.72880710903</v>
      </c>
      <c r="F42" s="181"/>
      <c r="G42" s="67"/>
      <c r="H42" s="67">
        <f>D42-E42</f>
        <v>36920820.251192898</v>
      </c>
      <c r="I42" s="53" t="s">
        <v>380</v>
      </c>
      <c r="J42" s="201"/>
    </row>
    <row r="43" spans="1:10" x14ac:dyDescent="0.3">
      <c r="A43" s="196">
        <f t="shared" si="1"/>
        <v>111</v>
      </c>
      <c r="B43" s="64">
        <v>190</v>
      </c>
      <c r="C43" s="65" t="s">
        <v>393</v>
      </c>
      <c r="D43" s="66">
        <v>751622201.74000013</v>
      </c>
      <c r="E43" s="67">
        <f>+D43</f>
        <v>751622201.74000013</v>
      </c>
      <c r="F43" s="197"/>
      <c r="G43" s="67"/>
      <c r="H43" s="67"/>
      <c r="I43" s="73" t="s">
        <v>394</v>
      </c>
      <c r="J43" s="174"/>
    </row>
    <row r="44" spans="1:10" x14ac:dyDescent="0.3">
      <c r="A44" s="196">
        <f t="shared" si="1"/>
        <v>112</v>
      </c>
      <c r="B44" s="64">
        <v>190</v>
      </c>
      <c r="C44" s="65" t="s">
        <v>395</v>
      </c>
      <c r="D44" s="66">
        <v>57713.380000010075</v>
      </c>
      <c r="E44" s="67">
        <f>+D44</f>
        <v>57713.380000010075</v>
      </c>
      <c r="F44" s="197"/>
      <c r="G44" s="67"/>
      <c r="H44" s="197"/>
      <c r="I44" s="53" t="s">
        <v>396</v>
      </c>
      <c r="J44" s="174"/>
    </row>
    <row r="45" spans="1:10" x14ac:dyDescent="0.3">
      <c r="A45" s="196">
        <f t="shared" si="1"/>
        <v>113</v>
      </c>
      <c r="B45" s="64">
        <v>190</v>
      </c>
      <c r="C45" s="65" t="s">
        <v>397</v>
      </c>
      <c r="D45" s="66">
        <v>-70476891.759999961</v>
      </c>
      <c r="E45" s="67">
        <f>+D45</f>
        <v>-70476891.759999961</v>
      </c>
      <c r="F45" s="197"/>
      <c r="G45" s="67"/>
      <c r="H45" s="197"/>
      <c r="I45" s="53" t="s">
        <v>398</v>
      </c>
      <c r="J45" s="174"/>
    </row>
    <row r="46" spans="1:10" x14ac:dyDescent="0.3">
      <c r="A46" s="196">
        <f t="shared" si="1"/>
        <v>114</v>
      </c>
      <c r="B46" s="64">
        <v>190</v>
      </c>
      <c r="C46" s="65" t="s">
        <v>399</v>
      </c>
      <c r="D46" s="66">
        <v>314760292.12</v>
      </c>
      <c r="E46" s="67"/>
      <c r="F46" s="197"/>
      <c r="G46" s="67">
        <f>D46-E46</f>
        <v>314760292.12</v>
      </c>
      <c r="H46" s="197"/>
      <c r="I46" s="53" t="s">
        <v>400</v>
      </c>
      <c r="J46" s="174"/>
    </row>
    <row r="47" spans="1:10" x14ac:dyDescent="0.3">
      <c r="A47" s="161"/>
      <c r="B47" s="74"/>
      <c r="C47" s="50"/>
      <c r="D47" s="75"/>
      <c r="E47" s="177"/>
      <c r="F47" s="177"/>
      <c r="G47" s="177"/>
      <c r="H47" s="177"/>
      <c r="I47" s="182"/>
      <c r="J47" s="182"/>
    </row>
    <row r="48" spans="1:10" x14ac:dyDescent="0.3">
      <c r="A48" s="161"/>
      <c r="B48" s="54" t="s">
        <v>401</v>
      </c>
      <c r="C48" s="58"/>
      <c r="D48" s="62"/>
      <c r="E48" s="182"/>
      <c r="F48" s="182"/>
      <c r="G48" s="182"/>
      <c r="H48" s="182"/>
      <c r="I48" s="182"/>
      <c r="J48" s="182"/>
    </row>
    <row r="49" spans="1:10" x14ac:dyDescent="0.3">
      <c r="A49" s="161"/>
      <c r="B49" s="54"/>
      <c r="C49" s="176" t="s">
        <v>12</v>
      </c>
      <c r="D49" s="176" t="s">
        <v>343</v>
      </c>
      <c r="E49" s="176" t="s">
        <v>361</v>
      </c>
      <c r="F49" s="176" t="s">
        <v>13</v>
      </c>
      <c r="G49" s="176" t="s">
        <v>362</v>
      </c>
      <c r="H49" s="176" t="s">
        <v>363</v>
      </c>
      <c r="I49" s="176" t="s">
        <v>364</v>
      </c>
      <c r="J49" s="182"/>
    </row>
    <row r="50" spans="1:10" x14ac:dyDescent="0.3">
      <c r="A50" s="161"/>
      <c r="B50" s="59"/>
      <c r="C50" s="59"/>
      <c r="D50" s="59" t="s">
        <v>365</v>
      </c>
      <c r="E50" s="59" t="s">
        <v>366</v>
      </c>
      <c r="F50" s="59"/>
      <c r="G50" s="59"/>
      <c r="H50" s="59"/>
      <c r="I50" s="195" t="s">
        <v>368</v>
      </c>
      <c r="J50" s="182"/>
    </row>
    <row r="51" spans="1:10" x14ac:dyDescent="0.3">
      <c r="A51" s="161"/>
      <c r="B51" s="63" t="s">
        <v>369</v>
      </c>
      <c r="C51" s="63" t="s">
        <v>370</v>
      </c>
      <c r="D51" s="63" t="s">
        <v>371</v>
      </c>
      <c r="E51" s="63" t="s">
        <v>372</v>
      </c>
      <c r="F51" s="63" t="s">
        <v>373</v>
      </c>
      <c r="G51" s="63" t="s">
        <v>374</v>
      </c>
      <c r="H51" s="63" t="s">
        <v>402</v>
      </c>
      <c r="I51" s="63" t="s">
        <v>95</v>
      </c>
      <c r="J51" s="177"/>
    </row>
    <row r="52" spans="1:10" x14ac:dyDescent="0.3">
      <c r="A52" s="161"/>
      <c r="B52" s="50" t="s">
        <v>376</v>
      </c>
      <c r="C52" s="50"/>
      <c r="D52" s="50"/>
      <c r="E52" s="182"/>
      <c r="F52" s="182"/>
      <c r="G52" s="182"/>
      <c r="H52" s="182"/>
      <c r="I52" s="182"/>
      <c r="J52" s="182"/>
    </row>
    <row r="53" spans="1:10" x14ac:dyDescent="0.3">
      <c r="A53" s="196">
        <v>115</v>
      </c>
      <c r="B53" s="64" t="s">
        <v>403</v>
      </c>
      <c r="C53" s="65"/>
      <c r="D53" s="66"/>
      <c r="E53" s="197"/>
      <c r="F53" s="197"/>
      <c r="G53" s="197"/>
      <c r="H53" s="197"/>
      <c r="I53" s="174"/>
      <c r="J53" s="174"/>
    </row>
    <row r="54" spans="1:10" x14ac:dyDescent="0.3">
      <c r="A54" s="161"/>
      <c r="B54" s="76"/>
      <c r="C54" s="50"/>
      <c r="D54" s="75"/>
      <c r="E54" s="177"/>
      <c r="F54" s="177"/>
      <c r="G54" s="177"/>
      <c r="H54" s="177"/>
      <c r="I54" s="185" t="s">
        <v>98</v>
      </c>
      <c r="J54" s="182"/>
    </row>
    <row r="55" spans="1:10" x14ac:dyDescent="0.3">
      <c r="A55" s="161">
        <v>250</v>
      </c>
      <c r="B55" s="50"/>
      <c r="C55" s="50" t="s">
        <v>404</v>
      </c>
      <c r="D55" s="77">
        <f>SUM(D31:D46)+SUM(D53:D53)</f>
        <v>2364830749.4500003</v>
      </c>
      <c r="E55" s="77">
        <f>SUM(E31:E46)+SUM(E53:E53)</f>
        <v>1155847396.1217306</v>
      </c>
      <c r="F55" s="78">
        <f>SUM(F31:F46)+SUM(F53:F53)</f>
        <v>0</v>
      </c>
      <c r="G55" s="78">
        <f>SUM(G31:G46)+SUM(G53:G53)</f>
        <v>316831954.1453923</v>
      </c>
      <c r="H55" s="78">
        <f>SUM(H31:H46)+SUM(H53:H53)</f>
        <v>892151399.18287754</v>
      </c>
      <c r="I55" s="191" t="str">
        <f>"Sum of Above Lines beginning on Line "&amp;A31&amp;""</f>
        <v>Sum of Above Lines beginning on Line 100</v>
      </c>
      <c r="J55" s="182"/>
    </row>
    <row r="56" spans="1:10" x14ac:dyDescent="0.3">
      <c r="A56" s="161"/>
      <c r="B56" s="50"/>
      <c r="C56" s="50"/>
      <c r="D56" s="79"/>
      <c r="E56" s="177"/>
      <c r="F56" s="177"/>
      <c r="G56" s="177"/>
      <c r="H56" s="177"/>
      <c r="I56" s="182"/>
      <c r="J56" s="182"/>
    </row>
    <row r="57" spans="1:10" x14ac:dyDescent="0.3">
      <c r="A57" s="161"/>
      <c r="B57" s="50" t="s">
        <v>405</v>
      </c>
      <c r="C57" s="50"/>
      <c r="D57" s="79"/>
      <c r="E57" s="177"/>
      <c r="F57" s="177"/>
      <c r="G57" s="177"/>
      <c r="H57" s="177"/>
      <c r="I57" s="195" t="s">
        <v>368</v>
      </c>
      <c r="J57" s="182"/>
    </row>
    <row r="58" spans="1:10" x14ac:dyDescent="0.3">
      <c r="A58" s="161"/>
      <c r="C58" s="176" t="s">
        <v>12</v>
      </c>
      <c r="D58" s="176" t="s">
        <v>343</v>
      </c>
      <c r="E58" s="176" t="s">
        <v>361</v>
      </c>
      <c r="F58" s="176" t="s">
        <v>13</v>
      </c>
      <c r="G58" s="176" t="s">
        <v>362</v>
      </c>
      <c r="H58" s="176" t="s">
        <v>363</v>
      </c>
      <c r="I58" s="176" t="s">
        <v>364</v>
      </c>
      <c r="J58" s="182"/>
    </row>
    <row r="59" spans="1:10" x14ac:dyDescent="0.3">
      <c r="A59" s="196">
        <v>300</v>
      </c>
      <c r="B59" s="64">
        <v>190</v>
      </c>
      <c r="C59" s="65" t="s">
        <v>406</v>
      </c>
      <c r="D59" s="66">
        <v>-3401</v>
      </c>
      <c r="E59" s="67">
        <f>D59</f>
        <v>-3401</v>
      </c>
      <c r="F59" s="67"/>
      <c r="G59" s="67"/>
      <c r="H59" s="67"/>
      <c r="I59" s="53" t="s">
        <v>407</v>
      </c>
      <c r="J59" s="53"/>
    </row>
    <row r="60" spans="1:10" x14ac:dyDescent="0.3">
      <c r="A60" s="196">
        <f>A59+1</f>
        <v>301</v>
      </c>
      <c r="B60" s="64">
        <v>190</v>
      </c>
      <c r="C60" s="65" t="s">
        <v>408</v>
      </c>
      <c r="D60" s="66">
        <v>-1683831</v>
      </c>
      <c r="E60" s="67">
        <f>D60</f>
        <v>-1683831</v>
      </c>
      <c r="F60" s="67"/>
      <c r="G60" s="67"/>
      <c r="H60" s="67"/>
      <c r="I60" s="53" t="s">
        <v>409</v>
      </c>
      <c r="J60" s="53"/>
    </row>
    <row r="61" spans="1:10" x14ac:dyDescent="0.3">
      <c r="A61" s="196">
        <f>A60+1</f>
        <v>302</v>
      </c>
      <c r="B61" s="64">
        <v>190</v>
      </c>
      <c r="C61" s="65" t="s">
        <v>410</v>
      </c>
      <c r="D61" s="66">
        <v>898801</v>
      </c>
      <c r="E61" s="67">
        <f>D61</f>
        <v>898801</v>
      </c>
      <c r="F61" s="67"/>
      <c r="G61" s="67"/>
      <c r="H61" s="67"/>
      <c r="I61" s="53" t="s">
        <v>409</v>
      </c>
      <c r="J61" s="53"/>
    </row>
    <row r="62" spans="1:10" x14ac:dyDescent="0.3">
      <c r="A62" s="196">
        <v>303</v>
      </c>
      <c r="B62" s="64">
        <v>190</v>
      </c>
      <c r="C62" s="65" t="s">
        <v>411</v>
      </c>
      <c r="D62" s="66">
        <v>145793.81</v>
      </c>
      <c r="E62" s="67">
        <f t="shared" ref="E62:E63" si="2">D62</f>
        <v>145793.81</v>
      </c>
      <c r="F62" s="67"/>
      <c r="G62" s="67"/>
      <c r="H62" s="67"/>
      <c r="I62" s="53" t="s">
        <v>394</v>
      </c>
      <c r="J62" s="53"/>
    </row>
    <row r="63" spans="1:10" x14ac:dyDescent="0.3">
      <c r="A63" s="196">
        <v>304</v>
      </c>
      <c r="B63" s="64">
        <v>190</v>
      </c>
      <c r="C63" s="65" t="s">
        <v>412</v>
      </c>
      <c r="D63" s="66">
        <v>10334182.949999992</v>
      </c>
      <c r="E63" s="67">
        <f t="shared" si="2"/>
        <v>10334182.949999992</v>
      </c>
      <c r="F63" s="67"/>
      <c r="G63" s="67"/>
      <c r="H63" s="67"/>
      <c r="I63" s="53" t="s">
        <v>394</v>
      </c>
      <c r="J63" s="53"/>
    </row>
    <row r="64" spans="1:10" x14ac:dyDescent="0.3">
      <c r="A64" s="196">
        <v>305</v>
      </c>
      <c r="B64" s="64" t="s">
        <v>403</v>
      </c>
      <c r="C64" s="65"/>
      <c r="D64" s="66"/>
      <c r="E64" s="67"/>
      <c r="F64" s="67"/>
      <c r="G64" s="67"/>
      <c r="H64" s="67"/>
      <c r="I64" s="53"/>
      <c r="J64" s="53"/>
    </row>
    <row r="65" spans="1:10" x14ac:dyDescent="0.3">
      <c r="A65" s="161"/>
      <c r="B65" s="76"/>
      <c r="C65" s="50"/>
      <c r="D65" s="75"/>
      <c r="E65" s="177"/>
      <c r="F65" s="177"/>
      <c r="G65" s="177"/>
      <c r="H65" s="177"/>
      <c r="I65" s="182"/>
      <c r="J65" s="182"/>
    </row>
    <row r="66" spans="1:10" x14ac:dyDescent="0.3">
      <c r="A66" s="161"/>
      <c r="B66" s="76"/>
      <c r="C66" s="176" t="s">
        <v>12</v>
      </c>
      <c r="D66" s="176" t="s">
        <v>343</v>
      </c>
      <c r="E66" s="176" t="s">
        <v>361</v>
      </c>
      <c r="F66" s="176" t="s">
        <v>13</v>
      </c>
      <c r="G66" s="176" t="s">
        <v>362</v>
      </c>
      <c r="H66" s="176" t="s">
        <v>363</v>
      </c>
      <c r="I66" s="185" t="s">
        <v>98</v>
      </c>
      <c r="J66" s="182"/>
    </row>
    <row r="67" spans="1:10" x14ac:dyDescent="0.3">
      <c r="A67" s="161">
        <v>350</v>
      </c>
      <c r="B67" s="50"/>
      <c r="C67" s="50" t="s">
        <v>413</v>
      </c>
      <c r="D67" s="77">
        <f>SUM(D59:D64)</f>
        <v>9691545.7599999923</v>
      </c>
      <c r="E67" s="77">
        <f>SUM(E59:E64)</f>
        <v>9691545.7599999923</v>
      </c>
      <c r="F67" s="78">
        <f>SUM(F59:F64)</f>
        <v>0</v>
      </c>
      <c r="G67" s="78">
        <f>SUM(G59:G64)</f>
        <v>0</v>
      </c>
      <c r="H67" s="78">
        <f>SUM(H59:H64)</f>
        <v>0</v>
      </c>
      <c r="I67" s="191" t="str">
        <f>"Sum of Above Lines beginning on Line "&amp;A59&amp;""</f>
        <v>Sum of Above Lines beginning on Line 300</v>
      </c>
      <c r="J67" s="182"/>
    </row>
    <row r="68" spans="1:10" x14ac:dyDescent="0.3">
      <c r="A68" s="161"/>
      <c r="B68" s="50"/>
      <c r="C68" s="50"/>
      <c r="D68" s="78"/>
      <c r="E68" s="78"/>
      <c r="F68" s="78"/>
      <c r="G68" s="78"/>
      <c r="H68" s="78"/>
      <c r="I68" s="191"/>
      <c r="J68" s="182"/>
    </row>
    <row r="69" spans="1:10" x14ac:dyDescent="0.3">
      <c r="A69" s="161">
        <f>A67+1</f>
        <v>351</v>
      </c>
      <c r="B69" s="50"/>
      <c r="C69" s="50" t="s">
        <v>414</v>
      </c>
      <c r="D69" s="78">
        <f>+D67+D55</f>
        <v>2374522295.2100005</v>
      </c>
      <c r="E69" s="78">
        <f>+E67+E55</f>
        <v>1165538941.8817306</v>
      </c>
      <c r="F69" s="78">
        <f>+F67+F55</f>
        <v>0</v>
      </c>
      <c r="G69" s="78">
        <f>+G67+G55</f>
        <v>316831954.1453923</v>
      </c>
      <c r="H69" s="78">
        <f>+H67+H55</f>
        <v>892151399.18287754</v>
      </c>
      <c r="I69" s="202" t="str">
        <f>"Line "&amp;A55&amp;" + Line "&amp;A67&amp;""</f>
        <v>Line 250 + Line 350</v>
      </c>
      <c r="J69" s="182"/>
    </row>
    <row r="70" spans="1:10" x14ac:dyDescent="0.3">
      <c r="A70" s="161">
        <f>+A69+1</f>
        <v>352</v>
      </c>
      <c r="B70" s="50"/>
      <c r="C70" s="50" t="s">
        <v>415</v>
      </c>
      <c r="D70" s="78"/>
      <c r="E70" s="78"/>
      <c r="F70" s="78"/>
      <c r="G70" s="80">
        <v>0.18668153702052509</v>
      </c>
      <c r="H70" s="80">
        <v>6.5693761162178274E-2</v>
      </c>
      <c r="I70" s="203" t="s">
        <v>673</v>
      </c>
      <c r="J70" s="182"/>
    </row>
    <row r="71" spans="1:10" x14ac:dyDescent="0.3">
      <c r="A71" s="161">
        <f>+A70+1</f>
        <v>353</v>
      </c>
      <c r="B71" s="50"/>
      <c r="C71" s="50" t="s">
        <v>416</v>
      </c>
      <c r="D71" s="78">
        <f>SUM(F71:H71)</f>
        <v>117755457.11550149</v>
      </c>
      <c r="E71" s="78"/>
      <c r="F71" s="81">
        <f>+F69</f>
        <v>0</v>
      </c>
      <c r="G71" s="81">
        <f>+G69*G70</f>
        <v>59146676.177078359</v>
      </c>
      <c r="H71" s="81">
        <f>+H69*H70</f>
        <v>58608780.938423127</v>
      </c>
      <c r="I71" s="202" t="str">
        <f>"Line "&amp;A69&amp;" * Line "&amp;A70&amp;" for Cols 5 and 6.  Col. 4 100% ISO."</f>
        <v>Line 351 * Line 352 for Cols 5 and 6.  Col. 4 100% ISO.</v>
      </c>
      <c r="J71" s="182"/>
    </row>
    <row r="72" spans="1:10" x14ac:dyDescent="0.3">
      <c r="A72" s="161"/>
      <c r="B72" s="50"/>
      <c r="C72" s="82" t="s">
        <v>417</v>
      </c>
      <c r="D72" s="78"/>
      <c r="E72" s="78"/>
      <c r="F72" s="78"/>
      <c r="G72" s="78"/>
      <c r="H72" s="78"/>
      <c r="I72" s="202"/>
      <c r="J72" s="182"/>
    </row>
    <row r="73" spans="1:10" x14ac:dyDescent="0.3">
      <c r="A73" s="161"/>
      <c r="B73" s="50"/>
      <c r="C73" s="50"/>
      <c r="D73" s="78"/>
      <c r="E73" s="78"/>
      <c r="F73" s="78"/>
      <c r="G73" s="78"/>
      <c r="H73" s="78"/>
      <c r="I73" s="202"/>
      <c r="J73" s="182"/>
    </row>
    <row r="74" spans="1:10" x14ac:dyDescent="0.3">
      <c r="A74" s="161">
        <f>+A71+1</f>
        <v>354</v>
      </c>
      <c r="B74" s="50"/>
      <c r="C74" s="50" t="s">
        <v>418</v>
      </c>
      <c r="D74" s="83">
        <v>2374522295</v>
      </c>
      <c r="E74" s="84" t="str">
        <f>"Must match amount on Line "&amp;A69&amp;", Col. 2"</f>
        <v>Must match amount on Line 351, Col. 2</v>
      </c>
      <c r="G74" s="78"/>
      <c r="H74" s="78"/>
      <c r="I74" s="202" t="s">
        <v>419</v>
      </c>
      <c r="J74" s="182"/>
    </row>
    <row r="75" spans="1:10" x14ac:dyDescent="0.3">
      <c r="A75" s="161"/>
      <c r="B75" s="50"/>
      <c r="C75" s="50"/>
      <c r="D75" s="85"/>
      <c r="E75" s="85"/>
      <c r="F75" s="85"/>
      <c r="G75" s="85"/>
      <c r="H75" s="85"/>
      <c r="I75" s="204"/>
      <c r="J75" s="182"/>
    </row>
    <row r="76" spans="1:10" x14ac:dyDescent="0.3">
      <c r="A76" s="167"/>
      <c r="B76" s="54" t="s">
        <v>420</v>
      </c>
      <c r="C76" s="86"/>
      <c r="D76" s="85"/>
      <c r="E76" s="182"/>
      <c r="F76" s="182"/>
      <c r="G76" s="182"/>
      <c r="H76" s="182"/>
      <c r="I76" s="182"/>
      <c r="J76" s="182"/>
    </row>
    <row r="77" spans="1:10" x14ac:dyDescent="0.3">
      <c r="A77" s="167"/>
      <c r="C77" s="176" t="s">
        <v>12</v>
      </c>
      <c r="D77" s="176" t="s">
        <v>343</v>
      </c>
      <c r="E77" s="176" t="s">
        <v>361</v>
      </c>
      <c r="F77" s="176" t="s">
        <v>13</v>
      </c>
      <c r="G77" s="176" t="s">
        <v>362</v>
      </c>
      <c r="H77" s="176" t="s">
        <v>363</v>
      </c>
      <c r="I77" s="176" t="s">
        <v>364</v>
      </c>
      <c r="J77" s="182"/>
    </row>
    <row r="78" spans="1:10" x14ac:dyDescent="0.3">
      <c r="A78" s="167"/>
      <c r="B78" s="59"/>
      <c r="C78" s="59"/>
      <c r="D78" s="59" t="s">
        <v>365</v>
      </c>
      <c r="E78" s="59" t="s">
        <v>366</v>
      </c>
      <c r="F78" s="59"/>
      <c r="G78" s="59"/>
      <c r="H78" s="59" t="s">
        <v>367</v>
      </c>
      <c r="I78" s="195" t="s">
        <v>368</v>
      </c>
      <c r="J78" s="182"/>
    </row>
    <row r="79" spans="1:10" x14ac:dyDescent="0.3">
      <c r="A79" s="167"/>
      <c r="B79" s="63" t="s">
        <v>421</v>
      </c>
      <c r="C79" s="63" t="s">
        <v>370</v>
      </c>
      <c r="D79" s="63" t="s">
        <v>371</v>
      </c>
      <c r="E79" s="63" t="s">
        <v>372</v>
      </c>
      <c r="F79" s="63" t="s">
        <v>373</v>
      </c>
      <c r="G79" s="63" t="s">
        <v>374</v>
      </c>
      <c r="H79" s="63" t="s">
        <v>375</v>
      </c>
      <c r="I79" s="63" t="s">
        <v>95</v>
      </c>
      <c r="J79" s="182"/>
    </row>
    <row r="80" spans="1:10" x14ac:dyDescent="0.3">
      <c r="A80" s="196">
        <v>400</v>
      </c>
      <c r="B80" s="87">
        <v>282</v>
      </c>
      <c r="C80" s="73" t="s">
        <v>422</v>
      </c>
      <c r="D80" s="88">
        <v>-1188810901.2409992</v>
      </c>
      <c r="E80" s="67"/>
      <c r="F80" s="67">
        <f>D80</f>
        <v>-1188810901.2409992</v>
      </c>
      <c r="G80" s="67"/>
      <c r="H80" s="67"/>
      <c r="I80" s="53" t="s">
        <v>423</v>
      </c>
      <c r="J80" s="53"/>
    </row>
    <row r="81" spans="1:10" x14ac:dyDescent="0.3">
      <c r="A81" s="196">
        <f t="shared" ref="A81:A86" si="3">A80+1</f>
        <v>401</v>
      </c>
      <c r="B81" s="87">
        <v>282</v>
      </c>
      <c r="C81" s="73" t="s">
        <v>393</v>
      </c>
      <c r="D81" s="88">
        <v>-6775581015.2690001</v>
      </c>
      <c r="E81" s="67">
        <f>D81</f>
        <v>-6775581015.2690001</v>
      </c>
      <c r="F81" s="67"/>
      <c r="G81" s="67"/>
      <c r="H81" s="67"/>
      <c r="I81" s="53" t="s">
        <v>424</v>
      </c>
      <c r="J81" s="53"/>
    </row>
    <row r="82" spans="1:10" x14ac:dyDescent="0.3">
      <c r="A82" s="196">
        <f t="shared" si="3"/>
        <v>402</v>
      </c>
      <c r="B82" s="87">
        <v>282</v>
      </c>
      <c r="C82" s="73" t="s">
        <v>425</v>
      </c>
      <c r="D82" s="88">
        <v>-81849149.929999977</v>
      </c>
      <c r="E82" s="67">
        <f>D82</f>
        <v>-81849149.929999977</v>
      </c>
      <c r="F82" s="67"/>
      <c r="G82" s="67"/>
      <c r="H82" s="67"/>
      <c r="I82" s="53" t="s">
        <v>426</v>
      </c>
      <c r="J82" s="53"/>
    </row>
    <row r="83" spans="1:10" x14ac:dyDescent="0.3">
      <c r="A83" s="196">
        <f t="shared" si="3"/>
        <v>403</v>
      </c>
      <c r="B83" s="87">
        <v>282</v>
      </c>
      <c r="C83" s="73" t="s">
        <v>427</v>
      </c>
      <c r="D83" s="88">
        <v>0</v>
      </c>
      <c r="E83" s="67">
        <f>D83</f>
        <v>0</v>
      </c>
      <c r="F83" s="67"/>
      <c r="G83" s="67"/>
      <c r="H83" s="67"/>
      <c r="I83" s="53" t="s">
        <v>428</v>
      </c>
      <c r="J83" s="53"/>
    </row>
    <row r="84" spans="1:10" x14ac:dyDescent="0.3">
      <c r="A84" s="196">
        <f t="shared" si="3"/>
        <v>404</v>
      </c>
      <c r="B84" s="87">
        <v>282</v>
      </c>
      <c r="C84" s="73" t="s">
        <v>411</v>
      </c>
      <c r="D84" s="88">
        <v>-919589.19</v>
      </c>
      <c r="E84" s="67">
        <f>D84</f>
        <v>-919589.19</v>
      </c>
      <c r="F84" s="67"/>
      <c r="G84" s="67"/>
      <c r="H84" s="67"/>
      <c r="I84" s="53" t="s">
        <v>407</v>
      </c>
      <c r="J84" s="53"/>
    </row>
    <row r="85" spans="1:10" x14ac:dyDescent="0.3">
      <c r="A85" s="196">
        <f t="shared" si="3"/>
        <v>405</v>
      </c>
      <c r="B85" s="87">
        <v>282</v>
      </c>
      <c r="C85" s="73" t="s">
        <v>412</v>
      </c>
      <c r="D85" s="88">
        <v>-4811958.4700000016</v>
      </c>
      <c r="E85" s="67">
        <f>D85</f>
        <v>-4811958.4700000016</v>
      </c>
      <c r="F85" s="67"/>
      <c r="G85" s="67"/>
      <c r="H85" s="67"/>
      <c r="I85" s="53" t="s">
        <v>409</v>
      </c>
      <c r="J85" s="53"/>
    </row>
    <row r="86" spans="1:10" x14ac:dyDescent="0.3">
      <c r="A86" s="196">
        <f t="shared" si="3"/>
        <v>406</v>
      </c>
      <c r="B86" s="64" t="s">
        <v>403</v>
      </c>
      <c r="C86" s="172"/>
      <c r="D86" s="83"/>
      <c r="E86" s="197"/>
      <c r="F86" s="197"/>
      <c r="G86" s="197"/>
      <c r="H86" s="197"/>
      <c r="I86" s="174"/>
      <c r="J86" s="174"/>
    </row>
    <row r="87" spans="1:10" x14ac:dyDescent="0.3">
      <c r="A87" s="161"/>
      <c r="B87" s="173"/>
      <c r="C87" s="167"/>
      <c r="D87" s="77"/>
      <c r="E87" s="177"/>
      <c r="F87" s="177"/>
      <c r="G87" s="177"/>
      <c r="H87" s="177"/>
      <c r="I87" s="182"/>
      <c r="J87" s="182"/>
    </row>
    <row r="88" spans="1:10" x14ac:dyDescent="0.3">
      <c r="A88" s="161"/>
      <c r="B88" s="173"/>
      <c r="C88" s="176" t="s">
        <v>12</v>
      </c>
      <c r="D88" s="176" t="s">
        <v>343</v>
      </c>
      <c r="E88" s="176" t="s">
        <v>361</v>
      </c>
      <c r="F88" s="176" t="s">
        <v>13</v>
      </c>
      <c r="G88" s="176" t="s">
        <v>362</v>
      </c>
      <c r="H88" s="176" t="s">
        <v>363</v>
      </c>
      <c r="I88" s="185" t="s">
        <v>98</v>
      </c>
      <c r="J88" s="182"/>
    </row>
    <row r="89" spans="1:10" x14ac:dyDescent="0.3">
      <c r="A89" s="161">
        <v>450</v>
      </c>
      <c r="B89" s="175"/>
      <c r="C89" s="167" t="s">
        <v>429</v>
      </c>
      <c r="D89" s="78">
        <f>SUM(D80:D86)</f>
        <v>-8051972614.0999994</v>
      </c>
      <c r="E89" s="78">
        <f>SUM(E80:E86)</f>
        <v>-6863161712.8590002</v>
      </c>
      <c r="F89" s="78">
        <f>SUM(F80:F86)</f>
        <v>-1188810901.2409992</v>
      </c>
      <c r="G89" s="78">
        <f>SUM(G80:G86)</f>
        <v>0</v>
      </c>
      <c r="H89" s="78">
        <f>SUM(H80:H86)</f>
        <v>0</v>
      </c>
      <c r="I89" s="191" t="str">
        <f>"Sum of Above Lines beginning on Line "&amp;A80&amp;""</f>
        <v>Sum of Above Lines beginning on Line 400</v>
      </c>
      <c r="J89" s="182"/>
    </row>
    <row r="90" spans="1:10" x14ac:dyDescent="0.3">
      <c r="A90" s="161">
        <f>+A89+1</f>
        <v>451</v>
      </c>
      <c r="B90" s="50"/>
      <c r="C90" s="50" t="s">
        <v>415</v>
      </c>
      <c r="D90" s="78"/>
      <c r="E90" s="78"/>
      <c r="F90" s="78"/>
      <c r="G90" s="80">
        <v>0.18668153702052509</v>
      </c>
      <c r="H90" s="80">
        <v>6.5693761162178274E-2</v>
      </c>
      <c r="I90" s="203" t="s">
        <v>673</v>
      </c>
      <c r="J90" s="182"/>
    </row>
    <row r="91" spans="1:10" x14ac:dyDescent="0.3">
      <c r="A91" s="161">
        <f>+A90+1</f>
        <v>452</v>
      </c>
      <c r="B91" s="50"/>
      <c r="C91" s="50" t="s">
        <v>430</v>
      </c>
      <c r="D91" s="78">
        <f>SUM(F91:H91)</f>
        <v>-1188810901.2409992</v>
      </c>
      <c r="E91" s="78"/>
      <c r="F91" s="81">
        <f>+F89</f>
        <v>-1188810901.2409992</v>
      </c>
      <c r="G91" s="81">
        <f>+G89*G90</f>
        <v>0</v>
      </c>
      <c r="H91" s="81">
        <f>+H89*H90</f>
        <v>0</v>
      </c>
      <c r="I91" s="202" t="str">
        <f>"Line "&amp;A89&amp;" * Line "&amp;A90&amp;" for Cols 5 and 6.  Col. 4 100% ISO."</f>
        <v>Line 450 * Line 451 for Cols 5 and 6.  Col. 4 100% ISO.</v>
      </c>
      <c r="J91" s="182"/>
    </row>
    <row r="92" spans="1:10" x14ac:dyDescent="0.3">
      <c r="A92" s="161"/>
      <c r="B92" s="50"/>
      <c r="C92" s="82" t="s">
        <v>417</v>
      </c>
      <c r="D92" s="78"/>
      <c r="E92" s="78"/>
      <c r="F92" s="78"/>
      <c r="G92" s="78"/>
      <c r="H92" s="78"/>
      <c r="I92" s="202"/>
      <c r="J92" s="182"/>
    </row>
    <row r="93" spans="1:10" x14ac:dyDescent="0.3">
      <c r="A93" s="161"/>
      <c r="B93" s="175"/>
      <c r="C93" s="167"/>
      <c r="D93" s="78"/>
      <c r="E93" s="78"/>
      <c r="F93" s="78"/>
      <c r="G93" s="78"/>
      <c r="H93" s="78"/>
      <c r="I93" s="191"/>
      <c r="J93" s="182"/>
    </row>
    <row r="94" spans="1:10" x14ac:dyDescent="0.3">
      <c r="A94" s="161">
        <f>+A91+1</f>
        <v>453</v>
      </c>
      <c r="B94" s="175"/>
      <c r="C94" s="50" t="s">
        <v>431</v>
      </c>
      <c r="D94" s="83">
        <v>-8051972613</v>
      </c>
      <c r="E94" s="84" t="str">
        <f>"Must match amount on Line "&amp;A89&amp;", Col. 2"</f>
        <v>Must match amount on Line 450, Col. 2</v>
      </c>
      <c r="F94" s="78"/>
      <c r="G94" s="78"/>
      <c r="H94" s="78"/>
      <c r="I94" s="191" t="s">
        <v>432</v>
      </c>
      <c r="J94" s="182"/>
    </row>
    <row r="95" spans="1:10" x14ac:dyDescent="0.3">
      <c r="A95" s="161"/>
      <c r="B95" s="175"/>
      <c r="C95" s="167"/>
      <c r="D95" s="78"/>
      <c r="E95" s="78"/>
      <c r="F95" s="78"/>
      <c r="G95" s="78"/>
      <c r="H95" s="78"/>
      <c r="I95" s="191"/>
      <c r="J95" s="182"/>
    </row>
    <row r="96" spans="1:10" x14ac:dyDescent="0.3">
      <c r="A96" s="161"/>
      <c r="B96" s="175"/>
      <c r="C96" s="167"/>
      <c r="D96" s="78"/>
      <c r="E96" s="78"/>
      <c r="F96" s="78"/>
      <c r="G96" s="78"/>
      <c r="H96" s="78"/>
      <c r="I96" s="204"/>
      <c r="J96" s="182"/>
    </row>
    <row r="97" spans="1:10" x14ac:dyDescent="0.3">
      <c r="A97" s="167"/>
      <c r="B97" s="54" t="s">
        <v>433</v>
      </c>
      <c r="C97" s="50"/>
      <c r="D97" s="78"/>
      <c r="E97" s="177"/>
      <c r="F97" s="177"/>
      <c r="G97" s="177"/>
      <c r="H97" s="177"/>
      <c r="I97" s="182"/>
      <c r="J97" s="182"/>
    </row>
    <row r="98" spans="1:10" x14ac:dyDescent="0.3">
      <c r="A98" s="167"/>
      <c r="B98" s="54"/>
      <c r="C98" s="176" t="s">
        <v>12</v>
      </c>
      <c r="D98" s="176" t="s">
        <v>343</v>
      </c>
      <c r="E98" s="176" t="s">
        <v>361</v>
      </c>
      <c r="F98" s="176" t="s">
        <v>13</v>
      </c>
      <c r="G98" s="176" t="s">
        <v>362</v>
      </c>
      <c r="H98" s="176" t="s">
        <v>363</v>
      </c>
      <c r="I98" s="176" t="s">
        <v>364</v>
      </c>
      <c r="J98" s="182"/>
    </row>
    <row r="99" spans="1:10" x14ac:dyDescent="0.3">
      <c r="A99" s="167"/>
      <c r="B99" s="59"/>
      <c r="C99" s="59"/>
      <c r="D99" s="89" t="s">
        <v>365</v>
      </c>
      <c r="E99" s="89" t="s">
        <v>366</v>
      </c>
      <c r="F99" s="89"/>
      <c r="G99" s="89"/>
      <c r="H99" s="89" t="s">
        <v>367</v>
      </c>
      <c r="I99" s="195" t="s">
        <v>368</v>
      </c>
      <c r="J99" s="182"/>
    </row>
    <row r="100" spans="1:10" x14ac:dyDescent="0.3">
      <c r="A100" s="167"/>
      <c r="B100" s="63" t="s">
        <v>434</v>
      </c>
      <c r="C100" s="63" t="s">
        <v>370</v>
      </c>
      <c r="D100" s="90" t="s">
        <v>371</v>
      </c>
      <c r="E100" s="90" t="s">
        <v>372</v>
      </c>
      <c r="F100" s="90" t="s">
        <v>373</v>
      </c>
      <c r="G100" s="90" t="s">
        <v>374</v>
      </c>
      <c r="H100" s="90" t="s">
        <v>375</v>
      </c>
      <c r="I100" s="63" t="s">
        <v>95</v>
      </c>
      <c r="J100" s="182"/>
    </row>
    <row r="101" spans="1:10" x14ac:dyDescent="0.3">
      <c r="A101" s="161"/>
      <c r="B101" s="50" t="s">
        <v>376</v>
      </c>
      <c r="C101" s="182"/>
      <c r="D101" s="177"/>
      <c r="E101" s="177"/>
      <c r="F101" s="177"/>
      <c r="G101" s="177"/>
      <c r="H101" s="177"/>
      <c r="I101" s="182"/>
      <c r="J101" s="182"/>
    </row>
    <row r="102" spans="1:10" x14ac:dyDescent="0.3">
      <c r="A102" s="196">
        <v>500</v>
      </c>
      <c r="B102" s="87">
        <v>283</v>
      </c>
      <c r="C102" s="73" t="s">
        <v>435</v>
      </c>
      <c r="D102" s="67">
        <v>-50569341.669999994</v>
      </c>
      <c r="E102" s="67">
        <f>+D102</f>
        <v>-50569341.669999994</v>
      </c>
      <c r="F102" s="67"/>
      <c r="G102" s="67"/>
      <c r="H102" s="67"/>
      <c r="I102" s="53" t="s">
        <v>436</v>
      </c>
      <c r="J102" s="174"/>
    </row>
    <row r="103" spans="1:10" x14ac:dyDescent="0.3">
      <c r="A103" s="196">
        <f t="shared" ref="A103:A108" si="4">A102+1</f>
        <v>501</v>
      </c>
      <c r="B103" s="87">
        <v>283</v>
      </c>
      <c r="C103" s="73" t="s">
        <v>435</v>
      </c>
      <c r="D103" s="67">
        <v>-8664107.9600000009</v>
      </c>
      <c r="E103" s="67"/>
      <c r="F103" s="67">
        <f>+D103</f>
        <v>-8664107.9600000009</v>
      </c>
      <c r="G103" s="67"/>
      <c r="H103" s="67"/>
      <c r="I103" s="53" t="s">
        <v>437</v>
      </c>
      <c r="J103" s="174"/>
    </row>
    <row r="104" spans="1:10" x14ac:dyDescent="0.3">
      <c r="A104" s="196">
        <f t="shared" si="4"/>
        <v>502</v>
      </c>
      <c r="B104" s="87">
        <v>283</v>
      </c>
      <c r="C104" s="73" t="s">
        <v>438</v>
      </c>
      <c r="D104" s="67">
        <v>-33097557.539999999</v>
      </c>
      <c r="E104" s="67">
        <f>D104*$G$178</f>
        <v>-29689.711512403468</v>
      </c>
      <c r="F104" s="67"/>
      <c r="G104" s="67">
        <f>D104-E104</f>
        <v>-33067867.828487597</v>
      </c>
      <c r="H104" s="67"/>
      <c r="I104" s="53" t="s">
        <v>378</v>
      </c>
      <c r="J104" s="174"/>
    </row>
    <row r="105" spans="1:10" x14ac:dyDescent="0.3">
      <c r="A105" s="196">
        <f t="shared" si="4"/>
        <v>503</v>
      </c>
      <c r="B105" s="87">
        <v>283</v>
      </c>
      <c r="C105" s="73" t="s">
        <v>439</v>
      </c>
      <c r="D105" s="67">
        <v>-1593695.4000000001</v>
      </c>
      <c r="E105" s="67">
        <f>D105*$G$170</f>
        <v>-5581.9626106956403</v>
      </c>
      <c r="F105" s="67"/>
      <c r="G105" s="67"/>
      <c r="H105" s="67">
        <f>D105-E105</f>
        <v>-1588113.4373893044</v>
      </c>
      <c r="I105" s="53" t="s">
        <v>380</v>
      </c>
      <c r="J105" s="174"/>
    </row>
    <row r="106" spans="1:10" x14ac:dyDescent="0.3">
      <c r="A106" s="196">
        <f t="shared" si="4"/>
        <v>504</v>
      </c>
      <c r="B106" s="87">
        <v>283</v>
      </c>
      <c r="C106" s="73" t="s">
        <v>390</v>
      </c>
      <c r="D106" s="67">
        <v>-567470431.47000003</v>
      </c>
      <c r="E106" s="67">
        <f>D106</f>
        <v>-567470431.47000003</v>
      </c>
      <c r="F106" s="67"/>
      <c r="G106" s="67"/>
      <c r="H106" s="67"/>
      <c r="I106" s="53" t="s">
        <v>391</v>
      </c>
      <c r="J106" s="174"/>
    </row>
    <row r="107" spans="1:10" x14ac:dyDescent="0.3">
      <c r="A107" s="196">
        <f t="shared" si="4"/>
        <v>505</v>
      </c>
      <c r="B107" s="87">
        <v>283</v>
      </c>
      <c r="C107" s="73" t="s">
        <v>388</v>
      </c>
      <c r="D107" s="67">
        <v>-449253649.64999998</v>
      </c>
      <c r="E107" s="67">
        <f>D107</f>
        <v>-449253649.64999998</v>
      </c>
      <c r="F107" s="67"/>
      <c r="G107" s="67"/>
      <c r="H107" s="67"/>
      <c r="I107" s="53" t="s">
        <v>389</v>
      </c>
      <c r="J107" s="174"/>
    </row>
    <row r="108" spans="1:10" x14ac:dyDescent="0.3">
      <c r="A108" s="196">
        <f t="shared" si="4"/>
        <v>506</v>
      </c>
      <c r="B108" s="87">
        <v>283</v>
      </c>
      <c r="C108" s="73" t="s">
        <v>395</v>
      </c>
      <c r="D108" s="67">
        <v>57886962.789999999</v>
      </c>
      <c r="E108" s="67">
        <f>D108</f>
        <v>57886962.789999999</v>
      </c>
      <c r="F108" s="67"/>
      <c r="G108" s="67"/>
      <c r="H108" s="67"/>
      <c r="I108" s="53" t="s">
        <v>396</v>
      </c>
      <c r="J108" s="174"/>
    </row>
    <row r="109" spans="1:10" x14ac:dyDescent="0.3">
      <c r="A109" s="196">
        <v>507</v>
      </c>
      <c r="B109" s="87">
        <v>283</v>
      </c>
      <c r="C109" s="73" t="s">
        <v>397</v>
      </c>
      <c r="D109" s="67">
        <v>252487819.91999999</v>
      </c>
      <c r="E109" s="67">
        <f>D109</f>
        <v>252487819.91999999</v>
      </c>
      <c r="F109" s="67"/>
      <c r="G109" s="67"/>
      <c r="H109" s="67"/>
      <c r="I109" s="53" t="s">
        <v>440</v>
      </c>
      <c r="J109" s="174"/>
    </row>
    <row r="110" spans="1:10" x14ac:dyDescent="0.3">
      <c r="A110" s="161"/>
      <c r="B110" s="205"/>
      <c r="C110" s="167"/>
      <c r="D110" s="170"/>
      <c r="E110" s="177"/>
      <c r="F110" s="177"/>
      <c r="G110" s="177"/>
      <c r="H110" s="177"/>
      <c r="I110" s="182"/>
      <c r="J110" s="182"/>
    </row>
    <row r="111" spans="1:10" x14ac:dyDescent="0.3">
      <c r="A111" s="161"/>
      <c r="B111" s="54" t="s">
        <v>441</v>
      </c>
      <c r="C111" s="50"/>
      <c r="D111" s="78"/>
      <c r="E111" s="177"/>
      <c r="F111" s="177"/>
      <c r="G111" s="177"/>
      <c r="H111" s="177"/>
      <c r="I111" s="182"/>
      <c r="J111" s="182"/>
    </row>
    <row r="112" spans="1:10" x14ac:dyDescent="0.3">
      <c r="A112" s="161"/>
      <c r="B112" s="54"/>
      <c r="C112" s="176" t="s">
        <v>12</v>
      </c>
      <c r="D112" s="176" t="s">
        <v>343</v>
      </c>
      <c r="E112" s="176" t="s">
        <v>361</v>
      </c>
      <c r="F112" s="176" t="s">
        <v>13</v>
      </c>
      <c r="G112" s="176" t="s">
        <v>362</v>
      </c>
      <c r="H112" s="176" t="s">
        <v>363</v>
      </c>
      <c r="I112" s="176" t="s">
        <v>364</v>
      </c>
      <c r="J112" s="182"/>
    </row>
    <row r="113" spans="1:10" x14ac:dyDescent="0.3">
      <c r="A113" s="161"/>
      <c r="B113" s="59"/>
      <c r="C113" s="59"/>
      <c r="D113" s="89" t="s">
        <v>365</v>
      </c>
      <c r="E113" s="89" t="s">
        <v>366</v>
      </c>
      <c r="F113" s="89"/>
      <c r="G113" s="89"/>
      <c r="H113" s="89" t="s">
        <v>367</v>
      </c>
      <c r="I113" s="195" t="s">
        <v>368</v>
      </c>
      <c r="J113" s="182"/>
    </row>
    <row r="114" spans="1:10" x14ac:dyDescent="0.3">
      <c r="A114" s="161"/>
      <c r="B114" s="63" t="s">
        <v>434</v>
      </c>
      <c r="C114" s="63" t="s">
        <v>370</v>
      </c>
      <c r="D114" s="90" t="s">
        <v>371</v>
      </c>
      <c r="E114" s="90" t="s">
        <v>372</v>
      </c>
      <c r="F114" s="90" t="s">
        <v>373</v>
      </c>
      <c r="G114" s="90" t="s">
        <v>374</v>
      </c>
      <c r="H114" s="90" t="s">
        <v>375</v>
      </c>
      <c r="I114" s="63" t="s">
        <v>95</v>
      </c>
      <c r="J114" s="182"/>
    </row>
    <row r="115" spans="1:10" x14ac:dyDescent="0.3">
      <c r="A115" s="161"/>
      <c r="B115" s="50" t="s">
        <v>442</v>
      </c>
      <c r="C115" s="59"/>
      <c r="D115" s="89"/>
      <c r="E115" s="89"/>
      <c r="F115" s="89"/>
      <c r="G115" s="89"/>
      <c r="H115" s="89"/>
      <c r="I115" s="59"/>
      <c r="J115" s="182"/>
    </row>
    <row r="116" spans="1:10" x14ac:dyDescent="0.3">
      <c r="A116" s="196">
        <v>507</v>
      </c>
      <c r="B116" s="64" t="s">
        <v>403</v>
      </c>
      <c r="C116" s="172"/>
      <c r="D116" s="181"/>
      <c r="E116" s="197"/>
      <c r="F116" s="197"/>
      <c r="G116" s="197"/>
      <c r="H116" s="197"/>
      <c r="I116" s="174"/>
      <c r="J116" s="174"/>
    </row>
    <row r="117" spans="1:10" x14ac:dyDescent="0.3">
      <c r="A117" s="161"/>
      <c r="B117" s="206"/>
      <c r="C117" s="167"/>
      <c r="D117" s="170"/>
      <c r="E117" s="177"/>
      <c r="F117" s="177"/>
      <c r="G117" s="177"/>
      <c r="H117" s="177"/>
      <c r="I117" s="182"/>
      <c r="J117" s="182"/>
    </row>
    <row r="118" spans="1:10" x14ac:dyDescent="0.3">
      <c r="A118" s="161">
        <v>650</v>
      </c>
      <c r="B118" s="167"/>
      <c r="C118" s="167" t="s">
        <v>443</v>
      </c>
      <c r="D118" s="170">
        <f>SUM(D102:D109)+SUM(D116:D116)</f>
        <v>-800274000.98000014</v>
      </c>
      <c r="E118" s="170">
        <f>SUM(E102:E109)+SUM(E116:E116)</f>
        <v>-756953911.75412321</v>
      </c>
      <c r="F118" s="170">
        <f>SUM(F102:F109)+SUM(F116:F116)</f>
        <v>-8664107.9600000009</v>
      </c>
      <c r="G118" s="170">
        <f>SUM(G102:G109)+SUM(G116:G116)</f>
        <v>-33067867.828487597</v>
      </c>
      <c r="H118" s="170">
        <f>SUM(H102:H109)+SUM(H116:H116)</f>
        <v>-1588113.4373893044</v>
      </c>
      <c r="I118" s="191" t="str">
        <f>"Sum of Above Lines beginning on Line "&amp;A102&amp;""</f>
        <v>Sum of Above Lines beginning on Line 500</v>
      </c>
      <c r="J118" s="182"/>
    </row>
    <row r="119" spans="1:10" x14ac:dyDescent="0.3">
      <c r="A119" s="161"/>
      <c r="B119" s="167"/>
      <c r="C119" s="167"/>
      <c r="D119" s="170"/>
      <c r="E119" s="170"/>
      <c r="F119" s="170"/>
      <c r="G119" s="170"/>
      <c r="H119" s="170"/>
      <c r="I119" s="204"/>
      <c r="J119" s="182"/>
    </row>
    <row r="120" spans="1:10" x14ac:dyDescent="0.3">
      <c r="A120" s="161"/>
      <c r="B120" s="50" t="s">
        <v>444</v>
      </c>
      <c r="C120" s="167"/>
      <c r="D120" s="170"/>
      <c r="E120" s="177"/>
      <c r="F120" s="177"/>
      <c r="G120" s="177"/>
      <c r="H120" s="177"/>
      <c r="I120" s="195" t="s">
        <v>368</v>
      </c>
      <c r="J120" s="182"/>
    </row>
    <row r="121" spans="1:10" x14ac:dyDescent="0.3">
      <c r="A121" s="161"/>
      <c r="C121" s="176" t="s">
        <v>12</v>
      </c>
      <c r="D121" s="176" t="s">
        <v>343</v>
      </c>
      <c r="E121" s="176" t="s">
        <v>361</v>
      </c>
      <c r="F121" s="176" t="s">
        <v>13</v>
      </c>
      <c r="G121" s="176" t="s">
        <v>362</v>
      </c>
      <c r="H121" s="176" t="s">
        <v>363</v>
      </c>
      <c r="I121" s="176" t="s">
        <v>364</v>
      </c>
      <c r="J121" s="182"/>
    </row>
    <row r="122" spans="1:10" x14ac:dyDescent="0.3">
      <c r="A122" s="196">
        <v>700</v>
      </c>
      <c r="B122" s="87">
        <v>283</v>
      </c>
      <c r="C122" s="73" t="s">
        <v>406</v>
      </c>
      <c r="D122" s="57">
        <v>-17511.839999999997</v>
      </c>
      <c r="E122" s="67"/>
      <c r="F122" s="67"/>
      <c r="G122" s="67"/>
      <c r="H122" s="67"/>
      <c r="I122" s="53" t="s">
        <v>407</v>
      </c>
      <c r="J122" s="53"/>
    </row>
    <row r="123" spans="1:10" x14ac:dyDescent="0.3">
      <c r="A123" s="196">
        <f>A122+1</f>
        <v>701</v>
      </c>
      <c r="B123" s="87">
        <v>283</v>
      </c>
      <c r="C123" s="73" t="s">
        <v>408</v>
      </c>
      <c r="D123" s="57">
        <v>-654218.14999999991</v>
      </c>
      <c r="E123" s="67"/>
      <c r="F123" s="67"/>
      <c r="G123" s="67"/>
      <c r="H123" s="67"/>
      <c r="I123" s="53" t="s">
        <v>409</v>
      </c>
      <c r="J123" s="53"/>
    </row>
    <row r="124" spans="1:10" x14ac:dyDescent="0.3">
      <c r="A124" s="196">
        <f>A123+1</f>
        <v>702</v>
      </c>
      <c r="B124" s="207" t="s">
        <v>403</v>
      </c>
      <c r="C124" s="73"/>
      <c r="D124" s="57"/>
      <c r="E124" s="67"/>
      <c r="F124" s="67"/>
      <c r="G124" s="67"/>
      <c r="H124" s="67"/>
      <c r="I124" s="53"/>
      <c r="J124" s="53"/>
    </row>
    <row r="125" spans="1:10" x14ac:dyDescent="0.3">
      <c r="A125" s="161"/>
      <c r="B125" s="205"/>
      <c r="C125" s="167"/>
      <c r="D125" s="170"/>
      <c r="E125" s="177"/>
      <c r="F125" s="177"/>
      <c r="G125" s="177"/>
      <c r="H125" s="177"/>
      <c r="I125" s="182"/>
      <c r="J125" s="182"/>
    </row>
    <row r="126" spans="1:10" x14ac:dyDescent="0.3">
      <c r="A126" s="161"/>
      <c r="B126" s="167"/>
      <c r="C126" s="176" t="s">
        <v>12</v>
      </c>
      <c r="D126" s="176" t="s">
        <v>343</v>
      </c>
      <c r="E126" s="176" t="s">
        <v>361</v>
      </c>
      <c r="F126" s="176" t="s">
        <v>13</v>
      </c>
      <c r="G126" s="176" t="s">
        <v>362</v>
      </c>
      <c r="H126" s="176" t="s">
        <v>363</v>
      </c>
      <c r="I126" s="185" t="s">
        <v>98</v>
      </c>
      <c r="J126" s="182"/>
    </row>
    <row r="127" spans="1:10" x14ac:dyDescent="0.3">
      <c r="A127" s="161">
        <v>800</v>
      </c>
      <c r="B127" s="182"/>
      <c r="C127" s="167" t="s">
        <v>445</v>
      </c>
      <c r="D127" s="170">
        <f>SUM(D122:D124)</f>
        <v>-671729.98999999987</v>
      </c>
      <c r="E127" s="170">
        <f>SUM(E122:E124)</f>
        <v>0</v>
      </c>
      <c r="F127" s="170">
        <f>SUM(F124:F124)</f>
        <v>0</v>
      </c>
      <c r="G127" s="170">
        <f>SUM(G124:G124)</f>
        <v>0</v>
      </c>
      <c r="H127" s="170">
        <f>SUM(H124:H124)</f>
        <v>0</v>
      </c>
      <c r="I127" s="191" t="str">
        <f>"Sum of Above Lines beginning on Line "&amp;A122&amp;""</f>
        <v>Sum of Above Lines beginning on Line 700</v>
      </c>
      <c r="J127" s="182"/>
    </row>
    <row r="128" spans="1:10" x14ac:dyDescent="0.3">
      <c r="A128" s="161"/>
      <c r="B128" s="182"/>
      <c r="C128" s="167"/>
      <c r="D128" s="170"/>
      <c r="E128" s="170"/>
      <c r="F128" s="170"/>
      <c r="G128" s="170"/>
      <c r="H128" s="170"/>
      <c r="I128" s="191"/>
      <c r="J128" s="182"/>
    </row>
    <row r="129" spans="1:10" x14ac:dyDescent="0.3">
      <c r="A129" s="161">
        <f>A127+1</f>
        <v>801</v>
      </c>
      <c r="B129" s="182"/>
      <c r="C129" s="167" t="s">
        <v>446</v>
      </c>
      <c r="D129" s="170">
        <f>D118+D127</f>
        <v>-800945730.97000015</v>
      </c>
      <c r="E129" s="170">
        <f>E118+E127</f>
        <v>-756953911.75412321</v>
      </c>
      <c r="F129" s="170">
        <f>F118+F127</f>
        <v>-8664107.9600000009</v>
      </c>
      <c r="G129" s="170">
        <f>G118+G127</f>
        <v>-33067867.828487597</v>
      </c>
      <c r="H129" s="170">
        <f>H118+H127</f>
        <v>-1588113.4373893044</v>
      </c>
      <c r="I129" s="202" t="str">
        <f>"Line "&amp;A118&amp;" + Line "&amp;A127&amp;""</f>
        <v>Line 650 + Line 800</v>
      </c>
      <c r="J129" s="182"/>
    </row>
    <row r="130" spans="1:10" x14ac:dyDescent="0.3">
      <c r="A130" s="161">
        <f>+A129+1</f>
        <v>802</v>
      </c>
      <c r="B130" s="50"/>
      <c r="C130" s="50" t="s">
        <v>415</v>
      </c>
      <c r="D130" s="91"/>
      <c r="E130" s="91"/>
      <c r="F130" s="78"/>
      <c r="G130" s="80">
        <v>0.18668153702052509</v>
      </c>
      <c r="H130" s="80">
        <v>6.5693761162178274E-2</v>
      </c>
      <c r="I130" s="203" t="s">
        <v>673</v>
      </c>
      <c r="J130" s="182"/>
    </row>
    <row r="131" spans="1:10" x14ac:dyDescent="0.3">
      <c r="A131" s="161">
        <f>+A130+1</f>
        <v>803</v>
      </c>
      <c r="B131" s="50"/>
      <c r="C131" s="50" t="s">
        <v>447</v>
      </c>
      <c r="D131" s="77">
        <f>SUM(F131:H131)</f>
        <v>-14941597.497067939</v>
      </c>
      <c r="E131" s="78"/>
      <c r="F131" s="81">
        <f>+F129</f>
        <v>-8664107.9600000009</v>
      </c>
      <c r="G131" s="81">
        <f>+G129*G130</f>
        <v>-6173160.3922136379</v>
      </c>
      <c r="H131" s="92">
        <f>+H129*H130</f>
        <v>-104329.14485429892</v>
      </c>
      <c r="I131" s="202" t="str">
        <f>"Line "&amp;A129&amp;" * Line "&amp;A130&amp;" for Cols 5 and 6.  Col. 4 100% ISO."</f>
        <v>Line 801 * Line 802 for Cols 5 and 6.  Col. 4 100% ISO.</v>
      </c>
      <c r="J131" s="182"/>
    </row>
    <row r="132" spans="1:10" x14ac:dyDescent="0.3">
      <c r="A132" s="161"/>
      <c r="B132" s="182"/>
      <c r="C132" s="82" t="s">
        <v>417</v>
      </c>
      <c r="D132" s="170"/>
      <c r="E132" s="170"/>
      <c r="F132" s="170"/>
      <c r="G132" s="170"/>
      <c r="H132" s="170"/>
      <c r="I132" s="202"/>
      <c r="J132" s="177"/>
    </row>
    <row r="133" spans="1:10" x14ac:dyDescent="0.3">
      <c r="A133" s="161"/>
      <c r="B133" s="182"/>
      <c r="C133" s="167"/>
      <c r="D133" s="170"/>
      <c r="E133" s="170"/>
      <c r="F133" s="170"/>
      <c r="G133" s="170"/>
      <c r="H133" s="170"/>
      <c r="I133" s="202"/>
      <c r="J133" s="182"/>
    </row>
    <row r="134" spans="1:10" x14ac:dyDescent="0.3">
      <c r="A134" s="161">
        <f>A131+1</f>
        <v>804</v>
      </c>
      <c r="C134" s="50" t="s">
        <v>448</v>
      </c>
      <c r="D134" s="83">
        <v>-800945731</v>
      </c>
      <c r="E134" s="84" t="str">
        <f>"Must match amount on Line "&amp;A129&amp;", Col. 2"</f>
        <v>Must match amount on Line 801, Col. 2</v>
      </c>
      <c r="F134" s="78"/>
      <c r="G134" s="78"/>
      <c r="H134" s="78"/>
      <c r="I134" s="191" t="s">
        <v>449</v>
      </c>
    </row>
    <row r="135" spans="1:10" x14ac:dyDescent="0.3">
      <c r="A135" s="161"/>
      <c r="C135" s="50"/>
      <c r="D135" s="84"/>
      <c r="E135" s="84"/>
      <c r="F135" s="78"/>
      <c r="G135" s="78"/>
      <c r="H135" s="78"/>
      <c r="I135" s="191"/>
    </row>
    <row r="136" spans="1:10" x14ac:dyDescent="0.3">
      <c r="A136" s="161"/>
      <c r="B136" s="159" t="s">
        <v>450</v>
      </c>
      <c r="C136" s="50"/>
      <c r="D136" s="84"/>
      <c r="E136" s="84"/>
      <c r="F136" s="78"/>
      <c r="G136" s="78"/>
      <c r="H136" s="78"/>
      <c r="I136" s="168"/>
      <c r="J136" s="208"/>
    </row>
    <row r="137" spans="1:10" x14ac:dyDescent="0.3">
      <c r="A137" s="161"/>
      <c r="B137" s="208"/>
      <c r="C137" s="50"/>
      <c r="D137" s="84"/>
      <c r="E137" s="84"/>
      <c r="F137" s="78"/>
      <c r="G137" s="78"/>
      <c r="H137" s="78"/>
      <c r="I137" s="168"/>
      <c r="J137" s="208"/>
    </row>
    <row r="138" spans="1:10" x14ac:dyDescent="0.3">
      <c r="A138" s="161"/>
      <c r="B138" s="208"/>
      <c r="C138" s="176" t="s">
        <v>12</v>
      </c>
      <c r="D138" s="176" t="s">
        <v>343</v>
      </c>
      <c r="E138" s="176" t="s">
        <v>361</v>
      </c>
      <c r="F138" s="176" t="s">
        <v>13</v>
      </c>
      <c r="G138" s="176" t="s">
        <v>362</v>
      </c>
      <c r="H138" s="176" t="s">
        <v>363</v>
      </c>
      <c r="I138" s="176" t="s">
        <v>364</v>
      </c>
      <c r="J138" s="176" t="s">
        <v>451</v>
      </c>
    </row>
    <row r="139" spans="1:10" x14ac:dyDescent="0.3">
      <c r="A139" s="161"/>
      <c r="B139" s="208"/>
      <c r="C139" s="50"/>
      <c r="D139" s="93" t="s">
        <v>452</v>
      </c>
      <c r="E139" s="93" t="s">
        <v>54</v>
      </c>
      <c r="F139" s="78"/>
      <c r="G139" s="78"/>
      <c r="H139" s="93" t="s">
        <v>453</v>
      </c>
      <c r="I139" s="209" t="s">
        <v>454</v>
      </c>
      <c r="J139" s="93" t="s">
        <v>455</v>
      </c>
    </row>
    <row r="140" spans="1:10" x14ac:dyDescent="0.3">
      <c r="A140" s="161"/>
      <c r="B140" s="208"/>
      <c r="C140" s="50"/>
      <c r="D140" s="84"/>
      <c r="E140" s="84"/>
      <c r="F140" s="78"/>
      <c r="G140" s="78"/>
      <c r="H140" s="78"/>
      <c r="I140" s="168"/>
      <c r="J140" s="208"/>
    </row>
    <row r="141" spans="1:10" x14ac:dyDescent="0.3">
      <c r="A141" s="161"/>
      <c r="B141" s="208"/>
      <c r="C141" s="94"/>
      <c r="D141" s="93" t="s">
        <v>456</v>
      </c>
      <c r="E141" s="93" t="s">
        <v>457</v>
      </c>
      <c r="F141" s="93"/>
      <c r="G141" s="93" t="s">
        <v>458</v>
      </c>
      <c r="H141" s="93" t="s">
        <v>459</v>
      </c>
      <c r="I141" s="161" t="s">
        <v>460</v>
      </c>
      <c r="J141" s="161" t="s">
        <v>461</v>
      </c>
    </row>
    <row r="142" spans="1:10" x14ac:dyDescent="0.3">
      <c r="A142" s="161"/>
      <c r="B142" s="208"/>
      <c r="C142" s="94" t="s">
        <v>462</v>
      </c>
      <c r="D142" s="95" t="s">
        <v>463</v>
      </c>
      <c r="E142" s="95" t="s">
        <v>464</v>
      </c>
      <c r="F142" s="95" t="s">
        <v>465</v>
      </c>
      <c r="G142" s="95" t="s">
        <v>466</v>
      </c>
      <c r="H142" s="95" t="s">
        <v>467</v>
      </c>
      <c r="I142" s="164" t="s">
        <v>468</v>
      </c>
      <c r="J142" s="164" t="s">
        <v>469</v>
      </c>
    </row>
    <row r="143" spans="1:10" x14ac:dyDescent="0.3">
      <c r="A143" s="161">
        <f>A134+1</f>
        <v>805</v>
      </c>
      <c r="B143" s="208"/>
      <c r="C143" s="210" t="s">
        <v>470</v>
      </c>
      <c r="D143" s="96"/>
      <c r="E143" s="211">
        <f>D19</f>
        <v>-1642932131</v>
      </c>
      <c r="F143" s="78"/>
      <c r="G143" s="97">
        <f>SUM(F144:F155)</f>
        <v>365</v>
      </c>
      <c r="H143" s="98">
        <f xml:space="preserve"> 1</f>
        <v>1</v>
      </c>
      <c r="I143" s="212"/>
      <c r="J143" s="170">
        <f>+E143</f>
        <v>-1642932131</v>
      </c>
    </row>
    <row r="144" spans="1:10" x14ac:dyDescent="0.3">
      <c r="A144" s="161">
        <f>A143+1</f>
        <v>806</v>
      </c>
      <c r="B144" s="208"/>
      <c r="C144" s="210" t="s">
        <v>30</v>
      </c>
      <c r="D144" s="213">
        <f>($D$14-$D$19)/12</f>
        <v>1798717.0314528544</v>
      </c>
      <c r="E144" s="211">
        <f>E143+D144</f>
        <v>-1641133413.9685471</v>
      </c>
      <c r="F144" s="214">
        <v>31</v>
      </c>
      <c r="G144" s="215">
        <f>+G143-F144</f>
        <v>334</v>
      </c>
      <c r="H144" s="98">
        <f>G144/G143</f>
        <v>0.91506849315068495</v>
      </c>
      <c r="I144" s="212">
        <f t="shared" ref="I144:I155" si="5">D144*H144</f>
        <v>1645949.2835760366</v>
      </c>
      <c r="J144" s="177">
        <f>J143+I144</f>
        <v>-1641286181.716424</v>
      </c>
    </row>
    <row r="145" spans="1:10" x14ac:dyDescent="0.3">
      <c r="A145" s="161">
        <f t="shared" ref="A145:A156" si="6">A144+1</f>
        <v>807</v>
      </c>
      <c r="B145" s="208"/>
      <c r="C145" s="210" t="s">
        <v>32</v>
      </c>
      <c r="D145" s="213">
        <f t="shared" ref="D145:D155" si="7">($D$14-$D$19)/12</f>
        <v>1798717.0314528544</v>
      </c>
      <c r="E145" s="211">
        <f t="shared" ref="E145:E155" si="8">E144+D145</f>
        <v>-1639334696.9370942</v>
      </c>
      <c r="F145" s="214">
        <v>28</v>
      </c>
      <c r="G145" s="215">
        <f t="shared" ref="G145:G155" si="9">+G144-F145</f>
        <v>306</v>
      </c>
      <c r="H145" s="98">
        <f>G145/G143</f>
        <v>0.83835616438356164</v>
      </c>
      <c r="I145" s="212">
        <f t="shared" si="5"/>
        <v>1507965.5113002013</v>
      </c>
      <c r="J145" s="177">
        <f t="shared" ref="J145:J155" si="10">J144+I145</f>
        <v>-1639778216.2051239</v>
      </c>
    </row>
    <row r="146" spans="1:10" x14ac:dyDescent="0.3">
      <c r="A146" s="161">
        <f t="shared" si="6"/>
        <v>808</v>
      </c>
      <c r="B146" s="208"/>
      <c r="C146" s="210" t="s">
        <v>34</v>
      </c>
      <c r="D146" s="213">
        <f t="shared" si="7"/>
        <v>1798717.0314528544</v>
      </c>
      <c r="E146" s="211">
        <f t="shared" si="8"/>
        <v>-1637535979.9056413</v>
      </c>
      <c r="F146" s="214">
        <v>31</v>
      </c>
      <c r="G146" s="215">
        <f t="shared" si="9"/>
        <v>275</v>
      </c>
      <c r="H146" s="98">
        <f>G146/G143</f>
        <v>0.75342465753424659</v>
      </c>
      <c r="I146" s="212">
        <f t="shared" si="5"/>
        <v>1355197.7634233835</v>
      </c>
      <c r="J146" s="177">
        <f t="shared" si="10"/>
        <v>-1638423018.4417005</v>
      </c>
    </row>
    <row r="147" spans="1:10" x14ac:dyDescent="0.3">
      <c r="A147" s="161">
        <f t="shared" si="6"/>
        <v>809</v>
      </c>
      <c r="B147" s="208"/>
      <c r="C147" s="210" t="s">
        <v>36</v>
      </c>
      <c r="D147" s="213">
        <f t="shared" si="7"/>
        <v>1798717.0314528544</v>
      </c>
      <c r="E147" s="211">
        <f t="shared" si="8"/>
        <v>-1635737262.8741884</v>
      </c>
      <c r="F147" s="214">
        <v>30</v>
      </c>
      <c r="G147" s="215">
        <f t="shared" si="9"/>
        <v>245</v>
      </c>
      <c r="H147" s="98">
        <f>G147/G143</f>
        <v>0.67123287671232879</v>
      </c>
      <c r="I147" s="212">
        <f t="shared" si="5"/>
        <v>1207358.0074135598</v>
      </c>
      <c r="J147" s="177">
        <f t="shared" si="10"/>
        <v>-1637215660.4342868</v>
      </c>
    </row>
    <row r="148" spans="1:10" x14ac:dyDescent="0.3">
      <c r="A148" s="161">
        <f t="shared" si="6"/>
        <v>810</v>
      </c>
      <c r="B148" s="208"/>
      <c r="C148" s="210" t="s">
        <v>37</v>
      </c>
      <c r="D148" s="213">
        <f t="shared" si="7"/>
        <v>1798717.0314528544</v>
      </c>
      <c r="E148" s="211">
        <f t="shared" si="8"/>
        <v>-1633938545.8427355</v>
      </c>
      <c r="F148" s="214">
        <v>31</v>
      </c>
      <c r="G148" s="215">
        <f t="shared" si="9"/>
        <v>214</v>
      </c>
      <c r="H148" s="98">
        <f>G148/G143</f>
        <v>0.58630136986301373</v>
      </c>
      <c r="I148" s="212">
        <f t="shared" si="5"/>
        <v>1054590.259536742</v>
      </c>
      <c r="J148" s="177">
        <f t="shared" si="10"/>
        <v>-1636161070.1747501</v>
      </c>
    </row>
    <row r="149" spans="1:10" x14ac:dyDescent="0.3">
      <c r="A149" s="161">
        <f t="shared" si="6"/>
        <v>811</v>
      </c>
      <c r="B149" s="208"/>
      <c r="C149" s="210" t="s">
        <v>471</v>
      </c>
      <c r="D149" s="213">
        <f t="shared" si="7"/>
        <v>1798717.0314528544</v>
      </c>
      <c r="E149" s="211">
        <f t="shared" si="8"/>
        <v>-1632139828.8112826</v>
      </c>
      <c r="F149" s="214">
        <v>30</v>
      </c>
      <c r="G149" s="215">
        <f t="shared" si="9"/>
        <v>184</v>
      </c>
      <c r="H149" s="98">
        <f>G149/G143</f>
        <v>0.50410958904109593</v>
      </c>
      <c r="I149" s="212">
        <f t="shared" si="5"/>
        <v>906750.50352691847</v>
      </c>
      <c r="J149" s="177">
        <f t="shared" si="10"/>
        <v>-1635254319.6712232</v>
      </c>
    </row>
    <row r="150" spans="1:10" x14ac:dyDescent="0.3">
      <c r="A150" s="161">
        <f t="shared" si="6"/>
        <v>812</v>
      </c>
      <c r="B150" s="208"/>
      <c r="C150" s="210" t="s">
        <v>39</v>
      </c>
      <c r="D150" s="213">
        <f t="shared" si="7"/>
        <v>1798717.0314528544</v>
      </c>
      <c r="E150" s="211">
        <f t="shared" si="8"/>
        <v>-1630341111.7798297</v>
      </c>
      <c r="F150" s="214">
        <v>31</v>
      </c>
      <c r="G150" s="215">
        <f t="shared" si="9"/>
        <v>153</v>
      </c>
      <c r="H150" s="98">
        <f>G150/G143</f>
        <v>0.41917808219178082</v>
      </c>
      <c r="I150" s="212">
        <f t="shared" si="5"/>
        <v>753982.75565010065</v>
      </c>
      <c r="J150" s="177">
        <f t="shared" si="10"/>
        <v>-1634500336.9155731</v>
      </c>
    </row>
    <row r="151" spans="1:10" x14ac:dyDescent="0.3">
      <c r="A151" s="161">
        <f t="shared" si="6"/>
        <v>813</v>
      </c>
      <c r="B151" s="208"/>
      <c r="C151" s="210" t="s">
        <v>40</v>
      </c>
      <c r="D151" s="213">
        <f t="shared" si="7"/>
        <v>1798717.0314528544</v>
      </c>
      <c r="E151" s="211">
        <f t="shared" si="8"/>
        <v>-1628542394.7483768</v>
      </c>
      <c r="F151" s="214">
        <v>31</v>
      </c>
      <c r="G151" s="215">
        <f t="shared" si="9"/>
        <v>122</v>
      </c>
      <c r="H151" s="98">
        <f>G151/G143</f>
        <v>0.33424657534246577</v>
      </c>
      <c r="I151" s="212">
        <f t="shared" si="5"/>
        <v>601215.00777328282</v>
      </c>
      <c r="J151" s="177">
        <f t="shared" si="10"/>
        <v>-1633899121.9077997</v>
      </c>
    </row>
    <row r="152" spans="1:10" x14ac:dyDescent="0.3">
      <c r="A152" s="161">
        <f t="shared" si="6"/>
        <v>814</v>
      </c>
      <c r="B152" s="208"/>
      <c r="C152" s="210" t="s">
        <v>41</v>
      </c>
      <c r="D152" s="213">
        <f t="shared" si="7"/>
        <v>1798717.0314528544</v>
      </c>
      <c r="E152" s="211">
        <f t="shared" si="8"/>
        <v>-1626743677.716924</v>
      </c>
      <c r="F152" s="214">
        <v>30</v>
      </c>
      <c r="G152" s="215">
        <f t="shared" si="9"/>
        <v>92</v>
      </c>
      <c r="H152" s="98">
        <f>G152/G143</f>
        <v>0.25205479452054796</v>
      </c>
      <c r="I152" s="212">
        <f t="shared" si="5"/>
        <v>453375.25176345924</v>
      </c>
      <c r="J152" s="177">
        <f t="shared" si="10"/>
        <v>-1633445746.6560364</v>
      </c>
    </row>
    <row r="153" spans="1:10" x14ac:dyDescent="0.3">
      <c r="A153" s="161">
        <f t="shared" si="6"/>
        <v>815</v>
      </c>
      <c r="B153" s="208"/>
      <c r="C153" s="210" t="s">
        <v>42</v>
      </c>
      <c r="D153" s="213">
        <f t="shared" si="7"/>
        <v>1798717.0314528544</v>
      </c>
      <c r="E153" s="211">
        <f t="shared" si="8"/>
        <v>-1624944960.6854711</v>
      </c>
      <c r="F153" s="214">
        <v>31</v>
      </c>
      <c r="G153" s="215">
        <f t="shared" si="9"/>
        <v>61</v>
      </c>
      <c r="H153" s="98">
        <f>G153/G143</f>
        <v>0.16712328767123288</v>
      </c>
      <c r="I153" s="212">
        <f t="shared" si="5"/>
        <v>300607.50388664141</v>
      </c>
      <c r="J153" s="177">
        <f t="shared" si="10"/>
        <v>-1633145139.1521497</v>
      </c>
    </row>
    <row r="154" spans="1:10" x14ac:dyDescent="0.3">
      <c r="A154" s="161">
        <f t="shared" si="6"/>
        <v>816</v>
      </c>
      <c r="B154" s="208"/>
      <c r="C154" s="210" t="s">
        <v>43</v>
      </c>
      <c r="D154" s="213">
        <f t="shared" si="7"/>
        <v>1798717.0314528544</v>
      </c>
      <c r="E154" s="211">
        <f t="shared" si="8"/>
        <v>-1623146243.6540182</v>
      </c>
      <c r="F154" s="214">
        <v>30</v>
      </c>
      <c r="G154" s="215">
        <f t="shared" si="9"/>
        <v>31</v>
      </c>
      <c r="H154" s="98">
        <f>G154/G143</f>
        <v>8.4931506849315067E-2</v>
      </c>
      <c r="I154" s="212">
        <f t="shared" si="5"/>
        <v>152767.74787681777</v>
      </c>
      <c r="J154" s="177">
        <f t="shared" si="10"/>
        <v>-1632992371.4042728</v>
      </c>
    </row>
    <row r="155" spans="1:10" x14ac:dyDescent="0.3">
      <c r="A155" s="161">
        <f t="shared" si="6"/>
        <v>817</v>
      </c>
      <c r="B155" s="208"/>
      <c r="C155" s="210" t="s">
        <v>27</v>
      </c>
      <c r="D155" s="213">
        <f t="shared" si="7"/>
        <v>1798717.0314528544</v>
      </c>
      <c r="E155" s="211">
        <f t="shared" si="8"/>
        <v>-1621347526.6225653</v>
      </c>
      <c r="F155" s="214">
        <v>31</v>
      </c>
      <c r="G155" s="215">
        <f t="shared" si="9"/>
        <v>0</v>
      </c>
      <c r="H155" s="98">
        <f>G155/G143</f>
        <v>0</v>
      </c>
      <c r="I155" s="212">
        <f t="shared" si="5"/>
        <v>0</v>
      </c>
      <c r="J155" s="177">
        <f t="shared" si="10"/>
        <v>-1632992371.4042728</v>
      </c>
    </row>
    <row r="156" spans="1:10" x14ac:dyDescent="0.3">
      <c r="A156" s="161">
        <f t="shared" si="6"/>
        <v>818</v>
      </c>
      <c r="B156" s="208"/>
      <c r="C156" s="210" t="s">
        <v>472</v>
      </c>
      <c r="D156" s="213"/>
      <c r="E156" s="211">
        <f>D14</f>
        <v>-1621347526.6225657</v>
      </c>
      <c r="F156" s="78"/>
      <c r="G156" s="78"/>
      <c r="H156" s="78"/>
      <c r="I156" s="168"/>
      <c r="J156" s="216"/>
    </row>
    <row r="157" spans="1:10" x14ac:dyDescent="0.3">
      <c r="A157" s="217"/>
      <c r="B157" s="218"/>
      <c r="C157" s="99"/>
      <c r="D157" s="100"/>
      <c r="E157" s="100"/>
      <c r="F157" s="101"/>
      <c r="G157" s="101"/>
      <c r="H157" s="101"/>
      <c r="I157" s="219"/>
      <c r="J157" s="220"/>
    </row>
    <row r="158" spans="1:10" x14ac:dyDescent="0.3">
      <c r="B158" s="160"/>
      <c r="C158" s="182" t="s">
        <v>473</v>
      </c>
      <c r="D158" s="182"/>
      <c r="E158" s="182"/>
      <c r="F158" s="182"/>
      <c r="G158" s="182"/>
      <c r="J158" s="160"/>
    </row>
    <row r="159" spans="1:10" x14ac:dyDescent="0.3">
      <c r="B159" s="160"/>
      <c r="C159" s="182" t="s">
        <v>474</v>
      </c>
      <c r="D159" s="182"/>
      <c r="E159" s="182"/>
      <c r="F159" s="182"/>
      <c r="G159" s="182"/>
      <c r="J159" s="160"/>
    </row>
    <row r="160" spans="1:10" x14ac:dyDescent="0.3">
      <c r="B160" s="160"/>
      <c r="C160" s="182"/>
      <c r="D160" s="182"/>
      <c r="E160" s="182"/>
      <c r="F160" s="182"/>
      <c r="G160" s="182"/>
      <c r="J160" s="160"/>
    </row>
    <row r="161" spans="2:10" x14ac:dyDescent="0.3">
      <c r="B161" s="160"/>
      <c r="C161" s="182" t="s">
        <v>475</v>
      </c>
      <c r="D161" s="182"/>
      <c r="E161" s="182"/>
      <c r="F161" s="182"/>
      <c r="G161" s="182"/>
      <c r="J161" s="160"/>
    </row>
    <row r="162" spans="2:10" x14ac:dyDescent="0.3">
      <c r="B162" s="160"/>
      <c r="C162" s="182" t="s">
        <v>476</v>
      </c>
      <c r="D162" s="182"/>
      <c r="E162" s="182"/>
      <c r="F162" s="182"/>
      <c r="G162" s="182"/>
      <c r="J162" s="160"/>
    </row>
    <row r="163" spans="2:10" x14ac:dyDescent="0.3">
      <c r="B163" s="160"/>
      <c r="C163" s="182" t="s">
        <v>477</v>
      </c>
      <c r="D163" s="182"/>
      <c r="E163" s="182"/>
      <c r="F163" s="182"/>
      <c r="G163" s="182"/>
      <c r="J163" s="160"/>
    </row>
    <row r="164" spans="2:10" s="167" customFormat="1" x14ac:dyDescent="0.3">
      <c r="E164" s="161" t="s">
        <v>103</v>
      </c>
      <c r="G164" s="171" t="s">
        <v>478</v>
      </c>
      <c r="H164" s="182"/>
      <c r="I164" s="182"/>
    </row>
    <row r="165" spans="2:10" s="167" customFormat="1" x14ac:dyDescent="0.3">
      <c r="E165" s="164" t="s">
        <v>108</v>
      </c>
      <c r="G165" s="164" t="s">
        <v>219</v>
      </c>
      <c r="H165" s="182"/>
      <c r="I165" s="182"/>
    </row>
    <row r="166" spans="2:10" s="167" customFormat="1" ht="12.5" x14ac:dyDescent="0.25">
      <c r="C166" s="168" t="s">
        <v>479</v>
      </c>
      <c r="E166" s="167" t="s">
        <v>480</v>
      </c>
      <c r="G166" s="221">
        <v>801074308</v>
      </c>
      <c r="H166" s="182"/>
      <c r="I166" s="222"/>
    </row>
    <row r="167" spans="2:10" s="167" customFormat="1" ht="12.5" x14ac:dyDescent="0.25">
      <c r="C167" s="168" t="s">
        <v>481</v>
      </c>
      <c r="E167" s="167" t="s">
        <v>482</v>
      </c>
      <c r="G167" s="181">
        <v>650570</v>
      </c>
      <c r="H167" s="182"/>
      <c r="I167" s="222"/>
    </row>
    <row r="168" spans="2:10" s="167" customFormat="1" ht="12.5" x14ac:dyDescent="0.25">
      <c r="C168" s="168" t="s">
        <v>483</v>
      </c>
      <c r="E168" s="167" t="s">
        <v>484</v>
      </c>
      <c r="G168" s="223">
        <v>2165077</v>
      </c>
      <c r="H168" s="182"/>
      <c r="I168" s="222"/>
    </row>
    <row r="169" spans="2:10" s="167" customFormat="1" ht="12.5" x14ac:dyDescent="0.25">
      <c r="C169" s="168" t="s">
        <v>485</v>
      </c>
      <c r="E169" s="167" t="s">
        <v>486</v>
      </c>
      <c r="G169" s="170">
        <f>SUM(G166:G168)</f>
        <v>803889955</v>
      </c>
      <c r="H169" s="182"/>
      <c r="I169" s="182"/>
    </row>
    <row r="170" spans="2:10" s="167" customFormat="1" ht="12.5" x14ac:dyDescent="0.25">
      <c r="C170" s="168" t="s">
        <v>487</v>
      </c>
      <c r="E170" s="206" t="s">
        <v>488</v>
      </c>
      <c r="G170" s="169">
        <f>(G167+G168)/G169</f>
        <v>3.5025279050787494E-3</v>
      </c>
      <c r="H170" s="182"/>
      <c r="I170" s="182"/>
    </row>
    <row r="171" spans="2:10" s="167" customFormat="1" ht="12.5" x14ac:dyDescent="0.25">
      <c r="C171" s="224" t="s">
        <v>489</v>
      </c>
      <c r="D171" s="182"/>
      <c r="E171" s="182"/>
      <c r="F171" s="182"/>
      <c r="G171" s="182"/>
      <c r="H171" s="182"/>
      <c r="I171" s="182"/>
    </row>
    <row r="172" spans="2:10" s="167" customFormat="1" x14ac:dyDescent="0.3">
      <c r="E172" s="161" t="s">
        <v>103</v>
      </c>
      <c r="G172" s="171" t="s">
        <v>478</v>
      </c>
      <c r="H172" s="182"/>
      <c r="I172" s="182"/>
    </row>
    <row r="173" spans="2:10" s="167" customFormat="1" x14ac:dyDescent="0.3">
      <c r="E173" s="164" t="s">
        <v>108</v>
      </c>
      <c r="G173" s="164" t="s">
        <v>219</v>
      </c>
      <c r="H173" s="182"/>
      <c r="I173" s="182"/>
    </row>
    <row r="174" spans="2:10" s="167" customFormat="1" ht="12.5" x14ac:dyDescent="0.25">
      <c r="C174" s="168" t="s">
        <v>490</v>
      </c>
      <c r="E174" s="167" t="s">
        <v>491</v>
      </c>
      <c r="G174" s="221">
        <v>51320942976</v>
      </c>
      <c r="H174" s="182"/>
      <c r="I174" s="222"/>
    </row>
    <row r="175" spans="2:10" s="167" customFormat="1" ht="12.5" x14ac:dyDescent="0.25">
      <c r="C175" s="168" t="s">
        <v>492</v>
      </c>
      <c r="E175" s="167" t="s">
        <v>493</v>
      </c>
      <c r="G175" s="181">
        <v>6385691</v>
      </c>
      <c r="H175" s="182"/>
      <c r="I175" s="182"/>
    </row>
    <row r="176" spans="2:10" s="167" customFormat="1" ht="12.5" x14ac:dyDescent="0.25">
      <c r="C176" s="168" t="s">
        <v>494</v>
      </c>
      <c r="E176" s="167" t="s">
        <v>495</v>
      </c>
      <c r="G176" s="181">
        <v>39692393</v>
      </c>
      <c r="H176" s="182"/>
      <c r="I176" s="222"/>
    </row>
    <row r="177" spans="2:10" s="167" customFormat="1" ht="12.5" x14ac:dyDescent="0.25">
      <c r="C177" s="168" t="s">
        <v>496</v>
      </c>
      <c r="E177" s="167" t="s">
        <v>497</v>
      </c>
      <c r="G177" s="170">
        <f>SUM(G174:G176)</f>
        <v>51367021060</v>
      </c>
      <c r="H177" s="182"/>
      <c r="I177" s="182"/>
    </row>
    <row r="178" spans="2:10" s="167" customFormat="1" ht="12.5" x14ac:dyDescent="0.25">
      <c r="C178" s="168" t="s">
        <v>498</v>
      </c>
      <c r="E178" s="206" t="s">
        <v>499</v>
      </c>
      <c r="G178" s="169">
        <f>(G175+G176)/G177</f>
        <v>8.9703632893520962E-4</v>
      </c>
      <c r="H178" s="182"/>
      <c r="I178" s="182"/>
    </row>
    <row r="179" spans="2:10" s="167" customFormat="1" ht="12.5" x14ac:dyDescent="0.25">
      <c r="C179" s="182" t="s">
        <v>500</v>
      </c>
      <c r="D179" s="182"/>
      <c r="E179" s="182"/>
      <c r="F179" s="182"/>
      <c r="G179" s="182"/>
      <c r="H179" s="182"/>
      <c r="I179" s="182"/>
    </row>
    <row r="180" spans="2:10" s="167" customFormat="1" ht="12.5" x14ac:dyDescent="0.25">
      <c r="B180" s="182"/>
      <c r="C180" s="182"/>
      <c r="D180" s="182"/>
      <c r="E180" s="182"/>
      <c r="F180" s="182"/>
      <c r="G180" s="182"/>
      <c r="H180" s="182"/>
      <c r="I180" s="182"/>
      <c r="J180" s="182"/>
    </row>
    <row r="181" spans="2:10" s="167" customFormat="1" x14ac:dyDescent="0.3">
      <c r="B181" s="182"/>
      <c r="C181" s="163" t="s">
        <v>87</v>
      </c>
      <c r="D181" s="182"/>
      <c r="E181" s="182"/>
      <c r="F181" s="182"/>
      <c r="G181" s="182"/>
      <c r="H181" s="182"/>
      <c r="I181" s="182"/>
      <c r="J181" s="182"/>
    </row>
    <row r="182" spans="2:10" s="167" customFormat="1" ht="12.5" x14ac:dyDescent="0.25">
      <c r="B182" s="182"/>
      <c r="C182" s="167" t="s">
        <v>501</v>
      </c>
      <c r="D182" s="182"/>
      <c r="E182" s="182"/>
      <c r="F182" s="182"/>
      <c r="G182" s="182"/>
      <c r="H182" s="182"/>
      <c r="I182" s="182"/>
      <c r="J182" s="182"/>
    </row>
    <row r="183" spans="2:10" s="167" customFormat="1" ht="12.5" x14ac:dyDescent="0.25">
      <c r="B183" s="182"/>
      <c r="C183" s="167" t="s">
        <v>502</v>
      </c>
      <c r="D183" s="182"/>
      <c r="E183" s="182"/>
      <c r="F183" s="182"/>
      <c r="G183" s="182"/>
      <c r="H183" s="182"/>
      <c r="I183" s="182"/>
      <c r="J183" s="182"/>
    </row>
    <row r="184" spans="2:10" x14ac:dyDescent="0.3">
      <c r="C184" s="167" t="s">
        <v>503</v>
      </c>
    </row>
    <row r="185" spans="2:10" x14ac:dyDescent="0.3">
      <c r="C185" s="168" t="s">
        <v>504</v>
      </c>
    </row>
    <row r="186" spans="2:10" x14ac:dyDescent="0.3">
      <c r="C186" s="167" t="s">
        <v>505</v>
      </c>
    </row>
    <row r="187" spans="2:10" x14ac:dyDescent="0.3">
      <c r="C187" s="165" t="s">
        <v>506</v>
      </c>
    </row>
    <row r="188" spans="2:10" x14ac:dyDescent="0.3">
      <c r="C188" s="168" t="s">
        <v>507</v>
      </c>
    </row>
  </sheetData>
  <protectedRanges>
    <protectedRange password="F1C4" sqref="D20:E23 E15:E19 D14:D15 D17:D18 I53 B7:C12 F20 I116 D24 B14:C14 B13 B16:C23 B15 B25:F30 B24" name="AAReport1_23_1_1_2"/>
    <protectedRange password="F1C4" sqref="D19" name="AAReport1_23_1_1_1_1_1"/>
    <protectedRange password="F1C4" sqref="F32:F33 F46 J32:J35" name="AAReport1_23_1_1_2_1"/>
    <protectedRange password="F1C4" sqref="C24" name="AAReport1_23_1_1_2_1_1"/>
    <protectedRange password="F1C4" sqref="E24" name="AAReport1_23_1_1_2_3_2"/>
  </protectedRanges>
  <conditionalFormatting sqref="B110 B124:B125 D124:D125 D110">
    <cfRule type="expression" dxfId="8" priority="8" stopIfTrue="1">
      <formula>Formulas</formula>
    </cfRule>
  </conditionalFormatting>
  <conditionalFormatting sqref="D116">
    <cfRule type="expression" dxfId="7" priority="9" stopIfTrue="1">
      <formula>Formulas</formula>
    </cfRule>
  </conditionalFormatting>
  <conditionalFormatting sqref="C116 C110 C124:C125">
    <cfRule type="expression" dxfId="6" priority="7" stopIfTrue="1">
      <formula>#REF!&lt;&gt;""</formula>
    </cfRule>
  </conditionalFormatting>
  <conditionalFormatting sqref="D102:D109">
    <cfRule type="expression" dxfId="5" priority="6" stopIfTrue="1">
      <formula>Formulas</formula>
    </cfRule>
  </conditionalFormatting>
  <conditionalFormatting sqref="C102:C109">
    <cfRule type="expression" dxfId="4" priority="5" stopIfTrue="1">
      <formula>#REF!&lt;&gt;""</formula>
    </cfRule>
  </conditionalFormatting>
  <conditionalFormatting sqref="D122">
    <cfRule type="expression" dxfId="3" priority="4" stopIfTrue="1">
      <formula>Formulas</formula>
    </cfRule>
  </conditionalFormatting>
  <conditionalFormatting sqref="C122">
    <cfRule type="expression" dxfId="2" priority="3" stopIfTrue="1">
      <formula>#REF!&lt;&gt;""</formula>
    </cfRule>
  </conditionalFormatting>
  <conditionalFormatting sqref="D123">
    <cfRule type="expression" dxfId="1" priority="2" stopIfTrue="1">
      <formula>Formulas</formula>
    </cfRule>
  </conditionalFormatting>
  <conditionalFormatting sqref="C123">
    <cfRule type="expression" dxfId="0" priority="1" stopIfTrue="1">
      <formula>#REF!&lt;&gt;""</formula>
    </cfRule>
  </conditionalFormatting>
  <pageMargins left="0.75" right="0.75" top="1" bottom="1" header="0.5" footer="0.5"/>
  <pageSetup scale="59" orientation="landscape" cellComments="asDisplayed" r:id="rId1"/>
  <headerFooter alignWithMargins="0">
    <oddHeader xml:space="preserve">&amp;C&amp;"Arial,Regular"&amp;10Schedule 9
ADIT
(TO2018 Wildfire Adj)
&amp;R&amp;"Arial,Regular"&amp;10TO2021 Annual Update
Attachment 4
WP-Schedule 3-One Time Adjustment Transition
Page &amp;P of &amp;N
</oddHeader>
    <oddFooter>&amp;R&amp;A</oddFooter>
  </headerFooter>
  <rowBreaks count="5" manualBreakCount="5">
    <brk id="24" max="16383" man="1"/>
    <brk id="56" max="16383" man="1"/>
    <brk id="94" max="9" man="1"/>
    <brk id="125" max="16383" man="1"/>
    <brk id="157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DD52-EF61-47E8-8051-8B0A6F327BDC}">
  <sheetPr codeName="Sheet7">
    <tabColor rgb="FFCCECFF"/>
  </sheetPr>
  <dimension ref="A1:M444"/>
  <sheetViews>
    <sheetView zoomScaleNormal="100" zoomScaleSheetLayoutView="100" zoomScalePageLayoutView="70" workbookViewId="0"/>
  </sheetViews>
  <sheetFormatPr defaultRowHeight="12.5" x14ac:dyDescent="0.25"/>
  <cols>
    <col min="1" max="1" width="4.54296875" style="319" customWidth="1"/>
    <col min="2" max="2" width="12.54296875" style="319" customWidth="1"/>
    <col min="3" max="3" width="8.54296875" style="319" customWidth="1"/>
    <col min="4" max="4" width="15.453125" style="319" bestFit="1" customWidth="1"/>
    <col min="5" max="5" width="18.54296875" style="319" customWidth="1"/>
    <col min="6" max="6" width="16.453125" style="319" customWidth="1"/>
    <col min="7" max="7" width="13.453125" style="319" customWidth="1"/>
    <col min="8" max="8" width="13.54296875" style="319" bestFit="1" customWidth="1"/>
    <col min="9" max="9" width="17.453125" style="319" customWidth="1"/>
    <col min="10" max="10" width="15.453125" style="319" customWidth="1"/>
    <col min="11" max="11" width="17.453125" style="319" customWidth="1"/>
    <col min="12" max="12" width="14.54296875" style="319" bestFit="1" customWidth="1"/>
    <col min="13" max="13" width="13.453125" style="319" bestFit="1" customWidth="1"/>
    <col min="14" max="16384" width="8.7265625" style="319"/>
  </cols>
  <sheetData>
    <row r="1" spans="1:12" ht="13" x14ac:dyDescent="0.3">
      <c r="A1" s="318" t="s">
        <v>838</v>
      </c>
      <c r="K1" s="318"/>
    </row>
    <row r="2" spans="1:12" ht="13" x14ac:dyDescent="0.3">
      <c r="A2" s="318"/>
      <c r="K2" s="318"/>
    </row>
    <row r="3" spans="1:12" ht="13" x14ac:dyDescent="0.3">
      <c r="A3" s="318"/>
      <c r="B3" s="329" t="s">
        <v>839</v>
      </c>
      <c r="K3" s="318"/>
    </row>
    <row r="4" spans="1:12" ht="13" x14ac:dyDescent="0.3">
      <c r="B4" s="329" t="s">
        <v>840</v>
      </c>
      <c r="K4" s="318"/>
      <c r="L4" s="329"/>
    </row>
    <row r="5" spans="1:12" ht="13" x14ac:dyDescent="0.3">
      <c r="B5" s="329"/>
      <c r="K5" s="318"/>
    </row>
    <row r="6" spans="1:12" ht="13" x14ac:dyDescent="0.3">
      <c r="A6" s="329"/>
      <c r="B6" s="318" t="s">
        <v>841</v>
      </c>
      <c r="K6" s="318"/>
    </row>
    <row r="7" spans="1:12" ht="13" x14ac:dyDescent="0.3">
      <c r="A7" s="329"/>
      <c r="B7" s="318"/>
      <c r="D7" s="363" t="s">
        <v>12</v>
      </c>
      <c r="E7" s="363" t="s">
        <v>343</v>
      </c>
      <c r="F7" s="363" t="s">
        <v>361</v>
      </c>
      <c r="G7" s="363" t="s">
        <v>13</v>
      </c>
      <c r="H7" s="363" t="s">
        <v>362</v>
      </c>
      <c r="I7" s="363" t="s">
        <v>363</v>
      </c>
      <c r="J7" s="363"/>
      <c r="K7" s="318"/>
      <c r="L7" s="363"/>
    </row>
    <row r="8" spans="1:12" x14ac:dyDescent="0.25">
      <c r="D8" s="361" t="s">
        <v>842</v>
      </c>
    </row>
    <row r="9" spans="1:12" x14ac:dyDescent="0.25">
      <c r="D9" s="368" t="s">
        <v>843</v>
      </c>
    </row>
    <row r="10" spans="1:12" ht="13" x14ac:dyDescent="0.3">
      <c r="B10" s="321"/>
    </row>
    <row r="11" spans="1:12" ht="13" x14ac:dyDescent="0.3">
      <c r="B11" s="321"/>
      <c r="D11" s="321" t="s">
        <v>72</v>
      </c>
      <c r="F11" s="321" t="s">
        <v>844</v>
      </c>
      <c r="G11" s="369" t="s">
        <v>845</v>
      </c>
      <c r="H11" s="369" t="s">
        <v>846</v>
      </c>
      <c r="I11" s="321"/>
      <c r="J11" s="321"/>
      <c r="K11" s="329"/>
    </row>
    <row r="12" spans="1:12" ht="13" x14ac:dyDescent="0.3">
      <c r="A12" s="325" t="s">
        <v>22</v>
      </c>
      <c r="B12" s="94" t="s">
        <v>23</v>
      </c>
      <c r="C12" s="94" t="s">
        <v>24</v>
      </c>
      <c r="D12" s="326" t="s">
        <v>847</v>
      </c>
      <c r="E12" s="326" t="s">
        <v>848</v>
      </c>
      <c r="F12" s="326" t="s">
        <v>849</v>
      </c>
      <c r="G12" s="370" t="s">
        <v>850</v>
      </c>
      <c r="H12" s="370" t="s">
        <v>851</v>
      </c>
      <c r="I12" s="326" t="s">
        <v>852</v>
      </c>
      <c r="J12" s="326"/>
      <c r="K12" s="329"/>
    </row>
    <row r="13" spans="1:12" ht="13" x14ac:dyDescent="0.3">
      <c r="A13" s="321">
        <v>1</v>
      </c>
      <c r="B13" s="104" t="s">
        <v>27</v>
      </c>
      <c r="C13" s="371">
        <v>2018</v>
      </c>
      <c r="D13" s="333">
        <f>SUM(E13:I13)+SUM(D33:H33)</f>
        <v>442829075.92005408</v>
      </c>
      <c r="E13" s="372">
        <v>156282.26999999999</v>
      </c>
      <c r="F13" s="373">
        <v>0</v>
      </c>
      <c r="G13" s="373">
        <v>5220451.6500000004</v>
      </c>
      <c r="H13" s="373">
        <v>228226372.41</v>
      </c>
      <c r="I13" s="373">
        <v>0</v>
      </c>
      <c r="J13" s="374"/>
    </row>
    <row r="14" spans="1:12" ht="13" x14ac:dyDescent="0.3">
      <c r="A14" s="321">
        <f>A13+1</f>
        <v>2</v>
      </c>
      <c r="B14" s="104" t="s">
        <v>30</v>
      </c>
      <c r="C14" s="371">
        <v>2019</v>
      </c>
      <c r="D14" s="333">
        <f>SUM(E14:I14)+SUM(D34:H34)</f>
        <v>472722393.05005413</v>
      </c>
      <c r="E14" s="372">
        <v>156282.26999999999</v>
      </c>
      <c r="F14" s="373">
        <v>0</v>
      </c>
      <c r="G14" s="373">
        <v>5266927.67</v>
      </c>
      <c r="H14" s="373">
        <v>253402514.80000001</v>
      </c>
      <c r="I14" s="373">
        <v>0</v>
      </c>
      <c r="J14" s="374"/>
    </row>
    <row r="15" spans="1:12" ht="13" x14ac:dyDescent="0.3">
      <c r="A15" s="321">
        <f t="shared" ref="A15:A26" si="0">A14+1</f>
        <v>3</v>
      </c>
      <c r="B15" s="104" t="s">
        <v>32</v>
      </c>
      <c r="C15" s="371">
        <v>2019</v>
      </c>
      <c r="D15" s="333">
        <f t="shared" ref="D15:D25" si="1">SUM(E15:I15)+SUM(D35:H35)</f>
        <v>487765460.01005411</v>
      </c>
      <c r="E15" s="372">
        <v>156282.26999999999</v>
      </c>
      <c r="F15" s="373">
        <v>0</v>
      </c>
      <c r="G15" s="373">
        <v>5319581.3099999996</v>
      </c>
      <c r="H15" s="373">
        <v>266659186.94999999</v>
      </c>
      <c r="I15" s="373">
        <v>0</v>
      </c>
      <c r="J15" s="374"/>
    </row>
    <row r="16" spans="1:12" ht="13" x14ac:dyDescent="0.3">
      <c r="A16" s="321">
        <f t="shared" si="0"/>
        <v>4</v>
      </c>
      <c r="B16" s="104" t="s">
        <v>34</v>
      </c>
      <c r="C16" s="371">
        <v>2019</v>
      </c>
      <c r="D16" s="333">
        <f t="shared" si="1"/>
        <v>511877474.28005421</v>
      </c>
      <c r="E16" s="372">
        <v>156282.26999999999</v>
      </c>
      <c r="F16" s="373">
        <v>0</v>
      </c>
      <c r="G16" s="373">
        <v>5345711.95</v>
      </c>
      <c r="H16" s="373">
        <v>288804117.97000003</v>
      </c>
      <c r="I16" s="373">
        <v>0</v>
      </c>
      <c r="J16" s="374"/>
    </row>
    <row r="17" spans="1:11" ht="13" x14ac:dyDescent="0.3">
      <c r="A17" s="321">
        <f t="shared" si="0"/>
        <v>5</v>
      </c>
      <c r="B17" s="104" t="s">
        <v>36</v>
      </c>
      <c r="C17" s="371">
        <v>2019</v>
      </c>
      <c r="D17" s="333">
        <f t="shared" si="1"/>
        <v>552987154.63045406</v>
      </c>
      <c r="E17" s="372">
        <v>156915.20000000001</v>
      </c>
      <c r="F17" s="373">
        <v>0</v>
      </c>
      <c r="G17" s="373">
        <v>5406473.5</v>
      </c>
      <c r="H17" s="373">
        <v>317592590.81</v>
      </c>
      <c r="I17" s="373">
        <v>0</v>
      </c>
      <c r="J17" s="374"/>
    </row>
    <row r="18" spans="1:11" ht="13" x14ac:dyDescent="0.3">
      <c r="A18" s="321">
        <f t="shared" si="0"/>
        <v>6</v>
      </c>
      <c r="B18" s="104" t="s">
        <v>37</v>
      </c>
      <c r="C18" s="371">
        <v>2019</v>
      </c>
      <c r="D18" s="333">
        <f t="shared" si="1"/>
        <v>586610506.67005408</v>
      </c>
      <c r="E18" s="372">
        <v>156915.20000000001</v>
      </c>
      <c r="F18" s="373">
        <v>0</v>
      </c>
      <c r="G18" s="373">
        <v>5496940.6399999997</v>
      </c>
      <c r="H18" s="373">
        <v>340944316.75999999</v>
      </c>
      <c r="I18" s="373">
        <v>0</v>
      </c>
      <c r="J18" s="374"/>
    </row>
    <row r="19" spans="1:11" ht="13" x14ac:dyDescent="0.3">
      <c r="A19" s="321">
        <f t="shared" si="0"/>
        <v>7</v>
      </c>
      <c r="B19" s="104" t="s">
        <v>38</v>
      </c>
      <c r="C19" s="371">
        <v>2019</v>
      </c>
      <c r="D19" s="333">
        <f t="shared" si="1"/>
        <v>621571695.64005423</v>
      </c>
      <c r="E19" s="372">
        <v>156915.20000000001</v>
      </c>
      <c r="F19" s="373">
        <v>0</v>
      </c>
      <c r="G19" s="373">
        <v>5505966.71</v>
      </c>
      <c r="H19" s="373">
        <v>363648418.18000001</v>
      </c>
      <c r="I19" s="373">
        <v>0</v>
      </c>
      <c r="J19" s="374"/>
    </row>
    <row r="20" spans="1:11" ht="13" x14ac:dyDescent="0.3">
      <c r="A20" s="321">
        <f t="shared" si="0"/>
        <v>8</v>
      </c>
      <c r="B20" s="104" t="s">
        <v>39</v>
      </c>
      <c r="C20" s="371">
        <v>2019</v>
      </c>
      <c r="D20" s="333">
        <f t="shared" si="1"/>
        <v>644382967.01005423</v>
      </c>
      <c r="E20" s="372">
        <v>156915.20000000001</v>
      </c>
      <c r="F20" s="373">
        <v>0</v>
      </c>
      <c r="G20" s="373">
        <v>5545240.5199999996</v>
      </c>
      <c r="H20" s="373">
        <v>382091968.81</v>
      </c>
      <c r="I20" s="373">
        <v>0</v>
      </c>
      <c r="J20" s="374"/>
    </row>
    <row r="21" spans="1:11" ht="13" x14ac:dyDescent="0.3">
      <c r="A21" s="321">
        <f t="shared" si="0"/>
        <v>9</v>
      </c>
      <c r="B21" s="104" t="s">
        <v>40</v>
      </c>
      <c r="C21" s="371">
        <v>2019</v>
      </c>
      <c r="D21" s="333">
        <f t="shared" si="1"/>
        <v>667018299.47786617</v>
      </c>
      <c r="E21" s="372">
        <v>156915.20000000001</v>
      </c>
      <c r="F21" s="373">
        <v>0</v>
      </c>
      <c r="G21" s="373">
        <v>5551731.0199999996</v>
      </c>
      <c r="H21" s="373">
        <v>399965932.72000003</v>
      </c>
      <c r="I21" s="373">
        <v>0</v>
      </c>
      <c r="J21" s="374"/>
    </row>
    <row r="22" spans="1:11" ht="13" x14ac:dyDescent="0.3">
      <c r="A22" s="321">
        <f t="shared" si="0"/>
        <v>10</v>
      </c>
      <c r="B22" s="104" t="s">
        <v>41</v>
      </c>
      <c r="C22" s="371">
        <v>2019</v>
      </c>
      <c r="D22" s="333">
        <f t="shared" si="1"/>
        <v>705005373.29786611</v>
      </c>
      <c r="E22" s="372">
        <v>156915.20000000001</v>
      </c>
      <c r="F22" s="373">
        <v>0</v>
      </c>
      <c r="G22" s="373">
        <v>5551681.7000000002</v>
      </c>
      <c r="H22" s="373">
        <v>420281394.63</v>
      </c>
      <c r="I22" s="373">
        <v>0</v>
      </c>
      <c r="J22" s="374"/>
    </row>
    <row r="23" spans="1:11" ht="13" x14ac:dyDescent="0.3">
      <c r="A23" s="321">
        <f t="shared" si="0"/>
        <v>11</v>
      </c>
      <c r="B23" s="104" t="s">
        <v>853</v>
      </c>
      <c r="C23" s="371">
        <v>2019</v>
      </c>
      <c r="D23" s="333">
        <f t="shared" si="1"/>
        <v>734731437.8278662</v>
      </c>
      <c r="E23" s="372">
        <v>156915.20000000001</v>
      </c>
      <c r="F23" s="373">
        <v>0</v>
      </c>
      <c r="G23" s="373">
        <v>5553946.6500000004</v>
      </c>
      <c r="H23" s="373">
        <v>441271639.44</v>
      </c>
      <c r="I23" s="373">
        <v>0</v>
      </c>
      <c r="J23" s="374"/>
    </row>
    <row r="24" spans="1:11" ht="13" x14ac:dyDescent="0.3">
      <c r="A24" s="321">
        <f t="shared" si="0"/>
        <v>12</v>
      </c>
      <c r="B24" s="104" t="s">
        <v>43</v>
      </c>
      <c r="C24" s="371">
        <v>2019</v>
      </c>
      <c r="D24" s="333">
        <f t="shared" si="1"/>
        <v>753142415.20786619</v>
      </c>
      <c r="E24" s="372">
        <v>156915.20000000001</v>
      </c>
      <c r="F24" s="373">
        <v>0</v>
      </c>
      <c r="G24" s="373">
        <v>5555762.8799999999</v>
      </c>
      <c r="H24" s="373">
        <v>451949884.19</v>
      </c>
      <c r="I24" s="373">
        <v>0</v>
      </c>
      <c r="J24" s="374"/>
    </row>
    <row r="25" spans="1:11" ht="13" x14ac:dyDescent="0.3">
      <c r="A25" s="321">
        <f t="shared" si="0"/>
        <v>13</v>
      </c>
      <c r="B25" s="104" t="s">
        <v>27</v>
      </c>
      <c r="C25" s="371">
        <v>2019</v>
      </c>
      <c r="D25" s="332">
        <f t="shared" si="1"/>
        <v>647763205.16651607</v>
      </c>
      <c r="E25" s="375">
        <v>157682.99</v>
      </c>
      <c r="F25" s="376">
        <v>0</v>
      </c>
      <c r="G25" s="376">
        <v>5584199.04</v>
      </c>
      <c r="H25" s="376">
        <v>468121962.68000001</v>
      </c>
      <c r="I25" s="376">
        <v>0</v>
      </c>
      <c r="J25" s="374"/>
    </row>
    <row r="26" spans="1:11" ht="13" x14ac:dyDescent="0.3">
      <c r="A26" s="321">
        <f t="shared" si="0"/>
        <v>14</v>
      </c>
      <c r="B26" s="104"/>
      <c r="C26" s="377" t="s">
        <v>854</v>
      </c>
      <c r="D26" s="378">
        <f t="shared" ref="D26:I26" si="2">SUM(D13:D25)/13</f>
        <v>602185189.09144735</v>
      </c>
      <c r="E26" s="379">
        <f>SUM(E13:E25)/13</f>
        <v>156779.51307692306</v>
      </c>
      <c r="F26" s="379">
        <f t="shared" si="2"/>
        <v>0</v>
      </c>
      <c r="G26" s="379">
        <f t="shared" si="2"/>
        <v>5454201.1723076934</v>
      </c>
      <c r="H26" s="379">
        <f t="shared" si="2"/>
        <v>355612330.7961539</v>
      </c>
      <c r="I26" s="379">
        <f t="shared" si="2"/>
        <v>0</v>
      </c>
      <c r="J26" s="374"/>
      <c r="K26" s="374"/>
    </row>
    <row r="27" spans="1:11" ht="13" x14ac:dyDescent="0.3">
      <c r="A27" s="321"/>
      <c r="B27" s="104"/>
      <c r="C27" s="377"/>
      <c r="D27" s="379"/>
      <c r="E27" s="379"/>
      <c r="F27" s="379"/>
      <c r="G27" s="379"/>
      <c r="H27" s="379"/>
      <c r="I27" s="374"/>
      <c r="J27" s="331"/>
      <c r="K27" s="374"/>
    </row>
    <row r="28" spans="1:11" ht="13" x14ac:dyDescent="0.3">
      <c r="A28" s="321"/>
      <c r="B28" s="104"/>
      <c r="C28" s="377"/>
      <c r="D28" s="363" t="s">
        <v>364</v>
      </c>
      <c r="E28" s="363" t="s">
        <v>451</v>
      </c>
      <c r="F28" s="363" t="s">
        <v>685</v>
      </c>
      <c r="G28" s="363" t="s">
        <v>686</v>
      </c>
      <c r="H28" s="363" t="s">
        <v>687</v>
      </c>
      <c r="I28" s="363" t="s">
        <v>688</v>
      </c>
      <c r="J28" s="331"/>
      <c r="K28" s="374"/>
    </row>
    <row r="29" spans="1:11" ht="13" x14ac:dyDescent="0.3">
      <c r="A29" s="321"/>
      <c r="B29" s="104"/>
      <c r="C29" s="377"/>
      <c r="E29" s="369" t="s">
        <v>855</v>
      </c>
      <c r="F29" s="369"/>
      <c r="G29" s="369"/>
      <c r="H29" s="379"/>
      <c r="I29" s="374"/>
      <c r="J29" s="331"/>
      <c r="K29" s="374"/>
    </row>
    <row r="30" spans="1:11" ht="13" x14ac:dyDescent="0.3">
      <c r="B30" s="321"/>
      <c r="D30" s="321" t="s">
        <v>856</v>
      </c>
      <c r="E30" s="321" t="s">
        <v>857</v>
      </c>
      <c r="F30" s="369"/>
      <c r="G30" s="369"/>
      <c r="H30" s="379"/>
      <c r="I30" s="374"/>
      <c r="J30" s="331"/>
      <c r="K30" s="374"/>
    </row>
    <row r="31" spans="1:11" ht="13" x14ac:dyDescent="0.3">
      <c r="B31" s="321"/>
      <c r="D31" s="321" t="s">
        <v>858</v>
      </c>
      <c r="E31" s="321" t="s">
        <v>858</v>
      </c>
      <c r="F31" s="372"/>
      <c r="G31" s="380"/>
      <c r="H31" s="381" t="s">
        <v>859</v>
      </c>
      <c r="I31" s="380"/>
      <c r="J31" s="374"/>
      <c r="K31" s="374"/>
    </row>
    <row r="32" spans="1:11" ht="13.5" thickBot="1" x14ac:dyDescent="0.35">
      <c r="A32" s="325" t="s">
        <v>22</v>
      </c>
      <c r="B32" s="94" t="s">
        <v>23</v>
      </c>
      <c r="C32" s="94" t="s">
        <v>24</v>
      </c>
      <c r="D32" s="326" t="s">
        <v>860</v>
      </c>
      <c r="E32" s="326" t="s">
        <v>860</v>
      </c>
      <c r="F32" s="382" t="s">
        <v>861</v>
      </c>
      <c r="G32" s="382" t="s">
        <v>862</v>
      </c>
      <c r="H32" s="382" t="s">
        <v>863</v>
      </c>
      <c r="I32" s="382"/>
      <c r="J32" s="374"/>
      <c r="K32" s="374"/>
    </row>
    <row r="33" spans="1:11" ht="13" x14ac:dyDescent="0.3">
      <c r="A33" s="321">
        <f>+A26+1</f>
        <v>15</v>
      </c>
      <c r="B33" s="104" t="s">
        <v>27</v>
      </c>
      <c r="C33" s="371">
        <v>2018</v>
      </c>
      <c r="D33" s="373">
        <v>0</v>
      </c>
      <c r="E33" s="373">
        <v>0</v>
      </c>
      <c r="F33" s="383">
        <f>123208373.91+456370.793538</f>
        <v>123664744.703538</v>
      </c>
      <c r="G33" s="383">
        <f>20101220.48+238526.030866624</f>
        <v>20339746.510866623</v>
      </c>
      <c r="H33" s="383">
        <f>65187846.76+33631.6156495245</f>
        <v>65221478.375649519</v>
      </c>
      <c r="I33" s="384"/>
      <c r="J33" s="374"/>
      <c r="K33" s="374"/>
    </row>
    <row r="34" spans="1:11" ht="13" x14ac:dyDescent="0.3">
      <c r="A34" s="321">
        <f>A33+1</f>
        <v>16</v>
      </c>
      <c r="B34" s="104" t="s">
        <v>30</v>
      </c>
      <c r="C34" s="371">
        <v>2019</v>
      </c>
      <c r="D34" s="373">
        <v>0</v>
      </c>
      <c r="E34" s="373">
        <v>0</v>
      </c>
      <c r="F34" s="385">
        <f>128092182.55+456370.793538</f>
        <v>128548553.343538</v>
      </c>
      <c r="G34" s="385">
        <f>20216360.84+238526.030866624</f>
        <v>20454886.870866623</v>
      </c>
      <c r="H34" s="385">
        <f>64859596.48+33631.6156495245</f>
        <v>64893228.095649518</v>
      </c>
      <c r="I34" s="384"/>
      <c r="J34" s="374"/>
      <c r="K34" s="374"/>
    </row>
    <row r="35" spans="1:11" ht="13" x14ac:dyDescent="0.3">
      <c r="A35" s="321">
        <f t="shared" ref="A35:A46" si="3">A34+1</f>
        <v>17</v>
      </c>
      <c r="B35" s="104" t="s">
        <v>32</v>
      </c>
      <c r="C35" s="371">
        <v>2019</v>
      </c>
      <c r="D35" s="373">
        <v>0</v>
      </c>
      <c r="E35" s="373">
        <v>0</v>
      </c>
      <c r="F35" s="385">
        <f>129020038.06+456370.793538</f>
        <v>129476408.85353801</v>
      </c>
      <c r="G35" s="385">
        <f>20299975.9+238526.030866624</f>
        <v>20538501.930866621</v>
      </c>
      <c r="H35" s="385">
        <f>65581867.08+33631.6156495245</f>
        <v>65615498.69564952</v>
      </c>
      <c r="I35" s="384"/>
      <c r="J35" s="374"/>
      <c r="K35" s="374"/>
    </row>
    <row r="36" spans="1:11" ht="13" x14ac:dyDescent="0.3">
      <c r="A36" s="321">
        <f t="shared" si="3"/>
        <v>18</v>
      </c>
      <c r="B36" s="104" t="s">
        <v>34</v>
      </c>
      <c r="C36" s="371">
        <v>2019</v>
      </c>
      <c r="D36" s="373">
        <v>0</v>
      </c>
      <c r="E36" s="373">
        <v>0</v>
      </c>
      <c r="F36" s="385">
        <f>129270522.58+456370.793538</f>
        <v>129726893.373538</v>
      </c>
      <c r="G36" s="385">
        <f>20340469.41+238526.030866624</f>
        <v>20578995.440866623</v>
      </c>
      <c r="H36" s="385">
        <f>67231841.66+33631.6156495245</f>
        <v>67265473.275649518</v>
      </c>
      <c r="I36" s="384"/>
      <c r="J36" s="374"/>
      <c r="K36" s="374"/>
    </row>
    <row r="37" spans="1:11" ht="13" x14ac:dyDescent="0.3">
      <c r="A37" s="321">
        <f t="shared" si="3"/>
        <v>19</v>
      </c>
      <c r="B37" s="104" t="s">
        <v>36</v>
      </c>
      <c r="C37" s="371">
        <v>2019</v>
      </c>
      <c r="D37" s="373">
        <v>0</v>
      </c>
      <c r="E37" s="373">
        <v>0</v>
      </c>
      <c r="F37" s="385">
        <f>140178321.44+456370.793538</f>
        <v>140634692.233538</v>
      </c>
      <c r="G37" s="385">
        <f>20568513.64+330922.741266624</f>
        <v>20899436.381266624</v>
      </c>
      <c r="H37" s="385">
        <f>68263414.89+33631.6156495245</f>
        <v>68297046.505649522</v>
      </c>
      <c r="I37" s="384"/>
      <c r="J37" s="374"/>
      <c r="K37" s="374"/>
    </row>
    <row r="38" spans="1:11" ht="13" x14ac:dyDescent="0.3">
      <c r="A38" s="321">
        <f t="shared" si="3"/>
        <v>20</v>
      </c>
      <c r="B38" s="104" t="s">
        <v>37</v>
      </c>
      <c r="C38" s="371">
        <v>2019</v>
      </c>
      <c r="D38" s="373">
        <v>0</v>
      </c>
      <c r="E38" s="373">
        <v>0</v>
      </c>
      <c r="F38" s="385">
        <f>148755309.84+456370.793538</f>
        <v>149211680.63353801</v>
      </c>
      <c r="G38" s="385">
        <f>20672615.48+238526.030866624</f>
        <v>20911141.510866623</v>
      </c>
      <c r="H38" s="385">
        <f>69855849.39+33662.5356495245</f>
        <v>69889511.925649524</v>
      </c>
      <c r="I38" s="384"/>
      <c r="J38" s="374"/>
      <c r="K38" s="374"/>
    </row>
    <row r="39" spans="1:11" ht="13" x14ac:dyDescent="0.3">
      <c r="A39" s="321">
        <f t="shared" si="3"/>
        <v>21</v>
      </c>
      <c r="B39" s="104" t="s">
        <v>38</v>
      </c>
      <c r="C39" s="371">
        <v>2019</v>
      </c>
      <c r="D39" s="373">
        <v>0</v>
      </c>
      <c r="E39" s="373">
        <v>87058.16</v>
      </c>
      <c r="F39" s="385">
        <f>158253219.63+456370.793538</f>
        <v>158709590.423538</v>
      </c>
      <c r="G39" s="410">
        <f>20786417.91+238526.030866624</f>
        <v>21024943.940866623</v>
      </c>
      <c r="H39" s="385">
        <f>72405171.41+33631.6156495245</f>
        <v>72438803.025649518</v>
      </c>
      <c r="I39" s="384"/>
      <c r="J39" s="374"/>
      <c r="K39" s="374"/>
    </row>
    <row r="40" spans="1:11" ht="13" x14ac:dyDescent="0.3">
      <c r="A40" s="321">
        <f t="shared" si="3"/>
        <v>22</v>
      </c>
      <c r="B40" s="104" t="s">
        <v>39</v>
      </c>
      <c r="C40" s="371">
        <v>2019</v>
      </c>
      <c r="D40" s="373">
        <v>0</v>
      </c>
      <c r="E40" s="373">
        <v>98390.36</v>
      </c>
      <c r="F40" s="385">
        <f>160897148.81+456370.793538</f>
        <v>161353519.60353801</v>
      </c>
      <c r="G40" s="385">
        <f>20870506.37+238526.030866624</f>
        <v>21109032.400866624</v>
      </c>
      <c r="H40" s="385">
        <f>73994268.5+33631.6156495245</f>
        <v>74027900.115649521</v>
      </c>
      <c r="I40" s="384"/>
      <c r="J40" s="374"/>
      <c r="K40" s="374"/>
    </row>
    <row r="41" spans="1:11" ht="13" x14ac:dyDescent="0.3">
      <c r="A41" s="321">
        <f t="shared" si="3"/>
        <v>23</v>
      </c>
      <c r="B41" s="104" t="s">
        <v>40</v>
      </c>
      <c r="C41" s="371">
        <v>2019</v>
      </c>
      <c r="D41" s="373">
        <v>0</v>
      </c>
      <c r="E41" s="373">
        <v>111924.3</v>
      </c>
      <c r="F41" s="385">
        <f>163331531.42+464831.88135</f>
        <v>163796363.30135</v>
      </c>
      <c r="G41" s="385">
        <f>21042056.66+238526.030866624</f>
        <v>21280582.690866623</v>
      </c>
      <c r="H41" s="385">
        <f>76121218.63+33631.6156495245</f>
        <v>76154850.245649517</v>
      </c>
      <c r="I41" s="384"/>
      <c r="J41" s="374"/>
      <c r="K41" s="374"/>
    </row>
    <row r="42" spans="1:11" ht="13" x14ac:dyDescent="0.3">
      <c r="A42" s="321">
        <f t="shared" si="3"/>
        <v>24</v>
      </c>
      <c r="B42" s="104" t="s">
        <v>41</v>
      </c>
      <c r="C42" s="371">
        <v>2019</v>
      </c>
      <c r="D42" s="373">
        <v>0</v>
      </c>
      <c r="E42" s="373">
        <v>122336.3</v>
      </c>
      <c r="F42" s="385">
        <f>172963345.62+464831.88135</f>
        <v>173428177.50135002</v>
      </c>
      <c r="G42" s="385">
        <f>21184791.1+238526.030866624</f>
        <v>21423317.130866624</v>
      </c>
      <c r="H42" s="385">
        <f>84007919.22+33631.6156495245</f>
        <v>84041550.83564952</v>
      </c>
      <c r="I42" s="384"/>
      <c r="J42" s="374"/>
      <c r="K42" s="374"/>
    </row>
    <row r="43" spans="1:11" ht="13" x14ac:dyDescent="0.3">
      <c r="A43" s="321">
        <f t="shared" si="3"/>
        <v>25</v>
      </c>
      <c r="B43" s="104" t="s">
        <v>853</v>
      </c>
      <c r="C43" s="371">
        <v>2019</v>
      </c>
      <c r="D43" s="373">
        <v>0</v>
      </c>
      <c r="E43" s="373">
        <v>148302.65</v>
      </c>
      <c r="F43" s="385">
        <f>180404574.19+464831.88135</f>
        <v>180869406.07135001</v>
      </c>
      <c r="G43" s="385">
        <f>21434293.42+238526.030866624</f>
        <v>21672819.450866625</v>
      </c>
      <c r="H43" s="385">
        <f>85024776.75+33631.6156495245</f>
        <v>85058408.365649521</v>
      </c>
      <c r="I43" s="384"/>
      <c r="J43" s="374"/>
      <c r="K43" s="374"/>
    </row>
    <row r="44" spans="1:11" ht="13" x14ac:dyDescent="0.3">
      <c r="A44" s="321">
        <f t="shared" si="3"/>
        <v>26</v>
      </c>
      <c r="B44" s="104" t="s">
        <v>43</v>
      </c>
      <c r="C44" s="371">
        <v>2019</v>
      </c>
      <c r="D44" s="373">
        <v>0</v>
      </c>
      <c r="E44" s="373">
        <v>284388.24</v>
      </c>
      <c r="F44" s="386">
        <f>184436998.32+464831.88135</f>
        <v>184901830.20135</v>
      </c>
      <c r="G44" s="386">
        <f>21570700.27+238526.030866624</f>
        <v>21809226.300866622</v>
      </c>
      <c r="H44" s="387">
        <f>88450776.58+33631.6156495245</f>
        <v>88484408.19564952</v>
      </c>
      <c r="I44" s="384"/>
      <c r="J44" s="374"/>
      <c r="K44" s="374"/>
    </row>
    <row r="45" spans="1:11" ht="13.5" thickBot="1" x14ac:dyDescent="0.35">
      <c r="A45" s="321">
        <f t="shared" si="3"/>
        <v>27</v>
      </c>
      <c r="B45" s="104" t="s">
        <v>27</v>
      </c>
      <c r="C45" s="371">
        <v>2019</v>
      </c>
      <c r="D45" s="376">
        <v>0</v>
      </c>
      <c r="E45" s="376">
        <v>301246.76</v>
      </c>
      <c r="F45" s="388">
        <f>49845413.41+9529.5</f>
        <v>49854942.909999996</v>
      </c>
      <c r="G45" s="388">
        <f>21762814.39+238526.030866624</f>
        <v>22001340.420866624</v>
      </c>
      <c r="H45" s="389">
        <f>101708198.75+33631.6156495245</f>
        <v>101741830.36564952</v>
      </c>
      <c r="I45" s="384"/>
      <c r="J45" s="374"/>
      <c r="K45" s="374"/>
    </row>
    <row r="46" spans="1:11" ht="13" x14ac:dyDescent="0.3">
      <c r="A46" s="321">
        <f t="shared" si="3"/>
        <v>28</v>
      </c>
      <c r="B46" s="104"/>
      <c r="C46" s="377" t="s">
        <v>854</v>
      </c>
      <c r="D46" s="379">
        <f>SUM(D33:D45)/13</f>
        <v>0</v>
      </c>
      <c r="E46" s="379">
        <f>SUM(E33:E45)/13</f>
        <v>88742.059230769228</v>
      </c>
      <c r="F46" s="378">
        <f>SUM(F33:F45)/13</f>
        <v>144167446.39643878</v>
      </c>
      <c r="G46" s="378">
        <f>SUM(G33:G45)/13</f>
        <v>21080305.460128166</v>
      </c>
      <c r="H46" s="378">
        <f>SUM(H33:H45)/13</f>
        <v>75625383.694111049</v>
      </c>
      <c r="I46" s="390" t="s">
        <v>28</v>
      </c>
      <c r="J46" s="374"/>
      <c r="K46" s="374"/>
    </row>
    <row r="48" spans="1:11" ht="13" x14ac:dyDescent="0.3">
      <c r="B48" s="391" t="s">
        <v>864</v>
      </c>
    </row>
    <row r="49" spans="1:13" ht="13" x14ac:dyDescent="0.3">
      <c r="B49" s="391"/>
      <c r="D49" s="326" t="s">
        <v>12</v>
      </c>
      <c r="E49" s="326" t="s">
        <v>343</v>
      </c>
      <c r="F49" s="326" t="s">
        <v>361</v>
      </c>
      <c r="G49" s="326" t="s">
        <v>13</v>
      </c>
      <c r="H49" s="326" t="s">
        <v>362</v>
      </c>
      <c r="I49" s="326" t="s">
        <v>363</v>
      </c>
      <c r="J49" s="326" t="s">
        <v>364</v>
      </c>
      <c r="K49" s="326" t="s">
        <v>451</v>
      </c>
    </row>
    <row r="50" spans="1:13" s="392" customFormat="1" x14ac:dyDescent="0.25">
      <c r="D50" s="361" t="s">
        <v>54</v>
      </c>
      <c r="E50" s="361" t="s">
        <v>54</v>
      </c>
      <c r="F50" s="361" t="s">
        <v>54</v>
      </c>
      <c r="G50" s="361" t="s">
        <v>54</v>
      </c>
      <c r="H50" s="361" t="s">
        <v>54</v>
      </c>
      <c r="I50" s="361" t="s">
        <v>54</v>
      </c>
      <c r="J50" s="361" t="s">
        <v>54</v>
      </c>
      <c r="K50" s="361" t="s">
        <v>54</v>
      </c>
    </row>
    <row r="51" spans="1:13" ht="13" x14ac:dyDescent="0.3">
      <c r="G51" s="321" t="s">
        <v>865</v>
      </c>
      <c r="K51" s="321"/>
    </row>
    <row r="52" spans="1:13" ht="13" x14ac:dyDescent="0.3">
      <c r="A52" s="321"/>
      <c r="B52" s="321"/>
      <c r="C52" s="321"/>
      <c r="D52" s="321" t="s">
        <v>866</v>
      </c>
      <c r="E52" s="321" t="s">
        <v>867</v>
      </c>
      <c r="F52" s="321" t="s">
        <v>868</v>
      </c>
      <c r="G52" s="321" t="s">
        <v>344</v>
      </c>
      <c r="H52" s="321" t="s">
        <v>869</v>
      </c>
      <c r="I52" s="393" t="s">
        <v>870</v>
      </c>
      <c r="J52" s="321" t="s">
        <v>866</v>
      </c>
      <c r="K52" s="321" t="s">
        <v>871</v>
      </c>
    </row>
    <row r="53" spans="1:13" ht="13" x14ac:dyDescent="0.3">
      <c r="A53" s="325" t="s">
        <v>22</v>
      </c>
      <c r="B53" s="94" t="s">
        <v>23</v>
      </c>
      <c r="C53" s="94" t="s">
        <v>24</v>
      </c>
      <c r="D53" s="326" t="s">
        <v>872</v>
      </c>
      <c r="E53" s="326" t="s">
        <v>873</v>
      </c>
      <c r="F53" s="326" t="s">
        <v>874</v>
      </c>
      <c r="G53" s="326" t="s">
        <v>875</v>
      </c>
      <c r="H53" s="326" t="s">
        <v>876</v>
      </c>
      <c r="I53" s="326" t="s">
        <v>877</v>
      </c>
      <c r="J53" s="326" t="s">
        <v>878</v>
      </c>
      <c r="K53" s="326" t="s">
        <v>879</v>
      </c>
    </row>
    <row r="54" spans="1:13" ht="13" x14ac:dyDescent="0.3">
      <c r="A54" s="321">
        <f>A46+1</f>
        <v>29</v>
      </c>
      <c r="B54" s="104" t="s">
        <v>27</v>
      </c>
      <c r="C54" s="371">
        <v>2019</v>
      </c>
      <c r="D54" s="356" t="s">
        <v>28</v>
      </c>
      <c r="E54" s="356" t="s">
        <v>28</v>
      </c>
      <c r="F54" s="356" t="s">
        <v>28</v>
      </c>
      <c r="G54" s="356" t="s">
        <v>28</v>
      </c>
      <c r="H54" s="356" t="s">
        <v>28</v>
      </c>
      <c r="I54" s="356" t="s">
        <v>28</v>
      </c>
      <c r="J54" s="328">
        <f>D25</f>
        <v>647763205.16651607</v>
      </c>
      <c r="K54" s="356" t="s">
        <v>28</v>
      </c>
    </row>
    <row r="55" spans="1:13" ht="13" x14ac:dyDescent="0.3">
      <c r="A55" s="321">
        <f>A54+1</f>
        <v>30</v>
      </c>
      <c r="B55" s="104" t="s">
        <v>30</v>
      </c>
      <c r="C55" s="371">
        <v>2020</v>
      </c>
      <c r="D55" s="328">
        <f t="shared" ref="D55:K70" si="4">D89+D122+D153+D186+D217+D250+D281+D314+D345+D378</f>
        <v>19435447.518800002</v>
      </c>
      <c r="E55" s="328">
        <f t="shared" si="4"/>
        <v>1457658.56391</v>
      </c>
      <c r="F55" s="328">
        <f t="shared" si="4"/>
        <v>20893106.082710002</v>
      </c>
      <c r="G55" s="328">
        <f t="shared" si="4"/>
        <v>1653969.8068000001</v>
      </c>
      <c r="H55" s="328">
        <f t="shared" si="4"/>
        <v>0</v>
      </c>
      <c r="I55" s="328">
        <f t="shared" si="4"/>
        <v>124047.73551000001</v>
      </c>
      <c r="J55" s="328">
        <f>J89+J122+J153+J186+J217+J250+J281+J314+J345+J378</f>
        <v>565136463.34126675</v>
      </c>
      <c r="K55" s="328">
        <f t="shared" si="4"/>
        <v>19115088.540399995</v>
      </c>
      <c r="L55" s="394"/>
      <c r="M55" s="328"/>
    </row>
    <row r="56" spans="1:13" ht="13" x14ac:dyDescent="0.3">
      <c r="A56" s="321">
        <f t="shared" ref="A56:A79" si="5">A55+1</f>
        <v>31</v>
      </c>
      <c r="B56" s="104" t="s">
        <v>32</v>
      </c>
      <c r="C56" s="371">
        <v>2020</v>
      </c>
      <c r="D56" s="328">
        <f t="shared" si="4"/>
        <v>25334195.647</v>
      </c>
      <c r="E56" s="328">
        <f t="shared" si="4"/>
        <v>1900064.673525</v>
      </c>
      <c r="F56" s="328">
        <f t="shared" si="4"/>
        <v>27234260.320525002</v>
      </c>
      <c r="G56" s="328">
        <f t="shared" si="4"/>
        <v>1502677.0510000004</v>
      </c>
      <c r="H56" s="328">
        <f t="shared" si="4"/>
        <v>0</v>
      </c>
      <c r="I56" s="328">
        <f t="shared" si="4"/>
        <v>112700.77882500002</v>
      </c>
      <c r="J56" s="328">
        <f t="shared" si="4"/>
        <v>590755345.83196664</v>
      </c>
      <c r="K56" s="328">
        <f>K90+K123+K154+K187+K218+K251+K282+K315+K346+K379</f>
        <v>44733971.031099997</v>
      </c>
      <c r="L56" s="394"/>
      <c r="M56" s="328"/>
    </row>
    <row r="57" spans="1:13" ht="13" x14ac:dyDescent="0.3">
      <c r="A57" s="321">
        <f t="shared" si="5"/>
        <v>32</v>
      </c>
      <c r="B57" s="104" t="s">
        <v>34</v>
      </c>
      <c r="C57" s="371">
        <v>2020</v>
      </c>
      <c r="D57" s="328">
        <f t="shared" si="4"/>
        <v>17847111.862</v>
      </c>
      <c r="E57" s="328">
        <f t="shared" si="4"/>
        <v>1338533.38965</v>
      </c>
      <c r="F57" s="328">
        <f t="shared" si="4"/>
        <v>19185645.251650002</v>
      </c>
      <c r="G57" s="328">
        <f t="shared" si="4"/>
        <v>984871.10199999996</v>
      </c>
      <c r="H57" s="328">
        <f t="shared" si="4"/>
        <v>0</v>
      </c>
      <c r="I57" s="328">
        <f t="shared" si="4"/>
        <v>73865.332649999997</v>
      </c>
      <c r="J57" s="328">
        <f t="shared" si="4"/>
        <v>608882254.64896667</v>
      </c>
      <c r="K57" s="328">
        <f t="shared" si="4"/>
        <v>62860879.848100007</v>
      </c>
      <c r="L57" s="394"/>
      <c r="M57" s="328"/>
    </row>
    <row r="58" spans="1:13" ht="13" x14ac:dyDescent="0.3">
      <c r="A58" s="321">
        <f t="shared" si="5"/>
        <v>33</v>
      </c>
      <c r="B58" s="104" t="s">
        <v>36</v>
      </c>
      <c r="C58" s="371">
        <v>2020</v>
      </c>
      <c r="D58" s="328">
        <f t="shared" si="4"/>
        <v>27053200.310000002</v>
      </c>
      <c r="E58" s="328">
        <f t="shared" si="4"/>
        <v>2028990.0232500001</v>
      </c>
      <c r="F58" s="328">
        <f t="shared" si="4"/>
        <v>29082190.333250001</v>
      </c>
      <c r="G58" s="328">
        <f t="shared" si="4"/>
        <v>217331.31</v>
      </c>
      <c r="H58" s="328">
        <f t="shared" si="4"/>
        <v>0</v>
      </c>
      <c r="I58" s="328">
        <f t="shared" si="4"/>
        <v>16299.848249999999</v>
      </c>
      <c r="J58" s="328">
        <f t="shared" si="4"/>
        <v>637730813.82396662</v>
      </c>
      <c r="K58" s="328">
        <f t="shared" si="4"/>
        <v>91709439.023099974</v>
      </c>
      <c r="L58" s="394"/>
      <c r="M58" s="328"/>
    </row>
    <row r="59" spans="1:13" ht="13" x14ac:dyDescent="0.3">
      <c r="A59" s="321">
        <f t="shared" si="5"/>
        <v>34</v>
      </c>
      <c r="B59" s="104" t="s">
        <v>37</v>
      </c>
      <c r="C59" s="371">
        <v>2020</v>
      </c>
      <c r="D59" s="328">
        <f t="shared" si="4"/>
        <v>31518597.073999997</v>
      </c>
      <c r="E59" s="328">
        <f t="shared" si="4"/>
        <v>2363894.7805499993</v>
      </c>
      <c r="F59" s="328">
        <f t="shared" si="4"/>
        <v>33882491.854549997</v>
      </c>
      <c r="G59" s="328">
        <f t="shared" si="4"/>
        <v>486868.45000000007</v>
      </c>
      <c r="H59" s="328">
        <f t="shared" si="4"/>
        <v>344737.14</v>
      </c>
      <c r="I59" s="328">
        <f t="shared" si="4"/>
        <v>10659.848250000003</v>
      </c>
      <c r="J59" s="328">
        <f t="shared" si="4"/>
        <v>671115777.38026667</v>
      </c>
      <c r="K59" s="328">
        <f t="shared" si="4"/>
        <v>125094402.57939997</v>
      </c>
      <c r="L59" s="394"/>
      <c r="M59" s="328"/>
    </row>
    <row r="60" spans="1:13" ht="13" x14ac:dyDescent="0.3">
      <c r="A60" s="321">
        <f t="shared" si="5"/>
        <v>35</v>
      </c>
      <c r="B60" s="104" t="s">
        <v>471</v>
      </c>
      <c r="C60" s="371">
        <v>2020</v>
      </c>
      <c r="D60" s="328">
        <f t="shared" si="4"/>
        <v>25116078.349799998</v>
      </c>
      <c r="E60" s="328">
        <f t="shared" si="4"/>
        <v>1883705.8762349999</v>
      </c>
      <c r="F60" s="328">
        <f t="shared" si="4"/>
        <v>26999784.226034999</v>
      </c>
      <c r="G60" s="328">
        <f t="shared" si="4"/>
        <v>733106.59579999989</v>
      </c>
      <c r="H60" s="328">
        <f t="shared" si="4"/>
        <v>410800.01</v>
      </c>
      <c r="I60" s="328">
        <f t="shared" si="4"/>
        <v>24172.993934999991</v>
      </c>
      <c r="J60" s="328">
        <f t="shared" si="4"/>
        <v>697358282.01656663</v>
      </c>
      <c r="K60" s="328">
        <f t="shared" si="4"/>
        <v>151336907.21569997</v>
      </c>
      <c r="L60" s="394"/>
      <c r="M60" s="328"/>
    </row>
    <row r="61" spans="1:13" ht="13" x14ac:dyDescent="0.3">
      <c r="A61" s="321">
        <f t="shared" si="5"/>
        <v>36</v>
      </c>
      <c r="B61" s="104" t="s">
        <v>39</v>
      </c>
      <c r="C61" s="371">
        <v>2020</v>
      </c>
      <c r="D61" s="328">
        <f t="shared" si="4"/>
        <v>29486197.903999999</v>
      </c>
      <c r="E61" s="328">
        <f t="shared" si="4"/>
        <v>2211464.8428000002</v>
      </c>
      <c r="F61" s="328">
        <f t="shared" si="4"/>
        <v>31697662.746799998</v>
      </c>
      <c r="G61" s="328">
        <f t="shared" si="4"/>
        <v>21632.14</v>
      </c>
      <c r="H61" s="328">
        <f t="shared" si="4"/>
        <v>0</v>
      </c>
      <c r="I61" s="328">
        <f t="shared" si="4"/>
        <v>1622.4105</v>
      </c>
      <c r="J61" s="328">
        <f t="shared" si="4"/>
        <v>729032690.21286654</v>
      </c>
      <c r="K61" s="328">
        <f t="shared" si="4"/>
        <v>183011315.41199997</v>
      </c>
      <c r="L61" s="394"/>
      <c r="M61" s="328"/>
    </row>
    <row r="62" spans="1:13" ht="13" x14ac:dyDescent="0.3">
      <c r="A62" s="321">
        <f t="shared" si="5"/>
        <v>37</v>
      </c>
      <c r="B62" s="104" t="s">
        <v>40</v>
      </c>
      <c r="C62" s="371">
        <v>2020</v>
      </c>
      <c r="D62" s="328">
        <f t="shared" si="4"/>
        <v>26810024.675999999</v>
      </c>
      <c r="E62" s="328">
        <f t="shared" si="4"/>
        <v>2010751.8507000001</v>
      </c>
      <c r="F62" s="328">
        <f t="shared" si="4"/>
        <v>28820776.526700001</v>
      </c>
      <c r="G62" s="328">
        <f t="shared" si="4"/>
        <v>21632.14</v>
      </c>
      <c r="H62" s="328">
        <f t="shared" si="4"/>
        <v>0</v>
      </c>
      <c r="I62" s="328">
        <f t="shared" si="4"/>
        <v>1622.4105</v>
      </c>
      <c r="J62" s="328">
        <f t="shared" si="4"/>
        <v>757830212.18906665</v>
      </c>
      <c r="K62" s="328">
        <f t="shared" si="4"/>
        <v>211808837.38819999</v>
      </c>
      <c r="L62" s="394"/>
      <c r="M62" s="328"/>
    </row>
    <row r="63" spans="1:13" ht="13" x14ac:dyDescent="0.3">
      <c r="A63" s="321">
        <f t="shared" si="5"/>
        <v>38</v>
      </c>
      <c r="B63" s="104" t="s">
        <v>41</v>
      </c>
      <c r="C63" s="371">
        <v>2020</v>
      </c>
      <c r="D63" s="328">
        <f t="shared" si="4"/>
        <v>24474044.903999999</v>
      </c>
      <c r="E63" s="328">
        <f t="shared" si="4"/>
        <v>1835553.3677999999</v>
      </c>
      <c r="F63" s="328">
        <f t="shared" si="4"/>
        <v>26309598.2718</v>
      </c>
      <c r="G63" s="328">
        <f t="shared" si="4"/>
        <v>21632.14</v>
      </c>
      <c r="H63" s="328">
        <f t="shared" si="4"/>
        <v>0</v>
      </c>
      <c r="I63" s="328">
        <f t="shared" si="4"/>
        <v>1622.4105</v>
      </c>
      <c r="J63" s="328">
        <f t="shared" si="4"/>
        <v>784116555.91036665</v>
      </c>
      <c r="K63" s="328">
        <f t="shared" si="4"/>
        <v>238095181.10949993</v>
      </c>
      <c r="L63" s="394"/>
      <c r="M63" s="328"/>
    </row>
    <row r="64" spans="1:13" ht="13" x14ac:dyDescent="0.3">
      <c r="A64" s="321">
        <f t="shared" si="5"/>
        <v>39</v>
      </c>
      <c r="B64" s="104" t="s">
        <v>42</v>
      </c>
      <c r="C64" s="371">
        <v>2020</v>
      </c>
      <c r="D64" s="328">
        <f t="shared" si="4"/>
        <v>24267434.903999999</v>
      </c>
      <c r="E64" s="328">
        <f t="shared" si="4"/>
        <v>1820057.6177999999</v>
      </c>
      <c r="F64" s="328">
        <f t="shared" si="4"/>
        <v>26087492.5218</v>
      </c>
      <c r="G64" s="328">
        <f t="shared" si="4"/>
        <v>20965331.019999996</v>
      </c>
      <c r="H64" s="328">
        <f t="shared" si="4"/>
        <v>17136385.879999999</v>
      </c>
      <c r="I64" s="328">
        <f t="shared" si="4"/>
        <v>287170.88549999968</v>
      </c>
      <c r="J64" s="328">
        <f t="shared" si="4"/>
        <v>788951546.52666652</v>
      </c>
      <c r="K64" s="328">
        <f t="shared" si="4"/>
        <v>242930171.72579992</v>
      </c>
      <c r="L64" s="394"/>
      <c r="M64" s="328"/>
    </row>
    <row r="65" spans="1:13" ht="13" x14ac:dyDescent="0.3">
      <c r="A65" s="321">
        <f t="shared" si="5"/>
        <v>40</v>
      </c>
      <c r="B65" s="104" t="s">
        <v>43</v>
      </c>
      <c r="C65" s="371">
        <v>2020</v>
      </c>
      <c r="D65" s="328">
        <f t="shared" si="4"/>
        <v>16233495.540000001</v>
      </c>
      <c r="E65" s="328">
        <f t="shared" si="4"/>
        <v>1217512.1654999999</v>
      </c>
      <c r="F65" s="328">
        <f t="shared" si="4"/>
        <v>17451007.705499999</v>
      </c>
      <c r="G65" s="328">
        <f t="shared" si="4"/>
        <v>289632.14</v>
      </c>
      <c r="H65" s="328">
        <f t="shared" si="4"/>
        <v>0</v>
      </c>
      <c r="I65" s="328">
        <f t="shared" si="4"/>
        <v>21722.410499999998</v>
      </c>
      <c r="J65" s="328">
        <f t="shared" si="4"/>
        <v>806091199.68166661</v>
      </c>
      <c r="K65" s="328">
        <f t="shared" si="4"/>
        <v>260069824.88079995</v>
      </c>
      <c r="L65" s="394"/>
      <c r="M65" s="328"/>
    </row>
    <row r="66" spans="1:13" ht="13" x14ac:dyDescent="0.3">
      <c r="A66" s="321">
        <f t="shared" si="5"/>
        <v>41</v>
      </c>
      <c r="B66" s="104" t="s">
        <v>27</v>
      </c>
      <c r="C66" s="371">
        <v>2020</v>
      </c>
      <c r="D66" s="328">
        <f t="shared" si="4"/>
        <v>36474511.871199995</v>
      </c>
      <c r="E66" s="328">
        <f t="shared" si="4"/>
        <v>2735588.3903399995</v>
      </c>
      <c r="F66" s="328">
        <f t="shared" si="4"/>
        <v>39210100.261539996</v>
      </c>
      <c r="G66" s="328">
        <f t="shared" si="4"/>
        <v>554534219.29120004</v>
      </c>
      <c r="H66" s="328">
        <f t="shared" si="4"/>
        <v>394845413.81999999</v>
      </c>
      <c r="I66" s="328">
        <f t="shared" si="4"/>
        <v>11976660.41034</v>
      </c>
      <c r="J66" s="328">
        <f t="shared" si="4"/>
        <v>278790420.24166656</v>
      </c>
      <c r="K66" s="328">
        <f t="shared" si="4"/>
        <v>-267230954.55920011</v>
      </c>
      <c r="L66" s="394"/>
      <c r="M66" s="328"/>
    </row>
    <row r="67" spans="1:13" ht="13" x14ac:dyDescent="0.3">
      <c r="A67" s="321">
        <f t="shared" si="5"/>
        <v>42</v>
      </c>
      <c r="B67" s="104" t="s">
        <v>30</v>
      </c>
      <c r="C67" s="371">
        <v>2021</v>
      </c>
      <c r="D67" s="328">
        <f t="shared" si="4"/>
        <v>16090391.000000002</v>
      </c>
      <c r="E67" s="328">
        <f t="shared" si="4"/>
        <v>1206779.3250000002</v>
      </c>
      <c r="F67" s="328">
        <f t="shared" si="4"/>
        <v>17297170.325000003</v>
      </c>
      <c r="G67" s="328">
        <f t="shared" si="4"/>
        <v>5529600</v>
      </c>
      <c r="H67" s="328">
        <f t="shared" si="4"/>
        <v>0</v>
      </c>
      <c r="I67" s="328">
        <f t="shared" si="4"/>
        <v>414720</v>
      </c>
      <c r="J67" s="328">
        <f t="shared" si="4"/>
        <v>290143270.56666654</v>
      </c>
      <c r="K67" s="328">
        <f t="shared" si="4"/>
        <v>-255878104.23420012</v>
      </c>
      <c r="L67" s="394"/>
      <c r="M67" s="328"/>
    </row>
    <row r="68" spans="1:13" ht="13" x14ac:dyDescent="0.3">
      <c r="A68" s="321">
        <f t="shared" si="5"/>
        <v>43</v>
      </c>
      <c r="B68" s="104" t="s">
        <v>32</v>
      </c>
      <c r="C68" s="371">
        <v>2021</v>
      </c>
      <c r="D68" s="328">
        <f t="shared" si="4"/>
        <v>15640963</v>
      </c>
      <c r="E68" s="328">
        <f t="shared" si="4"/>
        <v>1173072.2250000001</v>
      </c>
      <c r="F68" s="328">
        <f t="shared" si="4"/>
        <v>16814035.225000001</v>
      </c>
      <c r="G68" s="328">
        <f t="shared" si="4"/>
        <v>5747600</v>
      </c>
      <c r="H68" s="328">
        <f t="shared" si="4"/>
        <v>0</v>
      </c>
      <c r="I68" s="328">
        <f t="shared" si="4"/>
        <v>431070</v>
      </c>
      <c r="J68" s="328">
        <f t="shared" si="4"/>
        <v>300778635.79166657</v>
      </c>
      <c r="K68" s="328">
        <f t="shared" si="4"/>
        <v>-245242739.0092001</v>
      </c>
      <c r="L68" s="394"/>
      <c r="M68" s="328"/>
    </row>
    <row r="69" spans="1:13" ht="13" x14ac:dyDescent="0.3">
      <c r="A69" s="321">
        <f t="shared" si="5"/>
        <v>44</v>
      </c>
      <c r="B69" s="104" t="s">
        <v>34</v>
      </c>
      <c r="C69" s="371">
        <v>2021</v>
      </c>
      <c r="D69" s="328">
        <f t="shared" si="4"/>
        <v>20920296</v>
      </c>
      <c r="E69" s="328">
        <f t="shared" si="4"/>
        <v>1569022.2</v>
      </c>
      <c r="F69" s="328">
        <f t="shared" si="4"/>
        <v>22489318.199999999</v>
      </c>
      <c r="G69" s="328">
        <f t="shared" si="4"/>
        <v>7860041</v>
      </c>
      <c r="H69" s="328">
        <f t="shared" si="4"/>
        <v>0</v>
      </c>
      <c r="I69" s="328">
        <f t="shared" si="4"/>
        <v>589503.07499999995</v>
      </c>
      <c r="J69" s="328">
        <f t="shared" si="4"/>
        <v>314818409.91666651</v>
      </c>
      <c r="K69" s="328">
        <f t="shared" si="4"/>
        <v>-231202964.8842001</v>
      </c>
      <c r="L69" s="394"/>
      <c r="M69" s="328"/>
    </row>
    <row r="70" spans="1:13" ht="13" x14ac:dyDescent="0.3">
      <c r="A70" s="321">
        <f t="shared" si="5"/>
        <v>45</v>
      </c>
      <c r="B70" s="104" t="s">
        <v>36</v>
      </c>
      <c r="C70" s="371">
        <v>2021</v>
      </c>
      <c r="D70" s="328">
        <f t="shared" si="4"/>
        <v>16861148</v>
      </c>
      <c r="E70" s="328">
        <f t="shared" si="4"/>
        <v>1264586.1000000001</v>
      </c>
      <c r="F70" s="328">
        <f t="shared" si="4"/>
        <v>18125734.100000001</v>
      </c>
      <c r="G70" s="328">
        <f t="shared" si="4"/>
        <v>33916245.480000004</v>
      </c>
      <c r="H70" s="328">
        <f t="shared" si="4"/>
        <v>13129540.48</v>
      </c>
      <c r="I70" s="328">
        <f t="shared" si="4"/>
        <v>1559002.875</v>
      </c>
      <c r="J70" s="328">
        <f t="shared" si="4"/>
        <v>297468895.66166657</v>
      </c>
      <c r="K70" s="328">
        <f t="shared" si="4"/>
        <v>-248552479.13920009</v>
      </c>
      <c r="L70" s="394"/>
      <c r="M70" s="328"/>
    </row>
    <row r="71" spans="1:13" ht="13" x14ac:dyDescent="0.3">
      <c r="A71" s="321">
        <f t="shared" si="5"/>
        <v>46</v>
      </c>
      <c r="B71" s="104" t="s">
        <v>37</v>
      </c>
      <c r="C71" s="371">
        <v>2021</v>
      </c>
      <c r="D71" s="328">
        <f t="shared" ref="D71:K78" si="6">D105+D138+D169+D202+D233+D266+D297+D330+D361+D394</f>
        <v>18835980</v>
      </c>
      <c r="E71" s="328">
        <f t="shared" si="6"/>
        <v>1412698.5</v>
      </c>
      <c r="F71" s="328">
        <f t="shared" si="6"/>
        <v>20248678.5</v>
      </c>
      <c r="G71" s="328">
        <f t="shared" si="6"/>
        <v>104418012.50999999</v>
      </c>
      <c r="H71" s="328">
        <f t="shared" si="6"/>
        <v>88739103.510000005</v>
      </c>
      <c r="I71" s="328">
        <f t="shared" si="6"/>
        <v>1175918.1749999993</v>
      </c>
      <c r="J71" s="328">
        <f t="shared" si="6"/>
        <v>212123643.47666654</v>
      </c>
      <c r="K71" s="328">
        <f t="shared" si="6"/>
        <v>-333897731.32420009</v>
      </c>
      <c r="L71" s="394"/>
      <c r="M71" s="328"/>
    </row>
    <row r="72" spans="1:13" ht="13" x14ac:dyDescent="0.3">
      <c r="A72" s="321">
        <f t="shared" si="5"/>
        <v>47</v>
      </c>
      <c r="B72" s="104" t="s">
        <v>471</v>
      </c>
      <c r="C72" s="371">
        <v>2021</v>
      </c>
      <c r="D72" s="328">
        <f t="shared" si="6"/>
        <v>16320647</v>
      </c>
      <c r="E72" s="328">
        <f t="shared" si="6"/>
        <v>1224048.5249999999</v>
      </c>
      <c r="F72" s="328">
        <f t="shared" si="6"/>
        <v>17544695.524999999</v>
      </c>
      <c r="G72" s="328">
        <f t="shared" si="6"/>
        <v>8864649</v>
      </c>
      <c r="H72" s="328">
        <f t="shared" si="6"/>
        <v>0</v>
      </c>
      <c r="I72" s="328">
        <f t="shared" si="6"/>
        <v>664848.67500000005</v>
      </c>
      <c r="J72" s="328">
        <f t="shared" si="6"/>
        <v>220138841.32666653</v>
      </c>
      <c r="K72" s="328">
        <f t="shared" si="6"/>
        <v>-325882533.47420013</v>
      </c>
      <c r="L72" s="394"/>
      <c r="M72" s="328"/>
    </row>
    <row r="73" spans="1:13" ht="13" x14ac:dyDescent="0.3">
      <c r="A73" s="321">
        <f t="shared" si="5"/>
        <v>48</v>
      </c>
      <c r="B73" s="104" t="s">
        <v>39</v>
      </c>
      <c r="C73" s="371">
        <v>2021</v>
      </c>
      <c r="D73" s="328">
        <f t="shared" si="6"/>
        <v>13348594</v>
      </c>
      <c r="E73" s="328">
        <f t="shared" si="6"/>
        <v>1001144.5499999998</v>
      </c>
      <c r="F73" s="328">
        <f t="shared" si="6"/>
        <v>14349738.549999997</v>
      </c>
      <c r="G73" s="328">
        <f t="shared" si="6"/>
        <v>5774740</v>
      </c>
      <c r="H73" s="328">
        <f t="shared" si="6"/>
        <v>0</v>
      </c>
      <c r="I73" s="328">
        <f t="shared" si="6"/>
        <v>433105.5</v>
      </c>
      <c r="J73" s="328">
        <f t="shared" si="6"/>
        <v>228280734.37666652</v>
      </c>
      <c r="K73" s="328">
        <f t="shared" si="6"/>
        <v>-317740640.42420018</v>
      </c>
      <c r="L73" s="394"/>
      <c r="M73" s="328"/>
    </row>
    <row r="74" spans="1:13" ht="13" x14ac:dyDescent="0.3">
      <c r="A74" s="321">
        <f t="shared" si="5"/>
        <v>49</v>
      </c>
      <c r="B74" s="104" t="s">
        <v>40</v>
      </c>
      <c r="C74" s="371">
        <v>2021</v>
      </c>
      <c r="D74" s="328">
        <f t="shared" si="6"/>
        <v>13335594</v>
      </c>
      <c r="E74" s="328">
        <f t="shared" si="6"/>
        <v>1000169.5499999998</v>
      </c>
      <c r="F74" s="328">
        <f t="shared" si="6"/>
        <v>14335763.549999997</v>
      </c>
      <c r="G74" s="328">
        <f t="shared" si="6"/>
        <v>185770011.63999996</v>
      </c>
      <c r="H74" s="328">
        <f t="shared" si="6"/>
        <v>35442344.640000001</v>
      </c>
      <c r="I74" s="328">
        <f t="shared" si="6"/>
        <v>11274575.024999997</v>
      </c>
      <c r="J74" s="328">
        <f t="shared" si="6"/>
        <v>45571911.261666536</v>
      </c>
      <c r="K74" s="328">
        <f t="shared" si="6"/>
        <v>-500449463.53920013</v>
      </c>
      <c r="L74" s="394"/>
      <c r="M74" s="328"/>
    </row>
    <row r="75" spans="1:13" ht="13" x14ac:dyDescent="0.3">
      <c r="A75" s="321">
        <f t="shared" si="5"/>
        <v>50</v>
      </c>
      <c r="B75" s="104" t="s">
        <v>41</v>
      </c>
      <c r="C75" s="371">
        <v>2021</v>
      </c>
      <c r="D75" s="328">
        <f t="shared" si="6"/>
        <v>12479048</v>
      </c>
      <c r="E75" s="328">
        <f t="shared" si="6"/>
        <v>935928.59999999986</v>
      </c>
      <c r="F75" s="328">
        <f t="shared" si="6"/>
        <v>13414976.599999998</v>
      </c>
      <c r="G75" s="328">
        <f t="shared" si="6"/>
        <v>19236333.759999998</v>
      </c>
      <c r="H75" s="328">
        <f t="shared" si="6"/>
        <v>301246.76</v>
      </c>
      <c r="I75" s="328">
        <f t="shared" si="6"/>
        <v>1420131.5249999997</v>
      </c>
      <c r="J75" s="328">
        <f t="shared" si="6"/>
        <v>38330422.576666549</v>
      </c>
      <c r="K75" s="340">
        <f t="shared" si="6"/>
        <v>-507690952.22420013</v>
      </c>
      <c r="L75" s="394"/>
      <c r="M75" s="328"/>
    </row>
    <row r="76" spans="1:13" ht="13" x14ac:dyDescent="0.3">
      <c r="A76" s="321">
        <f t="shared" si="5"/>
        <v>51</v>
      </c>
      <c r="B76" s="104" t="s">
        <v>42</v>
      </c>
      <c r="C76" s="371">
        <v>2021</v>
      </c>
      <c r="D76" s="328">
        <f t="shared" si="6"/>
        <v>11692594</v>
      </c>
      <c r="E76" s="328">
        <f t="shared" si="6"/>
        <v>876944.54999999981</v>
      </c>
      <c r="F76" s="328">
        <f t="shared" si="6"/>
        <v>12569538.549999997</v>
      </c>
      <c r="G76" s="328">
        <f t="shared" si="6"/>
        <v>15946471.609999999</v>
      </c>
      <c r="H76" s="328">
        <f t="shared" si="6"/>
        <v>4965082.6100000003</v>
      </c>
      <c r="I76" s="328">
        <f t="shared" si="6"/>
        <v>823604.17499999993</v>
      </c>
      <c r="J76" s="328">
        <f t="shared" si="6"/>
        <v>34129885.341666549</v>
      </c>
      <c r="K76" s="340">
        <f t="shared" si="6"/>
        <v>-511891489.45920014</v>
      </c>
      <c r="L76" s="394"/>
      <c r="M76" s="328"/>
    </row>
    <row r="77" spans="1:13" ht="13" x14ac:dyDescent="0.3">
      <c r="A77" s="321">
        <f t="shared" si="5"/>
        <v>52</v>
      </c>
      <c r="B77" s="104" t="s">
        <v>43</v>
      </c>
      <c r="C77" s="371">
        <v>2021</v>
      </c>
      <c r="D77" s="328">
        <f t="shared" si="6"/>
        <v>11475594</v>
      </c>
      <c r="E77" s="328">
        <f t="shared" si="6"/>
        <v>860669.54999999981</v>
      </c>
      <c r="F77" s="328">
        <f t="shared" si="6"/>
        <v>12336263.549999997</v>
      </c>
      <c r="G77" s="328">
        <f t="shared" si="6"/>
        <v>10090159</v>
      </c>
      <c r="H77" s="328">
        <f t="shared" si="6"/>
        <v>0</v>
      </c>
      <c r="I77" s="328">
        <f t="shared" si="6"/>
        <v>756761.92499999981</v>
      </c>
      <c r="J77" s="328">
        <f t="shared" si="6"/>
        <v>35619227.966666549</v>
      </c>
      <c r="K77" s="340">
        <f t="shared" si="6"/>
        <v>-510402146.83420008</v>
      </c>
      <c r="L77" s="394"/>
      <c r="M77" s="328"/>
    </row>
    <row r="78" spans="1:13" ht="13" x14ac:dyDescent="0.3">
      <c r="A78" s="321">
        <f t="shared" si="5"/>
        <v>53</v>
      </c>
      <c r="B78" s="104" t="s">
        <v>27</v>
      </c>
      <c r="C78" s="371">
        <v>2021</v>
      </c>
      <c r="D78" s="328">
        <f t="shared" si="6"/>
        <v>12468014.999999998</v>
      </c>
      <c r="E78" s="328">
        <f t="shared" si="6"/>
        <v>935101.12499999977</v>
      </c>
      <c r="F78" s="328">
        <f t="shared" si="6"/>
        <v>13403116.124999996</v>
      </c>
      <c r="G78" s="328">
        <f t="shared" si="6"/>
        <v>78796464.099999994</v>
      </c>
      <c r="H78" s="328">
        <f t="shared" si="6"/>
        <v>41240899.099999994</v>
      </c>
      <c r="I78" s="328">
        <f t="shared" si="6"/>
        <v>2816667.375</v>
      </c>
      <c r="J78" s="328">
        <f t="shared" si="6"/>
        <v>-32590787.383333459</v>
      </c>
      <c r="K78" s="335">
        <f>K112+K145+K176+K209+K240+K273+K304+K337+K368+K401</f>
        <v>-578612162.18420017</v>
      </c>
      <c r="L78" s="395"/>
      <c r="M78" s="328"/>
    </row>
    <row r="79" spans="1:13" ht="13" x14ac:dyDescent="0.3">
      <c r="A79" s="321">
        <f t="shared" si="5"/>
        <v>54</v>
      </c>
      <c r="C79" s="396" t="s">
        <v>880</v>
      </c>
      <c r="K79" s="397">
        <f>AVERAGE(K66:K78)</f>
        <v>-371898027.79150784</v>
      </c>
      <c r="L79" s="398"/>
    </row>
    <row r="81" spans="1:11" ht="13" x14ac:dyDescent="0.3">
      <c r="B81" s="391" t="s">
        <v>881</v>
      </c>
    </row>
    <row r="82" spans="1:11" ht="13" x14ac:dyDescent="0.3">
      <c r="B82" s="399" t="s">
        <v>882</v>
      </c>
      <c r="D82" s="429" t="s">
        <v>848</v>
      </c>
      <c r="E82" s="429"/>
    </row>
    <row r="83" spans="1:11" s="326" customFormat="1" ht="13" x14ac:dyDescent="0.3">
      <c r="D83" s="326" t="s">
        <v>12</v>
      </c>
      <c r="E83" s="326" t="s">
        <v>343</v>
      </c>
      <c r="F83" s="326" t="s">
        <v>361</v>
      </c>
      <c r="G83" s="326" t="s">
        <v>13</v>
      </c>
      <c r="H83" s="326" t="s">
        <v>362</v>
      </c>
      <c r="I83" s="326" t="s">
        <v>363</v>
      </c>
      <c r="J83" s="326" t="s">
        <v>364</v>
      </c>
      <c r="K83" s="326" t="s">
        <v>451</v>
      </c>
    </row>
    <row r="84" spans="1:11" ht="26.15" customHeight="1" x14ac:dyDescent="0.3">
      <c r="D84" s="363"/>
      <c r="E84" s="400" t="s">
        <v>883</v>
      </c>
      <c r="F84" s="356" t="s">
        <v>884</v>
      </c>
      <c r="G84" s="356"/>
      <c r="H84" s="363"/>
      <c r="I84" s="400" t="s">
        <v>885</v>
      </c>
      <c r="J84" s="400" t="s">
        <v>886</v>
      </c>
      <c r="K84" s="400" t="s">
        <v>887</v>
      </c>
    </row>
    <row r="85" spans="1:11" ht="13" x14ac:dyDescent="0.3">
      <c r="D85" s="363"/>
      <c r="E85" s="401"/>
      <c r="F85" s="401"/>
      <c r="G85" s="321" t="str">
        <f>G51</f>
        <v>Unloaded</v>
      </c>
      <c r="H85" s="363"/>
      <c r="I85" s="401"/>
      <c r="J85" s="401"/>
      <c r="K85" s="321"/>
    </row>
    <row r="86" spans="1:11" s="321" customFormat="1" ht="13" x14ac:dyDescent="0.3">
      <c r="D86" s="321" t="str">
        <f>D$52</f>
        <v>Forecast</v>
      </c>
      <c r="E86" s="321" t="str">
        <f t="shared" ref="E86:J86" si="7">E$52</f>
        <v>Corporate</v>
      </c>
      <c r="F86" s="321" t="str">
        <f t="shared" si="7"/>
        <v xml:space="preserve">Total </v>
      </c>
      <c r="G86" s="321" t="str">
        <f>G52</f>
        <v>Total</v>
      </c>
      <c r="H86" s="321" t="str">
        <f t="shared" si="7"/>
        <v>Prior Period</v>
      </c>
      <c r="I86" s="321" t="str">
        <f t="shared" si="7"/>
        <v>Over Heads</v>
      </c>
      <c r="J86" s="321" t="str">
        <f t="shared" si="7"/>
        <v>Forecast</v>
      </c>
      <c r="K86" s="321" t="str">
        <f>K$52</f>
        <v>Forecast Period</v>
      </c>
    </row>
    <row r="87" spans="1:11" ht="13" x14ac:dyDescent="0.3">
      <c r="A87" s="325" t="s">
        <v>22</v>
      </c>
      <c r="B87" s="94" t="s">
        <v>23</v>
      </c>
      <c r="C87" s="94" t="s">
        <v>24</v>
      </c>
      <c r="D87" s="326" t="str">
        <f>D$53</f>
        <v>Expenditures</v>
      </c>
      <c r="E87" s="326" t="str">
        <f t="shared" ref="E87:J87" si="8">E$53</f>
        <v>Overheads</v>
      </c>
      <c r="F87" s="326" t="str">
        <f t="shared" si="8"/>
        <v>CWIP Exp</v>
      </c>
      <c r="G87" s="326" t="str">
        <f>G53</f>
        <v>Plant Adds</v>
      </c>
      <c r="H87" s="326" t="str">
        <f t="shared" si="8"/>
        <v>CWIP Closed</v>
      </c>
      <c r="I87" s="326" t="str">
        <f t="shared" si="8"/>
        <v>Closed to PIS</v>
      </c>
      <c r="J87" s="326" t="str">
        <f t="shared" si="8"/>
        <v>Period CWIP</v>
      </c>
      <c r="K87" s="326" t="str">
        <f>K$53</f>
        <v>Incremental CWIP</v>
      </c>
    </row>
    <row r="88" spans="1:11" ht="13" x14ac:dyDescent="0.3">
      <c r="A88" s="321">
        <f>A79+1</f>
        <v>55</v>
      </c>
      <c r="B88" s="104" t="s">
        <v>27</v>
      </c>
      <c r="C88" s="371">
        <v>2019</v>
      </c>
      <c r="D88" s="356" t="s">
        <v>28</v>
      </c>
      <c r="E88" s="356" t="s">
        <v>28</v>
      </c>
      <c r="F88" s="356" t="s">
        <v>28</v>
      </c>
      <c r="G88" s="356" t="s">
        <v>28</v>
      </c>
      <c r="H88" s="356" t="s">
        <v>28</v>
      </c>
      <c r="I88" s="356" t="s">
        <v>28</v>
      </c>
      <c r="J88" s="328">
        <f>E25</f>
        <v>157682.99</v>
      </c>
      <c r="K88" s="356" t="s">
        <v>28</v>
      </c>
    </row>
    <row r="89" spans="1:11" ht="13" x14ac:dyDescent="0.3">
      <c r="A89" s="321">
        <f>A88+1</f>
        <v>56</v>
      </c>
      <c r="B89" s="104" t="s">
        <v>30</v>
      </c>
      <c r="C89" s="371">
        <v>2020</v>
      </c>
      <c r="D89" s="373">
        <v>62105.999999999993</v>
      </c>
      <c r="E89" s="328">
        <v>4657.9499999999989</v>
      </c>
      <c r="F89" s="328">
        <f>E89+D89</f>
        <v>66763.95</v>
      </c>
      <c r="G89" s="373">
        <v>62105.999999999993</v>
      </c>
      <c r="H89" s="373">
        <v>0</v>
      </c>
      <c r="I89" s="328">
        <v>4657.9499999999989</v>
      </c>
      <c r="J89" s="328">
        <f>J88+F89-G89-I89</f>
        <v>157682.99</v>
      </c>
      <c r="K89" s="328">
        <f>J89-$J$88</f>
        <v>0</v>
      </c>
    </row>
    <row r="90" spans="1:11" ht="13" x14ac:dyDescent="0.3">
      <c r="A90" s="321">
        <f t="shared" ref="A90:A108" si="9">A89+1</f>
        <v>57</v>
      </c>
      <c r="B90" s="104" t="s">
        <v>32</v>
      </c>
      <c r="C90" s="371">
        <v>2020</v>
      </c>
      <c r="D90" s="373">
        <v>380880.00000000006</v>
      </c>
      <c r="E90" s="328">
        <v>28566.000000000004</v>
      </c>
      <c r="F90" s="328">
        <f t="shared" ref="F90:F112" si="10">E90+D90</f>
        <v>409446.00000000006</v>
      </c>
      <c r="G90" s="373">
        <v>380880.00000000006</v>
      </c>
      <c r="H90" s="373">
        <v>0</v>
      </c>
      <c r="I90" s="328">
        <v>28566.000000000004</v>
      </c>
      <c r="J90" s="328">
        <f t="shared" ref="J90:J108" si="11">J89+F90-G90-I90</f>
        <v>157682.98999999993</v>
      </c>
      <c r="K90" s="328">
        <f t="shared" ref="K90:K112" si="12">J90-$J$88</f>
        <v>0</v>
      </c>
    </row>
    <row r="91" spans="1:11" ht="13" x14ac:dyDescent="0.3">
      <c r="A91" s="321">
        <f t="shared" si="9"/>
        <v>58</v>
      </c>
      <c r="B91" s="104" t="s">
        <v>34</v>
      </c>
      <c r="C91" s="371">
        <v>2020</v>
      </c>
      <c r="D91" s="373">
        <v>277026</v>
      </c>
      <c r="E91" s="328">
        <v>20776.95</v>
      </c>
      <c r="F91" s="328">
        <f t="shared" si="10"/>
        <v>297802.95</v>
      </c>
      <c r="G91" s="373">
        <v>277026</v>
      </c>
      <c r="H91" s="373">
        <v>0</v>
      </c>
      <c r="I91" s="328">
        <v>20776.95</v>
      </c>
      <c r="J91" s="328">
        <f t="shared" si="11"/>
        <v>157682.98999999993</v>
      </c>
      <c r="K91" s="328">
        <f t="shared" si="12"/>
        <v>0</v>
      </c>
    </row>
    <row r="92" spans="1:11" ht="13" x14ac:dyDescent="0.3">
      <c r="A92" s="321">
        <f t="shared" si="9"/>
        <v>59</v>
      </c>
      <c r="B92" s="104" t="s">
        <v>36</v>
      </c>
      <c r="C92" s="371">
        <v>2020</v>
      </c>
      <c r="D92" s="373">
        <v>47696</v>
      </c>
      <c r="E92" s="328">
        <v>3577.2</v>
      </c>
      <c r="F92" s="328">
        <f t="shared" si="10"/>
        <v>51273.2</v>
      </c>
      <c r="G92" s="373">
        <v>47696</v>
      </c>
      <c r="H92" s="373">
        <v>0</v>
      </c>
      <c r="I92" s="328">
        <v>3577.2</v>
      </c>
      <c r="J92" s="328">
        <f t="shared" si="11"/>
        <v>157682.98999999993</v>
      </c>
      <c r="K92" s="328">
        <f t="shared" si="12"/>
        <v>0</v>
      </c>
    </row>
    <row r="93" spans="1:11" ht="13" x14ac:dyDescent="0.3">
      <c r="A93" s="321">
        <f t="shared" si="9"/>
        <v>60</v>
      </c>
      <c r="B93" s="104" t="s">
        <v>37</v>
      </c>
      <c r="C93" s="371">
        <v>2020</v>
      </c>
      <c r="D93" s="373">
        <v>0</v>
      </c>
      <c r="E93" s="328">
        <v>0</v>
      </c>
      <c r="F93" s="328">
        <f t="shared" si="10"/>
        <v>0</v>
      </c>
      <c r="G93" s="373">
        <v>0</v>
      </c>
      <c r="H93" s="373">
        <v>0</v>
      </c>
      <c r="I93" s="328">
        <v>0</v>
      </c>
      <c r="J93" s="328">
        <f t="shared" si="11"/>
        <v>157682.98999999993</v>
      </c>
      <c r="K93" s="328">
        <f t="shared" si="12"/>
        <v>0</v>
      </c>
    </row>
    <row r="94" spans="1:11" ht="13" x14ac:dyDescent="0.3">
      <c r="A94" s="321">
        <f t="shared" si="9"/>
        <v>61</v>
      </c>
      <c r="B94" s="104" t="s">
        <v>471</v>
      </c>
      <c r="C94" s="371">
        <v>2020</v>
      </c>
      <c r="D94" s="373">
        <v>0</v>
      </c>
      <c r="E94" s="328">
        <v>0</v>
      </c>
      <c r="F94" s="328">
        <f t="shared" si="10"/>
        <v>0</v>
      </c>
      <c r="G94" s="373">
        <v>157682.99</v>
      </c>
      <c r="H94" s="373">
        <v>157682.99</v>
      </c>
      <c r="I94" s="328">
        <v>0</v>
      </c>
      <c r="J94" s="328">
        <f t="shared" si="11"/>
        <v>-5.8207660913467407E-11</v>
      </c>
      <c r="K94" s="328">
        <f t="shared" si="12"/>
        <v>-157682.99000000005</v>
      </c>
    </row>
    <row r="95" spans="1:11" ht="13" x14ac:dyDescent="0.3">
      <c r="A95" s="321">
        <f t="shared" si="9"/>
        <v>62</v>
      </c>
      <c r="B95" s="104" t="s">
        <v>39</v>
      </c>
      <c r="C95" s="371">
        <v>2020</v>
      </c>
      <c r="D95" s="373">
        <v>0</v>
      </c>
      <c r="E95" s="328">
        <v>0</v>
      </c>
      <c r="F95" s="328">
        <f t="shared" si="10"/>
        <v>0</v>
      </c>
      <c r="G95" s="373">
        <v>0</v>
      </c>
      <c r="H95" s="373">
        <v>0</v>
      </c>
      <c r="I95" s="328">
        <v>0</v>
      </c>
      <c r="J95" s="328">
        <f t="shared" si="11"/>
        <v>-5.8207660913467407E-11</v>
      </c>
      <c r="K95" s="328">
        <f t="shared" si="12"/>
        <v>-157682.99000000005</v>
      </c>
    </row>
    <row r="96" spans="1:11" ht="13" x14ac:dyDescent="0.3">
      <c r="A96" s="321">
        <f t="shared" si="9"/>
        <v>63</v>
      </c>
      <c r="B96" s="104" t="s">
        <v>40</v>
      </c>
      <c r="C96" s="371">
        <v>2020</v>
      </c>
      <c r="D96" s="373">
        <v>0</v>
      </c>
      <c r="E96" s="328">
        <v>0</v>
      </c>
      <c r="F96" s="328">
        <f t="shared" si="10"/>
        <v>0</v>
      </c>
      <c r="G96" s="373">
        <v>0</v>
      </c>
      <c r="H96" s="373">
        <v>0</v>
      </c>
      <c r="I96" s="328">
        <v>0</v>
      </c>
      <c r="J96" s="328">
        <f t="shared" si="11"/>
        <v>-5.8207660913467407E-11</v>
      </c>
      <c r="K96" s="328">
        <f t="shared" si="12"/>
        <v>-157682.99000000005</v>
      </c>
    </row>
    <row r="97" spans="1:11" ht="13" x14ac:dyDescent="0.3">
      <c r="A97" s="321">
        <f t="shared" si="9"/>
        <v>64</v>
      </c>
      <c r="B97" s="104" t="s">
        <v>41</v>
      </c>
      <c r="C97" s="371">
        <v>2020</v>
      </c>
      <c r="D97" s="373">
        <v>0</v>
      </c>
      <c r="E97" s="328">
        <v>0</v>
      </c>
      <c r="F97" s="328">
        <f t="shared" si="10"/>
        <v>0</v>
      </c>
      <c r="G97" s="373">
        <v>0</v>
      </c>
      <c r="H97" s="373">
        <v>0</v>
      </c>
      <c r="I97" s="328">
        <v>0</v>
      </c>
      <c r="J97" s="328">
        <f t="shared" si="11"/>
        <v>-5.8207660913467407E-11</v>
      </c>
      <c r="K97" s="328">
        <f t="shared" si="12"/>
        <v>-157682.99000000005</v>
      </c>
    </row>
    <row r="98" spans="1:11" ht="13" x14ac:dyDescent="0.3">
      <c r="A98" s="321">
        <f t="shared" si="9"/>
        <v>65</v>
      </c>
      <c r="B98" s="104" t="s">
        <v>42</v>
      </c>
      <c r="C98" s="371">
        <v>2020</v>
      </c>
      <c r="D98" s="373">
        <v>0</v>
      </c>
      <c r="E98" s="328">
        <v>0</v>
      </c>
      <c r="F98" s="328">
        <f t="shared" si="10"/>
        <v>0</v>
      </c>
      <c r="G98" s="373">
        <v>0</v>
      </c>
      <c r="H98" s="373">
        <v>0</v>
      </c>
      <c r="I98" s="328">
        <v>0</v>
      </c>
      <c r="J98" s="328">
        <f t="shared" si="11"/>
        <v>-5.8207660913467407E-11</v>
      </c>
      <c r="K98" s="328">
        <f t="shared" si="12"/>
        <v>-157682.99000000005</v>
      </c>
    </row>
    <row r="99" spans="1:11" ht="13" x14ac:dyDescent="0.3">
      <c r="A99" s="321">
        <f t="shared" si="9"/>
        <v>66</v>
      </c>
      <c r="B99" s="104" t="s">
        <v>43</v>
      </c>
      <c r="C99" s="371">
        <v>2020</v>
      </c>
      <c r="D99" s="373">
        <v>0</v>
      </c>
      <c r="E99" s="328">
        <v>0</v>
      </c>
      <c r="F99" s="328">
        <f t="shared" si="10"/>
        <v>0</v>
      </c>
      <c r="G99" s="373">
        <v>0</v>
      </c>
      <c r="H99" s="373">
        <v>0</v>
      </c>
      <c r="I99" s="328">
        <v>0</v>
      </c>
      <c r="J99" s="328">
        <f t="shared" si="11"/>
        <v>-5.8207660913467407E-11</v>
      </c>
      <c r="K99" s="328">
        <f t="shared" si="12"/>
        <v>-157682.99000000005</v>
      </c>
    </row>
    <row r="100" spans="1:11" ht="13" x14ac:dyDescent="0.3">
      <c r="A100" s="321">
        <f t="shared" si="9"/>
        <v>67</v>
      </c>
      <c r="B100" s="104" t="s">
        <v>27</v>
      </c>
      <c r="C100" s="371">
        <v>2020</v>
      </c>
      <c r="D100" s="373">
        <v>287364</v>
      </c>
      <c r="E100" s="328">
        <v>21552.3</v>
      </c>
      <c r="F100" s="328">
        <f t="shared" si="10"/>
        <v>308916.3</v>
      </c>
      <c r="G100" s="373">
        <v>287364</v>
      </c>
      <c r="H100" s="373">
        <v>0</v>
      </c>
      <c r="I100" s="328">
        <v>21552.3</v>
      </c>
      <c r="J100" s="328">
        <f t="shared" si="11"/>
        <v>-6.9121597334742546E-11</v>
      </c>
      <c r="K100" s="328">
        <f t="shared" si="12"/>
        <v>-157682.99000000005</v>
      </c>
    </row>
    <row r="101" spans="1:11" ht="13" x14ac:dyDescent="0.3">
      <c r="A101" s="321">
        <f t="shared" si="9"/>
        <v>68</v>
      </c>
      <c r="B101" s="104" t="s">
        <v>30</v>
      </c>
      <c r="C101" s="371">
        <v>2021</v>
      </c>
      <c r="D101" s="373">
        <v>0</v>
      </c>
      <c r="E101" s="328">
        <v>0</v>
      </c>
      <c r="F101" s="328">
        <f t="shared" si="10"/>
        <v>0</v>
      </c>
      <c r="G101" s="373">
        <v>0</v>
      </c>
      <c r="H101" s="373">
        <v>0</v>
      </c>
      <c r="I101" s="328">
        <v>0</v>
      </c>
      <c r="J101" s="328">
        <f t="shared" si="11"/>
        <v>-6.9121597334742546E-11</v>
      </c>
      <c r="K101" s="328">
        <f t="shared" si="12"/>
        <v>-157682.99000000005</v>
      </c>
    </row>
    <row r="102" spans="1:11" ht="13" x14ac:dyDescent="0.3">
      <c r="A102" s="321">
        <f t="shared" si="9"/>
        <v>69</v>
      </c>
      <c r="B102" s="104" t="s">
        <v>32</v>
      </c>
      <c r="C102" s="371">
        <v>2021</v>
      </c>
      <c r="D102" s="373">
        <v>0</v>
      </c>
      <c r="E102" s="328">
        <v>0</v>
      </c>
      <c r="F102" s="328">
        <f t="shared" si="10"/>
        <v>0</v>
      </c>
      <c r="G102" s="373">
        <v>0</v>
      </c>
      <c r="H102" s="373">
        <v>0</v>
      </c>
      <c r="I102" s="328">
        <v>0</v>
      </c>
      <c r="J102" s="328">
        <f t="shared" si="11"/>
        <v>-6.9121597334742546E-11</v>
      </c>
      <c r="K102" s="328">
        <f t="shared" si="12"/>
        <v>-157682.99000000005</v>
      </c>
    </row>
    <row r="103" spans="1:11" ht="13" x14ac:dyDescent="0.3">
      <c r="A103" s="321">
        <f t="shared" si="9"/>
        <v>70</v>
      </c>
      <c r="B103" s="104" t="s">
        <v>34</v>
      </c>
      <c r="C103" s="371">
        <v>2021</v>
      </c>
      <c r="D103" s="373">
        <v>0</v>
      </c>
      <c r="E103" s="328">
        <v>0</v>
      </c>
      <c r="F103" s="328">
        <f t="shared" si="10"/>
        <v>0</v>
      </c>
      <c r="G103" s="373">
        <v>0</v>
      </c>
      <c r="H103" s="373">
        <v>0</v>
      </c>
      <c r="I103" s="328">
        <v>0</v>
      </c>
      <c r="J103" s="328">
        <f t="shared" si="11"/>
        <v>-6.9121597334742546E-11</v>
      </c>
      <c r="K103" s="328">
        <f t="shared" si="12"/>
        <v>-157682.99000000005</v>
      </c>
    </row>
    <row r="104" spans="1:11" ht="13" x14ac:dyDescent="0.3">
      <c r="A104" s="321">
        <f t="shared" si="9"/>
        <v>71</v>
      </c>
      <c r="B104" s="104" t="s">
        <v>36</v>
      </c>
      <c r="C104" s="371">
        <v>2021</v>
      </c>
      <c r="D104" s="373">
        <v>0</v>
      </c>
      <c r="E104" s="328">
        <v>0</v>
      </c>
      <c r="F104" s="328">
        <f t="shared" si="10"/>
        <v>0</v>
      </c>
      <c r="G104" s="373">
        <v>0</v>
      </c>
      <c r="H104" s="373">
        <v>0</v>
      </c>
      <c r="I104" s="328">
        <v>0</v>
      </c>
      <c r="J104" s="328">
        <f t="shared" si="11"/>
        <v>-6.9121597334742546E-11</v>
      </c>
      <c r="K104" s="328">
        <f t="shared" si="12"/>
        <v>-157682.99000000005</v>
      </c>
    </row>
    <row r="105" spans="1:11" ht="13" x14ac:dyDescent="0.3">
      <c r="A105" s="321">
        <f t="shared" si="9"/>
        <v>72</v>
      </c>
      <c r="B105" s="104" t="s">
        <v>37</v>
      </c>
      <c r="C105" s="371">
        <v>2021</v>
      </c>
      <c r="D105" s="373">
        <v>0</v>
      </c>
      <c r="E105" s="328">
        <v>0</v>
      </c>
      <c r="F105" s="328">
        <f t="shared" si="10"/>
        <v>0</v>
      </c>
      <c r="G105" s="373">
        <v>0</v>
      </c>
      <c r="H105" s="373">
        <v>0</v>
      </c>
      <c r="I105" s="328">
        <v>0</v>
      </c>
      <c r="J105" s="328">
        <f t="shared" si="11"/>
        <v>-6.9121597334742546E-11</v>
      </c>
      <c r="K105" s="328">
        <f t="shared" si="12"/>
        <v>-157682.99000000005</v>
      </c>
    </row>
    <row r="106" spans="1:11" ht="13" x14ac:dyDescent="0.3">
      <c r="A106" s="321">
        <f t="shared" si="9"/>
        <v>73</v>
      </c>
      <c r="B106" s="104" t="s">
        <v>471</v>
      </c>
      <c r="C106" s="371">
        <v>2021</v>
      </c>
      <c r="D106" s="373">
        <v>0</v>
      </c>
      <c r="E106" s="328">
        <v>0</v>
      </c>
      <c r="F106" s="328">
        <f t="shared" si="10"/>
        <v>0</v>
      </c>
      <c r="G106" s="373">
        <v>0</v>
      </c>
      <c r="H106" s="373">
        <v>0</v>
      </c>
      <c r="I106" s="328">
        <v>0</v>
      </c>
      <c r="J106" s="328">
        <f t="shared" si="11"/>
        <v>-6.9121597334742546E-11</v>
      </c>
      <c r="K106" s="328">
        <f t="shared" si="12"/>
        <v>-157682.99000000005</v>
      </c>
    </row>
    <row r="107" spans="1:11" ht="13" x14ac:dyDescent="0.3">
      <c r="A107" s="321">
        <f t="shared" si="9"/>
        <v>74</v>
      </c>
      <c r="B107" s="104" t="s">
        <v>39</v>
      </c>
      <c r="C107" s="371">
        <v>2021</v>
      </c>
      <c r="D107" s="373">
        <v>0</v>
      </c>
      <c r="E107" s="328">
        <v>0</v>
      </c>
      <c r="F107" s="328">
        <f t="shared" si="10"/>
        <v>0</v>
      </c>
      <c r="G107" s="373">
        <v>0</v>
      </c>
      <c r="H107" s="373">
        <v>0</v>
      </c>
      <c r="I107" s="328">
        <v>0</v>
      </c>
      <c r="J107" s="328">
        <f t="shared" si="11"/>
        <v>-6.9121597334742546E-11</v>
      </c>
      <c r="K107" s="328">
        <f t="shared" si="12"/>
        <v>-157682.99000000005</v>
      </c>
    </row>
    <row r="108" spans="1:11" ht="13" x14ac:dyDescent="0.3">
      <c r="A108" s="321">
        <f t="shared" si="9"/>
        <v>75</v>
      </c>
      <c r="B108" s="104" t="s">
        <v>40</v>
      </c>
      <c r="C108" s="371">
        <v>2021</v>
      </c>
      <c r="D108" s="373">
        <v>0</v>
      </c>
      <c r="E108" s="328">
        <v>0</v>
      </c>
      <c r="F108" s="328">
        <f t="shared" si="10"/>
        <v>0</v>
      </c>
      <c r="G108" s="373">
        <v>0</v>
      </c>
      <c r="H108" s="373">
        <v>0</v>
      </c>
      <c r="I108" s="328">
        <v>0</v>
      </c>
      <c r="J108" s="328">
        <f t="shared" si="11"/>
        <v>-6.9121597334742546E-11</v>
      </c>
      <c r="K108" s="328">
        <f t="shared" si="12"/>
        <v>-157682.99000000005</v>
      </c>
    </row>
    <row r="109" spans="1:11" ht="13" x14ac:dyDescent="0.3">
      <c r="A109" s="321">
        <f>A108+1</f>
        <v>76</v>
      </c>
      <c r="B109" s="104" t="s">
        <v>41</v>
      </c>
      <c r="C109" s="371">
        <v>2021</v>
      </c>
      <c r="D109" s="373">
        <v>0</v>
      </c>
      <c r="E109" s="328">
        <v>0</v>
      </c>
      <c r="F109" s="328">
        <f t="shared" si="10"/>
        <v>0</v>
      </c>
      <c r="G109" s="373">
        <v>0</v>
      </c>
      <c r="H109" s="373">
        <v>0</v>
      </c>
      <c r="I109" s="328">
        <v>0</v>
      </c>
      <c r="J109" s="328">
        <f>J108+F109-G109-I109</f>
        <v>-6.9121597334742546E-11</v>
      </c>
      <c r="K109" s="328">
        <f t="shared" si="12"/>
        <v>-157682.99000000005</v>
      </c>
    </row>
    <row r="110" spans="1:11" ht="13" x14ac:dyDescent="0.3">
      <c r="A110" s="321">
        <f>A109+1</f>
        <v>77</v>
      </c>
      <c r="B110" s="104" t="s">
        <v>42</v>
      </c>
      <c r="C110" s="371">
        <v>2021</v>
      </c>
      <c r="D110" s="373">
        <v>0</v>
      </c>
      <c r="E110" s="328">
        <v>0</v>
      </c>
      <c r="F110" s="328">
        <f t="shared" si="10"/>
        <v>0</v>
      </c>
      <c r="G110" s="373">
        <v>0</v>
      </c>
      <c r="H110" s="373">
        <v>0</v>
      </c>
      <c r="I110" s="328">
        <v>0</v>
      </c>
      <c r="J110" s="328">
        <f>J109+F110-G110-I110</f>
        <v>-6.9121597334742546E-11</v>
      </c>
      <c r="K110" s="328">
        <f t="shared" si="12"/>
        <v>-157682.99000000005</v>
      </c>
    </row>
    <row r="111" spans="1:11" ht="13" x14ac:dyDescent="0.3">
      <c r="A111" s="321">
        <f>A110+1</f>
        <v>78</v>
      </c>
      <c r="B111" s="104" t="s">
        <v>43</v>
      </c>
      <c r="C111" s="371">
        <v>2021</v>
      </c>
      <c r="D111" s="373">
        <v>0</v>
      </c>
      <c r="E111" s="328">
        <v>0</v>
      </c>
      <c r="F111" s="328">
        <f t="shared" si="10"/>
        <v>0</v>
      </c>
      <c r="G111" s="373">
        <v>0</v>
      </c>
      <c r="H111" s="373">
        <v>0</v>
      </c>
      <c r="I111" s="328">
        <v>0</v>
      </c>
      <c r="J111" s="328">
        <f>J110+F111-G111-I111</f>
        <v>-6.9121597334742546E-11</v>
      </c>
      <c r="K111" s="328">
        <f t="shared" si="12"/>
        <v>-157682.99000000005</v>
      </c>
    </row>
    <row r="112" spans="1:11" ht="13" x14ac:dyDescent="0.3">
      <c r="A112" s="321">
        <f>A111+1</f>
        <v>79</v>
      </c>
      <c r="B112" s="104" t="s">
        <v>27</v>
      </c>
      <c r="C112" s="371">
        <v>2021</v>
      </c>
      <c r="D112" s="373">
        <v>0</v>
      </c>
      <c r="E112" s="328">
        <v>0</v>
      </c>
      <c r="F112" s="328">
        <f t="shared" si="10"/>
        <v>0</v>
      </c>
      <c r="G112" s="373">
        <v>0</v>
      </c>
      <c r="H112" s="373">
        <v>0</v>
      </c>
      <c r="I112" s="328">
        <v>0</v>
      </c>
      <c r="J112" s="328">
        <f>J111+F112-G112-I112</f>
        <v>-6.9121597334742546E-11</v>
      </c>
      <c r="K112" s="335">
        <f t="shared" si="12"/>
        <v>-157682.99000000005</v>
      </c>
    </row>
    <row r="113" spans="1:11" ht="13" x14ac:dyDescent="0.3">
      <c r="A113" s="321">
        <f>A112+1</f>
        <v>80</v>
      </c>
      <c r="C113" s="396" t="s">
        <v>880</v>
      </c>
      <c r="K113" s="397">
        <f>AVERAGE(K100:K112)</f>
        <v>-157682.99000000002</v>
      </c>
    </row>
    <row r="114" spans="1:11" ht="13" x14ac:dyDescent="0.3">
      <c r="A114" s="321"/>
      <c r="C114" s="396"/>
      <c r="K114" s="397"/>
    </row>
    <row r="115" spans="1:11" ht="13" x14ac:dyDescent="0.3">
      <c r="B115" s="399" t="s">
        <v>888</v>
      </c>
      <c r="D115" s="429" t="s">
        <v>889</v>
      </c>
      <c r="E115" s="429"/>
    </row>
    <row r="116" spans="1:11" ht="13" x14ac:dyDescent="0.3">
      <c r="A116" s="326"/>
      <c r="B116" s="326"/>
      <c r="C116" s="326"/>
      <c r="D116" s="326" t="s">
        <v>12</v>
      </c>
      <c r="E116" s="326" t="s">
        <v>343</v>
      </c>
      <c r="F116" s="326" t="s">
        <v>361</v>
      </c>
      <c r="G116" s="326" t="s">
        <v>13</v>
      </c>
      <c r="H116" s="326" t="s">
        <v>362</v>
      </c>
      <c r="I116" s="326" t="s">
        <v>363</v>
      </c>
      <c r="J116" s="326" t="s">
        <v>364</v>
      </c>
      <c r="K116" s="326" t="s">
        <v>451</v>
      </c>
    </row>
    <row r="117" spans="1:11" ht="25.5" x14ac:dyDescent="0.3">
      <c r="D117" s="363"/>
      <c r="E117" s="400" t="s">
        <v>883</v>
      </c>
      <c r="F117" s="356" t="s">
        <v>884</v>
      </c>
      <c r="G117" s="356"/>
      <c r="H117" s="363"/>
      <c r="I117" s="400" t="s">
        <v>885</v>
      </c>
      <c r="J117" s="400" t="s">
        <v>886</v>
      </c>
      <c r="K117" s="400" t="s">
        <v>887</v>
      </c>
    </row>
    <row r="118" spans="1:11" ht="13" x14ac:dyDescent="0.3">
      <c r="D118" s="363"/>
      <c r="E118" s="363"/>
      <c r="F118" s="363"/>
      <c r="G118" s="321" t="str">
        <f>G51</f>
        <v>Unloaded</v>
      </c>
      <c r="H118" s="363"/>
      <c r="I118" s="363"/>
    </row>
    <row r="119" spans="1:11" ht="13" x14ac:dyDescent="0.3">
      <c r="A119" s="321"/>
      <c r="B119" s="321"/>
      <c r="C119" s="321"/>
      <c r="D119" s="321" t="str">
        <f>D$52</f>
        <v>Forecast</v>
      </c>
      <c r="E119" s="321" t="str">
        <f t="shared" ref="E119:J119" si="13">E$52</f>
        <v>Corporate</v>
      </c>
      <c r="F119" s="321" t="str">
        <f t="shared" si="13"/>
        <v xml:space="preserve">Total </v>
      </c>
      <c r="G119" s="321" t="str">
        <f>G52</f>
        <v>Total</v>
      </c>
      <c r="H119" s="321" t="str">
        <f t="shared" si="13"/>
        <v>Prior Period</v>
      </c>
      <c r="I119" s="321" t="str">
        <f t="shared" si="13"/>
        <v>Over Heads</v>
      </c>
      <c r="J119" s="321" t="str">
        <f t="shared" si="13"/>
        <v>Forecast</v>
      </c>
      <c r="K119" s="321" t="str">
        <f>K$52</f>
        <v>Forecast Period</v>
      </c>
    </row>
    <row r="120" spans="1:11" ht="13" x14ac:dyDescent="0.3">
      <c r="A120" s="325" t="s">
        <v>22</v>
      </c>
      <c r="B120" s="94" t="s">
        <v>23</v>
      </c>
      <c r="C120" s="94" t="s">
        <v>24</v>
      </c>
      <c r="D120" s="326" t="str">
        <f>D$53</f>
        <v>Expenditures</v>
      </c>
      <c r="E120" s="326" t="str">
        <f t="shared" ref="E120:J120" si="14">E$53</f>
        <v>Overheads</v>
      </c>
      <c r="F120" s="326" t="str">
        <f t="shared" si="14"/>
        <v>CWIP Exp</v>
      </c>
      <c r="G120" s="326" t="str">
        <f>G53</f>
        <v>Plant Adds</v>
      </c>
      <c r="H120" s="326" t="str">
        <f t="shared" si="14"/>
        <v>CWIP Closed</v>
      </c>
      <c r="I120" s="326" t="str">
        <f t="shared" si="14"/>
        <v>Closed to PIS</v>
      </c>
      <c r="J120" s="326" t="str">
        <f t="shared" si="14"/>
        <v>Period CWIP</v>
      </c>
      <c r="K120" s="326" t="str">
        <f>K$53</f>
        <v>Incremental CWIP</v>
      </c>
    </row>
    <row r="121" spans="1:11" ht="13" x14ac:dyDescent="0.3">
      <c r="A121" s="321">
        <f>A113+1</f>
        <v>81</v>
      </c>
      <c r="B121" s="104" t="s">
        <v>27</v>
      </c>
      <c r="C121" s="371">
        <v>2019</v>
      </c>
      <c r="D121" s="356" t="s">
        <v>28</v>
      </c>
      <c r="E121" s="356" t="s">
        <v>28</v>
      </c>
      <c r="F121" s="356" t="s">
        <v>28</v>
      </c>
      <c r="G121" s="356" t="s">
        <v>28</v>
      </c>
      <c r="H121" s="356" t="s">
        <v>28</v>
      </c>
      <c r="I121" s="356" t="s">
        <v>28</v>
      </c>
      <c r="J121" s="328">
        <f>F25</f>
        <v>0</v>
      </c>
      <c r="K121" s="356" t="s">
        <v>28</v>
      </c>
    </row>
    <row r="122" spans="1:11" ht="13" x14ac:dyDescent="0.3">
      <c r="A122" s="321">
        <f>A121+1</f>
        <v>82</v>
      </c>
      <c r="B122" s="104" t="s">
        <v>30</v>
      </c>
      <c r="C122" s="371">
        <v>2020</v>
      </c>
      <c r="D122" s="373">
        <v>0</v>
      </c>
      <c r="E122" s="328">
        <v>0</v>
      </c>
      <c r="F122" s="328">
        <f>E122+D122</f>
        <v>0</v>
      </c>
      <c r="G122" s="373">
        <v>0</v>
      </c>
      <c r="H122" s="373">
        <v>0</v>
      </c>
      <c r="I122" s="328">
        <v>0</v>
      </c>
      <c r="J122" s="328">
        <f>J121+F122-G122-I122</f>
        <v>0</v>
      </c>
      <c r="K122" s="340">
        <f>J122-$J$121</f>
        <v>0</v>
      </c>
    </row>
    <row r="123" spans="1:11" ht="13" x14ac:dyDescent="0.3">
      <c r="A123" s="321">
        <f t="shared" ref="A123:A146" si="15">A122+1</f>
        <v>83</v>
      </c>
      <c r="B123" s="104" t="s">
        <v>32</v>
      </c>
      <c r="C123" s="371">
        <v>2020</v>
      </c>
      <c r="D123" s="373">
        <v>0</v>
      </c>
      <c r="E123" s="328">
        <v>0</v>
      </c>
      <c r="F123" s="328">
        <f t="shared" ref="F123:F145" si="16">E123+D123</f>
        <v>0</v>
      </c>
      <c r="G123" s="373">
        <v>0</v>
      </c>
      <c r="H123" s="373">
        <v>0</v>
      </c>
      <c r="I123" s="328">
        <v>0</v>
      </c>
      <c r="J123" s="328">
        <f t="shared" ref="J123:J145" si="17">J122+F123-G123-I123</f>
        <v>0</v>
      </c>
      <c r="K123" s="340">
        <f t="shared" ref="K123:K145" si="18">J123-$J$121</f>
        <v>0</v>
      </c>
    </row>
    <row r="124" spans="1:11" ht="13" x14ac:dyDescent="0.3">
      <c r="A124" s="321">
        <f t="shared" si="15"/>
        <v>84</v>
      </c>
      <c r="B124" s="104" t="s">
        <v>34</v>
      </c>
      <c r="C124" s="371">
        <v>2020</v>
      </c>
      <c r="D124" s="373">
        <v>0</v>
      </c>
      <c r="E124" s="328">
        <v>0</v>
      </c>
      <c r="F124" s="328">
        <f t="shared" si="16"/>
        <v>0</v>
      </c>
      <c r="G124" s="373">
        <v>0</v>
      </c>
      <c r="H124" s="373">
        <v>0</v>
      </c>
      <c r="I124" s="328">
        <v>0</v>
      </c>
      <c r="J124" s="328">
        <f t="shared" si="17"/>
        <v>0</v>
      </c>
      <c r="K124" s="340">
        <f t="shared" si="18"/>
        <v>0</v>
      </c>
    </row>
    <row r="125" spans="1:11" ht="13" x14ac:dyDescent="0.3">
      <c r="A125" s="321">
        <f t="shared" si="15"/>
        <v>85</v>
      </c>
      <c r="B125" s="104" t="s">
        <v>36</v>
      </c>
      <c r="C125" s="371">
        <v>2020</v>
      </c>
      <c r="D125" s="373">
        <v>0</v>
      </c>
      <c r="E125" s="328">
        <v>0</v>
      </c>
      <c r="F125" s="328">
        <f t="shared" si="16"/>
        <v>0</v>
      </c>
      <c r="G125" s="373">
        <v>0</v>
      </c>
      <c r="H125" s="373">
        <v>0</v>
      </c>
      <c r="I125" s="328">
        <v>0</v>
      </c>
      <c r="J125" s="328">
        <f t="shared" si="17"/>
        <v>0</v>
      </c>
      <c r="K125" s="340">
        <f t="shared" si="18"/>
        <v>0</v>
      </c>
    </row>
    <row r="126" spans="1:11" ht="13" x14ac:dyDescent="0.3">
      <c r="A126" s="321">
        <f t="shared" si="15"/>
        <v>86</v>
      </c>
      <c r="B126" s="104" t="s">
        <v>37</v>
      </c>
      <c r="C126" s="371">
        <v>2020</v>
      </c>
      <c r="D126" s="373">
        <v>0</v>
      </c>
      <c r="E126" s="328">
        <v>0</v>
      </c>
      <c r="F126" s="328">
        <f t="shared" si="16"/>
        <v>0</v>
      </c>
      <c r="G126" s="373">
        <v>0</v>
      </c>
      <c r="H126" s="373">
        <v>0</v>
      </c>
      <c r="I126" s="328">
        <v>0</v>
      </c>
      <c r="J126" s="328">
        <f t="shared" si="17"/>
        <v>0</v>
      </c>
      <c r="K126" s="340">
        <f t="shared" si="18"/>
        <v>0</v>
      </c>
    </row>
    <row r="127" spans="1:11" ht="13" x14ac:dyDescent="0.3">
      <c r="A127" s="321">
        <f t="shared" si="15"/>
        <v>87</v>
      </c>
      <c r="B127" s="104" t="s">
        <v>471</v>
      </c>
      <c r="C127" s="371">
        <v>2020</v>
      </c>
      <c r="D127" s="373">
        <v>0</v>
      </c>
      <c r="E127" s="328">
        <v>0</v>
      </c>
      <c r="F127" s="328">
        <f t="shared" si="16"/>
        <v>0</v>
      </c>
      <c r="G127" s="373">
        <v>0</v>
      </c>
      <c r="H127" s="373">
        <v>0</v>
      </c>
      <c r="I127" s="328">
        <v>0</v>
      </c>
      <c r="J127" s="328">
        <f t="shared" si="17"/>
        <v>0</v>
      </c>
      <c r="K127" s="340">
        <f t="shared" si="18"/>
        <v>0</v>
      </c>
    </row>
    <row r="128" spans="1:11" ht="13" x14ac:dyDescent="0.3">
      <c r="A128" s="321">
        <f t="shared" si="15"/>
        <v>88</v>
      </c>
      <c r="B128" s="104" t="s">
        <v>39</v>
      </c>
      <c r="C128" s="371">
        <v>2020</v>
      </c>
      <c r="D128" s="373">
        <v>0</v>
      </c>
      <c r="E128" s="328">
        <v>0</v>
      </c>
      <c r="F128" s="328">
        <f t="shared" si="16"/>
        <v>0</v>
      </c>
      <c r="G128" s="373">
        <v>0</v>
      </c>
      <c r="H128" s="373">
        <v>0</v>
      </c>
      <c r="I128" s="328">
        <v>0</v>
      </c>
      <c r="J128" s="328">
        <f t="shared" si="17"/>
        <v>0</v>
      </c>
      <c r="K128" s="340">
        <f t="shared" si="18"/>
        <v>0</v>
      </c>
    </row>
    <row r="129" spans="1:11" ht="13" x14ac:dyDescent="0.3">
      <c r="A129" s="321">
        <f t="shared" si="15"/>
        <v>89</v>
      </c>
      <c r="B129" s="104" t="s">
        <v>40</v>
      </c>
      <c r="C129" s="371">
        <v>2020</v>
      </c>
      <c r="D129" s="373">
        <v>0</v>
      </c>
      <c r="E129" s="328">
        <v>0</v>
      </c>
      <c r="F129" s="328">
        <f t="shared" si="16"/>
        <v>0</v>
      </c>
      <c r="G129" s="373">
        <v>0</v>
      </c>
      <c r="H129" s="373">
        <v>0</v>
      </c>
      <c r="I129" s="328">
        <v>0</v>
      </c>
      <c r="J129" s="328">
        <f t="shared" si="17"/>
        <v>0</v>
      </c>
      <c r="K129" s="340">
        <f t="shared" si="18"/>
        <v>0</v>
      </c>
    </row>
    <row r="130" spans="1:11" ht="13" x14ac:dyDescent="0.3">
      <c r="A130" s="321">
        <f t="shared" si="15"/>
        <v>90</v>
      </c>
      <c r="B130" s="104" t="s">
        <v>41</v>
      </c>
      <c r="C130" s="371">
        <v>2020</v>
      </c>
      <c r="D130" s="373">
        <v>0</v>
      </c>
      <c r="E130" s="328">
        <v>0</v>
      </c>
      <c r="F130" s="328">
        <f t="shared" si="16"/>
        <v>0</v>
      </c>
      <c r="G130" s="373">
        <v>0</v>
      </c>
      <c r="H130" s="373">
        <v>0</v>
      </c>
      <c r="I130" s="328">
        <v>0</v>
      </c>
      <c r="J130" s="328">
        <f t="shared" si="17"/>
        <v>0</v>
      </c>
      <c r="K130" s="340">
        <f t="shared" si="18"/>
        <v>0</v>
      </c>
    </row>
    <row r="131" spans="1:11" ht="13" x14ac:dyDescent="0.3">
      <c r="A131" s="321">
        <f t="shared" si="15"/>
        <v>91</v>
      </c>
      <c r="B131" s="104" t="s">
        <v>42</v>
      </c>
      <c r="C131" s="371">
        <v>2020</v>
      </c>
      <c r="D131" s="373">
        <v>0</v>
      </c>
      <c r="E131" s="328">
        <v>0</v>
      </c>
      <c r="F131" s="328">
        <f t="shared" si="16"/>
        <v>0</v>
      </c>
      <c r="G131" s="373">
        <v>0</v>
      </c>
      <c r="H131" s="373">
        <v>0</v>
      </c>
      <c r="I131" s="328">
        <v>0</v>
      </c>
      <c r="J131" s="328">
        <f t="shared" si="17"/>
        <v>0</v>
      </c>
      <c r="K131" s="340">
        <f t="shared" si="18"/>
        <v>0</v>
      </c>
    </row>
    <row r="132" spans="1:11" ht="13" x14ac:dyDescent="0.3">
      <c r="A132" s="321">
        <f t="shared" si="15"/>
        <v>92</v>
      </c>
      <c r="B132" s="104" t="s">
        <v>43</v>
      </c>
      <c r="C132" s="371">
        <v>2020</v>
      </c>
      <c r="D132" s="373">
        <v>0</v>
      </c>
      <c r="E132" s="328">
        <v>0</v>
      </c>
      <c r="F132" s="328">
        <f t="shared" si="16"/>
        <v>0</v>
      </c>
      <c r="G132" s="373">
        <v>0</v>
      </c>
      <c r="H132" s="373">
        <v>0</v>
      </c>
      <c r="I132" s="328">
        <v>0</v>
      </c>
      <c r="J132" s="328">
        <f t="shared" si="17"/>
        <v>0</v>
      </c>
      <c r="K132" s="340">
        <f t="shared" si="18"/>
        <v>0</v>
      </c>
    </row>
    <row r="133" spans="1:11" ht="13" x14ac:dyDescent="0.3">
      <c r="A133" s="321">
        <f t="shared" si="15"/>
        <v>93</v>
      </c>
      <c r="B133" s="104" t="s">
        <v>27</v>
      </c>
      <c r="C133" s="371">
        <v>2020</v>
      </c>
      <c r="D133" s="373">
        <v>0</v>
      </c>
      <c r="E133" s="328">
        <v>0</v>
      </c>
      <c r="F133" s="328">
        <f t="shared" si="16"/>
        <v>0</v>
      </c>
      <c r="G133" s="373">
        <v>0</v>
      </c>
      <c r="H133" s="373">
        <v>0</v>
      </c>
      <c r="I133" s="328">
        <v>0</v>
      </c>
      <c r="J133" s="328">
        <f t="shared" si="17"/>
        <v>0</v>
      </c>
      <c r="K133" s="340">
        <f t="shared" si="18"/>
        <v>0</v>
      </c>
    </row>
    <row r="134" spans="1:11" ht="13" x14ac:dyDescent="0.3">
      <c r="A134" s="321">
        <f t="shared" si="15"/>
        <v>94</v>
      </c>
      <c r="B134" s="104" t="s">
        <v>30</v>
      </c>
      <c r="C134" s="371">
        <v>2021</v>
      </c>
      <c r="D134" s="373">
        <v>0</v>
      </c>
      <c r="E134" s="328">
        <v>0</v>
      </c>
      <c r="F134" s="328">
        <f t="shared" si="16"/>
        <v>0</v>
      </c>
      <c r="G134" s="373">
        <v>0</v>
      </c>
      <c r="H134" s="373">
        <v>0</v>
      </c>
      <c r="I134" s="328">
        <v>0</v>
      </c>
      <c r="J134" s="328">
        <f t="shared" si="17"/>
        <v>0</v>
      </c>
      <c r="K134" s="340">
        <f t="shared" si="18"/>
        <v>0</v>
      </c>
    </row>
    <row r="135" spans="1:11" ht="13" x14ac:dyDescent="0.3">
      <c r="A135" s="321">
        <f t="shared" si="15"/>
        <v>95</v>
      </c>
      <c r="B135" s="104" t="s">
        <v>32</v>
      </c>
      <c r="C135" s="371">
        <v>2021</v>
      </c>
      <c r="D135" s="373">
        <v>0</v>
      </c>
      <c r="E135" s="328">
        <v>0</v>
      </c>
      <c r="F135" s="328">
        <f t="shared" si="16"/>
        <v>0</v>
      </c>
      <c r="G135" s="373">
        <v>0</v>
      </c>
      <c r="H135" s="373">
        <v>0</v>
      </c>
      <c r="I135" s="328">
        <v>0</v>
      </c>
      <c r="J135" s="328">
        <f t="shared" si="17"/>
        <v>0</v>
      </c>
      <c r="K135" s="340">
        <f t="shared" si="18"/>
        <v>0</v>
      </c>
    </row>
    <row r="136" spans="1:11" ht="13" x14ac:dyDescent="0.3">
      <c r="A136" s="321">
        <f t="shared" si="15"/>
        <v>96</v>
      </c>
      <c r="B136" s="104" t="s">
        <v>34</v>
      </c>
      <c r="C136" s="371">
        <v>2021</v>
      </c>
      <c r="D136" s="373">
        <v>0</v>
      </c>
      <c r="E136" s="328">
        <v>0</v>
      </c>
      <c r="F136" s="328">
        <f t="shared" si="16"/>
        <v>0</v>
      </c>
      <c r="G136" s="373">
        <v>0</v>
      </c>
      <c r="H136" s="373">
        <v>0</v>
      </c>
      <c r="I136" s="328">
        <v>0</v>
      </c>
      <c r="J136" s="328">
        <f t="shared" si="17"/>
        <v>0</v>
      </c>
      <c r="K136" s="340">
        <f t="shared" si="18"/>
        <v>0</v>
      </c>
    </row>
    <row r="137" spans="1:11" ht="13" x14ac:dyDescent="0.3">
      <c r="A137" s="321">
        <f t="shared" si="15"/>
        <v>97</v>
      </c>
      <c r="B137" s="104" t="s">
        <v>36</v>
      </c>
      <c r="C137" s="371">
        <v>2021</v>
      </c>
      <c r="D137" s="373">
        <v>0</v>
      </c>
      <c r="E137" s="328">
        <v>0</v>
      </c>
      <c r="F137" s="328">
        <f t="shared" si="16"/>
        <v>0</v>
      </c>
      <c r="G137" s="373">
        <v>0</v>
      </c>
      <c r="H137" s="373">
        <v>0</v>
      </c>
      <c r="I137" s="328">
        <v>0</v>
      </c>
      <c r="J137" s="328">
        <f t="shared" si="17"/>
        <v>0</v>
      </c>
      <c r="K137" s="340">
        <f t="shared" si="18"/>
        <v>0</v>
      </c>
    </row>
    <row r="138" spans="1:11" ht="13" x14ac:dyDescent="0.3">
      <c r="A138" s="321">
        <f t="shared" si="15"/>
        <v>98</v>
      </c>
      <c r="B138" s="104" t="s">
        <v>37</v>
      </c>
      <c r="C138" s="371">
        <v>2021</v>
      </c>
      <c r="D138" s="373">
        <v>0</v>
      </c>
      <c r="E138" s="328">
        <v>0</v>
      </c>
      <c r="F138" s="328">
        <f t="shared" si="16"/>
        <v>0</v>
      </c>
      <c r="G138" s="373">
        <v>0</v>
      </c>
      <c r="H138" s="373">
        <v>0</v>
      </c>
      <c r="I138" s="328">
        <v>0</v>
      </c>
      <c r="J138" s="328">
        <f t="shared" si="17"/>
        <v>0</v>
      </c>
      <c r="K138" s="340">
        <f t="shared" si="18"/>
        <v>0</v>
      </c>
    </row>
    <row r="139" spans="1:11" ht="13" x14ac:dyDescent="0.3">
      <c r="A139" s="321">
        <f t="shared" si="15"/>
        <v>99</v>
      </c>
      <c r="B139" s="104" t="s">
        <v>471</v>
      </c>
      <c r="C139" s="371">
        <v>2021</v>
      </c>
      <c r="D139" s="373">
        <v>0</v>
      </c>
      <c r="E139" s="328">
        <v>0</v>
      </c>
      <c r="F139" s="328">
        <f t="shared" si="16"/>
        <v>0</v>
      </c>
      <c r="G139" s="373">
        <v>0</v>
      </c>
      <c r="H139" s="373">
        <v>0</v>
      </c>
      <c r="I139" s="328">
        <v>0</v>
      </c>
      <c r="J139" s="328">
        <f t="shared" si="17"/>
        <v>0</v>
      </c>
      <c r="K139" s="340">
        <f t="shared" si="18"/>
        <v>0</v>
      </c>
    </row>
    <row r="140" spans="1:11" ht="13" x14ac:dyDescent="0.3">
      <c r="A140" s="321">
        <f t="shared" si="15"/>
        <v>100</v>
      </c>
      <c r="B140" s="104" t="s">
        <v>39</v>
      </c>
      <c r="C140" s="371">
        <v>2021</v>
      </c>
      <c r="D140" s="373">
        <v>0</v>
      </c>
      <c r="E140" s="328">
        <v>0</v>
      </c>
      <c r="F140" s="328">
        <f t="shared" si="16"/>
        <v>0</v>
      </c>
      <c r="G140" s="373">
        <v>0</v>
      </c>
      <c r="H140" s="373">
        <v>0</v>
      </c>
      <c r="I140" s="328">
        <v>0</v>
      </c>
      <c r="J140" s="328">
        <f t="shared" si="17"/>
        <v>0</v>
      </c>
      <c r="K140" s="340">
        <f t="shared" si="18"/>
        <v>0</v>
      </c>
    </row>
    <row r="141" spans="1:11" ht="13" x14ac:dyDescent="0.3">
      <c r="A141" s="321">
        <f t="shared" si="15"/>
        <v>101</v>
      </c>
      <c r="B141" s="104" t="s">
        <v>40</v>
      </c>
      <c r="C141" s="371">
        <v>2021</v>
      </c>
      <c r="D141" s="373">
        <v>0</v>
      </c>
      <c r="E141" s="328">
        <v>0</v>
      </c>
      <c r="F141" s="328">
        <f t="shared" si="16"/>
        <v>0</v>
      </c>
      <c r="G141" s="373">
        <v>0</v>
      </c>
      <c r="H141" s="373">
        <v>0</v>
      </c>
      <c r="I141" s="328">
        <v>0</v>
      </c>
      <c r="J141" s="328">
        <f t="shared" si="17"/>
        <v>0</v>
      </c>
      <c r="K141" s="340">
        <f t="shared" si="18"/>
        <v>0</v>
      </c>
    </row>
    <row r="142" spans="1:11" ht="13" x14ac:dyDescent="0.3">
      <c r="A142" s="321">
        <f t="shared" si="15"/>
        <v>102</v>
      </c>
      <c r="B142" s="104" t="s">
        <v>41</v>
      </c>
      <c r="C142" s="371">
        <v>2021</v>
      </c>
      <c r="D142" s="373">
        <v>0</v>
      </c>
      <c r="E142" s="328">
        <v>0</v>
      </c>
      <c r="F142" s="328">
        <f t="shared" si="16"/>
        <v>0</v>
      </c>
      <c r="G142" s="373">
        <v>0</v>
      </c>
      <c r="H142" s="373">
        <v>0</v>
      </c>
      <c r="I142" s="328">
        <v>0</v>
      </c>
      <c r="J142" s="328">
        <f t="shared" si="17"/>
        <v>0</v>
      </c>
      <c r="K142" s="340">
        <f t="shared" si="18"/>
        <v>0</v>
      </c>
    </row>
    <row r="143" spans="1:11" ht="13" x14ac:dyDescent="0.3">
      <c r="A143" s="321">
        <f t="shared" si="15"/>
        <v>103</v>
      </c>
      <c r="B143" s="104" t="s">
        <v>42</v>
      </c>
      <c r="C143" s="371">
        <v>2021</v>
      </c>
      <c r="D143" s="373">
        <v>0</v>
      </c>
      <c r="E143" s="328">
        <v>0</v>
      </c>
      <c r="F143" s="328">
        <f t="shared" si="16"/>
        <v>0</v>
      </c>
      <c r="G143" s="373">
        <v>0</v>
      </c>
      <c r="H143" s="373">
        <v>0</v>
      </c>
      <c r="I143" s="328">
        <v>0</v>
      </c>
      <c r="J143" s="328">
        <f t="shared" si="17"/>
        <v>0</v>
      </c>
      <c r="K143" s="340">
        <f t="shared" si="18"/>
        <v>0</v>
      </c>
    </row>
    <row r="144" spans="1:11" ht="13" x14ac:dyDescent="0.3">
      <c r="A144" s="321">
        <f t="shared" si="15"/>
        <v>104</v>
      </c>
      <c r="B144" s="104" t="s">
        <v>43</v>
      </c>
      <c r="C144" s="371">
        <v>2021</v>
      </c>
      <c r="D144" s="373">
        <v>0</v>
      </c>
      <c r="E144" s="328">
        <v>0</v>
      </c>
      <c r="F144" s="328">
        <f t="shared" si="16"/>
        <v>0</v>
      </c>
      <c r="G144" s="373">
        <v>0</v>
      </c>
      <c r="H144" s="373">
        <v>0</v>
      </c>
      <c r="I144" s="328">
        <v>0</v>
      </c>
      <c r="J144" s="328">
        <f t="shared" si="17"/>
        <v>0</v>
      </c>
      <c r="K144" s="340">
        <f t="shared" si="18"/>
        <v>0</v>
      </c>
    </row>
    <row r="145" spans="1:11" ht="13" x14ac:dyDescent="0.3">
      <c r="A145" s="321">
        <f t="shared" si="15"/>
        <v>105</v>
      </c>
      <c r="B145" s="104" t="s">
        <v>27</v>
      </c>
      <c r="C145" s="371">
        <v>2021</v>
      </c>
      <c r="D145" s="373">
        <v>0</v>
      </c>
      <c r="E145" s="328">
        <v>0</v>
      </c>
      <c r="F145" s="328">
        <f t="shared" si="16"/>
        <v>0</v>
      </c>
      <c r="G145" s="373">
        <v>0</v>
      </c>
      <c r="H145" s="373">
        <v>0</v>
      </c>
      <c r="I145" s="328">
        <v>0</v>
      </c>
      <c r="J145" s="328">
        <f t="shared" si="17"/>
        <v>0</v>
      </c>
      <c r="K145" s="335">
        <f t="shared" si="18"/>
        <v>0</v>
      </c>
    </row>
    <row r="146" spans="1:11" ht="13" x14ac:dyDescent="0.3">
      <c r="A146" s="321">
        <f t="shared" si="15"/>
        <v>106</v>
      </c>
      <c r="C146" s="396" t="s">
        <v>880</v>
      </c>
      <c r="K146" s="397">
        <f>AVERAGE(K133:K145)</f>
        <v>0</v>
      </c>
    </row>
    <row r="147" spans="1:11" ht="13" x14ac:dyDescent="0.3">
      <c r="A147" s="321"/>
      <c r="C147" s="396"/>
      <c r="K147" s="397"/>
    </row>
    <row r="148" spans="1:11" ht="13" x14ac:dyDescent="0.3">
      <c r="B148" s="399" t="s">
        <v>890</v>
      </c>
      <c r="D148" s="429" t="s">
        <v>891</v>
      </c>
      <c r="E148" s="429"/>
    </row>
    <row r="149" spans="1:11" ht="13" x14ac:dyDescent="0.3">
      <c r="D149" s="363"/>
      <c r="E149" s="363"/>
      <c r="F149" s="363"/>
      <c r="G149" s="321" t="str">
        <f>G51</f>
        <v>Unloaded</v>
      </c>
      <c r="H149" s="363"/>
      <c r="I149" s="363"/>
    </row>
    <row r="150" spans="1:11" ht="13" x14ac:dyDescent="0.3">
      <c r="A150" s="321"/>
      <c r="B150" s="321"/>
      <c r="C150" s="321"/>
      <c r="D150" s="321" t="str">
        <f>D$52</f>
        <v>Forecast</v>
      </c>
      <c r="E150" s="321" t="str">
        <f t="shared" ref="E150:J150" si="19">E$52</f>
        <v>Corporate</v>
      </c>
      <c r="F150" s="321" t="str">
        <f t="shared" si="19"/>
        <v xml:space="preserve">Total </v>
      </c>
      <c r="G150" s="321" t="str">
        <f>G52</f>
        <v>Total</v>
      </c>
      <c r="H150" s="321" t="str">
        <f t="shared" si="19"/>
        <v>Prior Period</v>
      </c>
      <c r="I150" s="321" t="str">
        <f t="shared" si="19"/>
        <v>Over Heads</v>
      </c>
      <c r="J150" s="321" t="str">
        <f t="shared" si="19"/>
        <v>Forecast</v>
      </c>
      <c r="K150" s="321" t="str">
        <f>K$52</f>
        <v>Forecast Period</v>
      </c>
    </row>
    <row r="151" spans="1:11" ht="13" x14ac:dyDescent="0.3">
      <c r="A151" s="325" t="s">
        <v>22</v>
      </c>
      <c r="B151" s="94" t="s">
        <v>23</v>
      </c>
      <c r="C151" s="94" t="s">
        <v>24</v>
      </c>
      <c r="D151" s="326" t="str">
        <f>D$53</f>
        <v>Expenditures</v>
      </c>
      <c r="E151" s="326" t="str">
        <f t="shared" ref="E151:J151" si="20">E$53</f>
        <v>Overheads</v>
      </c>
      <c r="F151" s="326" t="str">
        <f t="shared" si="20"/>
        <v>CWIP Exp</v>
      </c>
      <c r="G151" s="326" t="str">
        <f>G53</f>
        <v>Plant Adds</v>
      </c>
      <c r="H151" s="326" t="str">
        <f t="shared" si="20"/>
        <v>CWIP Closed</v>
      </c>
      <c r="I151" s="326" t="str">
        <f t="shared" si="20"/>
        <v>Closed to PIS</v>
      </c>
      <c r="J151" s="326" t="str">
        <f t="shared" si="20"/>
        <v>Period CWIP</v>
      </c>
      <c r="K151" s="326" t="str">
        <f>K$53</f>
        <v>Incremental CWIP</v>
      </c>
    </row>
    <row r="152" spans="1:11" ht="13" x14ac:dyDescent="0.3">
      <c r="A152" s="321">
        <f>A146+1</f>
        <v>107</v>
      </c>
      <c r="B152" s="104" t="s">
        <v>27</v>
      </c>
      <c r="C152" s="371">
        <v>2019</v>
      </c>
      <c r="D152" s="356" t="s">
        <v>28</v>
      </c>
      <c r="E152" s="356" t="s">
        <v>28</v>
      </c>
      <c r="F152" s="356" t="s">
        <v>28</v>
      </c>
      <c r="G152" s="356" t="s">
        <v>28</v>
      </c>
      <c r="H152" s="356" t="s">
        <v>28</v>
      </c>
      <c r="I152" s="356" t="s">
        <v>28</v>
      </c>
      <c r="J152" s="328">
        <f>G25</f>
        <v>5584199.04</v>
      </c>
      <c r="K152" s="356" t="s">
        <v>28</v>
      </c>
    </row>
    <row r="153" spans="1:11" ht="13" x14ac:dyDescent="0.3">
      <c r="A153" s="321">
        <f>A152+1</f>
        <v>108</v>
      </c>
      <c r="B153" s="104" t="s">
        <v>30</v>
      </c>
      <c r="C153" s="371">
        <v>2020</v>
      </c>
      <c r="D153" s="373">
        <v>1551</v>
      </c>
      <c r="E153" s="328">
        <v>116.32499999999999</v>
      </c>
      <c r="F153" s="328">
        <f>E153+D153</f>
        <v>1667.325</v>
      </c>
      <c r="G153" s="373">
        <v>0</v>
      </c>
      <c r="H153" s="373">
        <v>0</v>
      </c>
      <c r="I153" s="328">
        <v>0</v>
      </c>
      <c r="J153" s="328">
        <f>J152+F153-G153-I153</f>
        <v>5585866.3650000002</v>
      </c>
      <c r="K153" s="328">
        <f>J153-$J$152</f>
        <v>1667.3250000001863</v>
      </c>
    </row>
    <row r="154" spans="1:11" ht="13" x14ac:dyDescent="0.3">
      <c r="A154" s="321">
        <f t="shared" ref="A154:A177" si="21">A153+1</f>
        <v>109</v>
      </c>
      <c r="B154" s="104" t="s">
        <v>32</v>
      </c>
      <c r="C154" s="371">
        <v>2020</v>
      </c>
      <c r="D154" s="373">
        <v>1453</v>
      </c>
      <c r="E154" s="328">
        <v>108.97499999999999</v>
      </c>
      <c r="F154" s="328">
        <f t="shared" ref="F154:F176" si="22">E154+D154</f>
        <v>1561.9749999999999</v>
      </c>
      <c r="G154" s="373">
        <v>0</v>
      </c>
      <c r="H154" s="373">
        <v>0</v>
      </c>
      <c r="I154" s="328">
        <v>0</v>
      </c>
      <c r="J154" s="328">
        <f t="shared" ref="J154:J173" si="23">J153+F154-G154-I154</f>
        <v>5587428.3399999999</v>
      </c>
      <c r="K154" s="328">
        <f t="shared" ref="K154:K176" si="24">J154-$J$152</f>
        <v>3229.2999999998137</v>
      </c>
    </row>
    <row r="155" spans="1:11" ht="13" x14ac:dyDescent="0.3">
      <c r="A155" s="321">
        <f t="shared" si="21"/>
        <v>110</v>
      </c>
      <c r="B155" s="104" t="s">
        <v>34</v>
      </c>
      <c r="C155" s="371">
        <v>2020</v>
      </c>
      <c r="D155" s="373">
        <v>2114</v>
      </c>
      <c r="E155" s="328">
        <v>158.54999999999998</v>
      </c>
      <c r="F155" s="328">
        <f t="shared" si="22"/>
        <v>2272.5500000000002</v>
      </c>
      <c r="G155" s="373">
        <v>0</v>
      </c>
      <c r="H155" s="373">
        <v>0</v>
      </c>
      <c r="I155" s="328">
        <v>0</v>
      </c>
      <c r="J155" s="328">
        <f t="shared" si="23"/>
        <v>5589700.8899999997</v>
      </c>
      <c r="K155" s="328">
        <f t="shared" si="24"/>
        <v>5501.8499999996275</v>
      </c>
    </row>
    <row r="156" spans="1:11" ht="13" x14ac:dyDescent="0.3">
      <c r="A156" s="321">
        <f t="shared" si="21"/>
        <v>111</v>
      </c>
      <c r="B156" s="104" t="s">
        <v>36</v>
      </c>
      <c r="C156" s="371">
        <v>2020</v>
      </c>
      <c r="D156" s="373">
        <v>1500</v>
      </c>
      <c r="E156" s="328">
        <v>112.5</v>
      </c>
      <c r="F156" s="328">
        <f t="shared" si="22"/>
        <v>1612.5</v>
      </c>
      <c r="G156" s="373">
        <v>0</v>
      </c>
      <c r="H156" s="373">
        <v>0</v>
      </c>
      <c r="I156" s="328">
        <v>0</v>
      </c>
      <c r="J156" s="328">
        <f t="shared" si="23"/>
        <v>5591313.3899999997</v>
      </c>
      <c r="K156" s="328">
        <f t="shared" si="24"/>
        <v>7114.3499999996275</v>
      </c>
    </row>
    <row r="157" spans="1:11" ht="13" x14ac:dyDescent="0.3">
      <c r="A157" s="321">
        <f t="shared" si="21"/>
        <v>112</v>
      </c>
      <c r="B157" s="104" t="s">
        <v>37</v>
      </c>
      <c r="C157" s="371">
        <v>2020</v>
      </c>
      <c r="D157" s="373">
        <v>1500</v>
      </c>
      <c r="E157" s="328">
        <v>112.5</v>
      </c>
      <c r="F157" s="328">
        <f t="shared" si="22"/>
        <v>1612.5</v>
      </c>
      <c r="G157" s="373">
        <v>0</v>
      </c>
      <c r="H157" s="373">
        <v>0</v>
      </c>
      <c r="I157" s="328">
        <v>0</v>
      </c>
      <c r="J157" s="328">
        <f t="shared" si="23"/>
        <v>5592925.8899999997</v>
      </c>
      <c r="K157" s="328">
        <f t="shared" si="24"/>
        <v>8726.8499999996275</v>
      </c>
    </row>
    <row r="158" spans="1:11" ht="13" x14ac:dyDescent="0.3">
      <c r="A158" s="321">
        <f t="shared" si="21"/>
        <v>113</v>
      </c>
      <c r="B158" s="104" t="s">
        <v>471</v>
      </c>
      <c r="C158" s="371">
        <v>2020</v>
      </c>
      <c r="D158" s="373">
        <v>1500</v>
      </c>
      <c r="E158" s="328">
        <v>112.5</v>
      </c>
      <c r="F158" s="328">
        <f t="shared" si="22"/>
        <v>1612.5</v>
      </c>
      <c r="G158" s="373">
        <v>0</v>
      </c>
      <c r="H158" s="373">
        <v>0</v>
      </c>
      <c r="I158" s="328">
        <v>0</v>
      </c>
      <c r="J158" s="328">
        <f t="shared" si="23"/>
        <v>5594538.3899999997</v>
      </c>
      <c r="K158" s="328">
        <f t="shared" si="24"/>
        <v>10339.349999999627</v>
      </c>
    </row>
    <row r="159" spans="1:11" ht="13" x14ac:dyDescent="0.3">
      <c r="A159" s="321">
        <f t="shared" si="21"/>
        <v>114</v>
      </c>
      <c r="B159" s="104" t="s">
        <v>39</v>
      </c>
      <c r="C159" s="371">
        <v>2020</v>
      </c>
      <c r="D159" s="373">
        <v>1500</v>
      </c>
      <c r="E159" s="328">
        <v>112.5</v>
      </c>
      <c r="F159" s="328">
        <f t="shared" si="22"/>
        <v>1612.5</v>
      </c>
      <c r="G159" s="373">
        <v>0</v>
      </c>
      <c r="H159" s="373">
        <v>0</v>
      </c>
      <c r="I159" s="328">
        <v>0</v>
      </c>
      <c r="J159" s="328">
        <f t="shared" si="23"/>
        <v>5596150.8899999997</v>
      </c>
      <c r="K159" s="328">
        <f t="shared" si="24"/>
        <v>11951.849999999627</v>
      </c>
    </row>
    <row r="160" spans="1:11" ht="13" x14ac:dyDescent="0.3">
      <c r="A160" s="321">
        <f t="shared" si="21"/>
        <v>115</v>
      </c>
      <c r="B160" s="104" t="s">
        <v>40</v>
      </c>
      <c r="C160" s="371">
        <v>2020</v>
      </c>
      <c r="D160" s="373">
        <v>1500</v>
      </c>
      <c r="E160" s="328">
        <v>112.5</v>
      </c>
      <c r="F160" s="328">
        <f t="shared" si="22"/>
        <v>1612.5</v>
      </c>
      <c r="G160" s="373">
        <v>0</v>
      </c>
      <c r="H160" s="373">
        <v>0</v>
      </c>
      <c r="I160" s="328">
        <v>0</v>
      </c>
      <c r="J160" s="328">
        <f t="shared" si="23"/>
        <v>5597763.3899999997</v>
      </c>
      <c r="K160" s="328">
        <f t="shared" si="24"/>
        <v>13564.349999999627</v>
      </c>
    </row>
    <row r="161" spans="1:11" ht="13" x14ac:dyDescent="0.3">
      <c r="A161" s="321">
        <f t="shared" si="21"/>
        <v>116</v>
      </c>
      <c r="B161" s="104" t="s">
        <v>41</v>
      </c>
      <c r="C161" s="371">
        <v>2020</v>
      </c>
      <c r="D161" s="373">
        <v>1500</v>
      </c>
      <c r="E161" s="328">
        <v>112.5</v>
      </c>
      <c r="F161" s="328">
        <f t="shared" si="22"/>
        <v>1612.5</v>
      </c>
      <c r="G161" s="373">
        <v>0</v>
      </c>
      <c r="H161" s="373">
        <v>0</v>
      </c>
      <c r="I161" s="328">
        <v>0</v>
      </c>
      <c r="J161" s="328">
        <f t="shared" si="23"/>
        <v>5599375.8899999997</v>
      </c>
      <c r="K161" s="328">
        <f t="shared" si="24"/>
        <v>15176.849999999627</v>
      </c>
    </row>
    <row r="162" spans="1:11" ht="13" x14ac:dyDescent="0.3">
      <c r="A162" s="321">
        <f t="shared" si="21"/>
        <v>117</v>
      </c>
      <c r="B162" s="104" t="s">
        <v>42</v>
      </c>
      <c r="C162" s="371">
        <v>2020</v>
      </c>
      <c r="D162" s="373">
        <v>1500</v>
      </c>
      <c r="E162" s="328">
        <v>112.5</v>
      </c>
      <c r="F162" s="328">
        <f t="shared" si="22"/>
        <v>1612.5</v>
      </c>
      <c r="G162" s="373">
        <v>0</v>
      </c>
      <c r="H162" s="373">
        <v>0</v>
      </c>
      <c r="I162" s="328">
        <v>0</v>
      </c>
      <c r="J162" s="328">
        <f t="shared" si="23"/>
        <v>5600988.3899999997</v>
      </c>
      <c r="K162" s="328">
        <f t="shared" si="24"/>
        <v>16789.349999999627</v>
      </c>
    </row>
    <row r="163" spans="1:11" ht="13" x14ac:dyDescent="0.3">
      <c r="A163" s="321">
        <f t="shared" si="21"/>
        <v>118</v>
      </c>
      <c r="B163" s="104" t="s">
        <v>43</v>
      </c>
      <c r="C163" s="371">
        <v>2020</v>
      </c>
      <c r="D163" s="373">
        <v>1500</v>
      </c>
      <c r="E163" s="328">
        <v>112.5</v>
      </c>
      <c r="F163" s="328">
        <f t="shared" si="22"/>
        <v>1612.5</v>
      </c>
      <c r="G163" s="373">
        <v>0</v>
      </c>
      <c r="H163" s="373">
        <v>0</v>
      </c>
      <c r="I163" s="328">
        <v>0</v>
      </c>
      <c r="J163" s="328">
        <f t="shared" si="23"/>
        <v>5602600.8899999997</v>
      </c>
      <c r="K163" s="328">
        <f t="shared" si="24"/>
        <v>18401.849999999627</v>
      </c>
    </row>
    <row r="164" spans="1:11" ht="13" x14ac:dyDescent="0.3">
      <c r="A164" s="321">
        <f t="shared" si="21"/>
        <v>119</v>
      </c>
      <c r="B164" s="104" t="s">
        <v>27</v>
      </c>
      <c r="C164" s="371">
        <v>2020</v>
      </c>
      <c r="D164" s="373">
        <v>2882</v>
      </c>
      <c r="E164" s="328">
        <v>216.15</v>
      </c>
      <c r="F164" s="328">
        <f t="shared" si="22"/>
        <v>3098.15</v>
      </c>
      <c r="G164" s="373">
        <v>0</v>
      </c>
      <c r="H164" s="373">
        <v>0</v>
      </c>
      <c r="I164" s="328">
        <v>0</v>
      </c>
      <c r="J164" s="328">
        <f t="shared" si="23"/>
        <v>5605699.04</v>
      </c>
      <c r="K164" s="328">
        <f t="shared" si="24"/>
        <v>21500</v>
      </c>
    </row>
    <row r="165" spans="1:11" ht="13" x14ac:dyDescent="0.3">
      <c r="A165" s="321">
        <f t="shared" si="21"/>
        <v>120</v>
      </c>
      <c r="B165" s="104" t="s">
        <v>30</v>
      </c>
      <c r="C165" s="371">
        <v>2021</v>
      </c>
      <c r="D165" s="373">
        <v>0</v>
      </c>
      <c r="E165" s="328">
        <v>0</v>
      </c>
      <c r="F165" s="328">
        <f t="shared" si="22"/>
        <v>0</v>
      </c>
      <c r="G165" s="373">
        <v>0</v>
      </c>
      <c r="H165" s="373">
        <v>0</v>
      </c>
      <c r="I165" s="328">
        <v>0</v>
      </c>
      <c r="J165" s="328">
        <f t="shared" si="23"/>
        <v>5605699.04</v>
      </c>
      <c r="K165" s="328">
        <f t="shared" si="24"/>
        <v>21500</v>
      </c>
    </row>
    <row r="166" spans="1:11" ht="13" x14ac:dyDescent="0.3">
      <c r="A166" s="321">
        <f t="shared" si="21"/>
        <v>121</v>
      </c>
      <c r="B166" s="104" t="s">
        <v>32</v>
      </c>
      <c r="C166" s="371">
        <v>2021</v>
      </c>
      <c r="D166" s="373">
        <v>0</v>
      </c>
      <c r="E166" s="328">
        <v>0</v>
      </c>
      <c r="F166" s="328">
        <f t="shared" si="22"/>
        <v>0</v>
      </c>
      <c r="G166" s="373">
        <v>0</v>
      </c>
      <c r="H166" s="373">
        <v>0</v>
      </c>
      <c r="I166" s="328">
        <v>0</v>
      </c>
      <c r="J166" s="328">
        <f t="shared" si="23"/>
        <v>5605699.04</v>
      </c>
      <c r="K166" s="328">
        <f t="shared" si="24"/>
        <v>21500</v>
      </c>
    </row>
    <row r="167" spans="1:11" ht="13" x14ac:dyDescent="0.3">
      <c r="A167" s="321">
        <f t="shared" si="21"/>
        <v>122</v>
      </c>
      <c r="B167" s="104" t="s">
        <v>34</v>
      </c>
      <c r="C167" s="371">
        <v>2021</v>
      </c>
      <c r="D167" s="373">
        <v>0</v>
      </c>
      <c r="E167" s="328">
        <v>0</v>
      </c>
      <c r="F167" s="328">
        <f t="shared" si="22"/>
        <v>0</v>
      </c>
      <c r="G167" s="373">
        <v>0</v>
      </c>
      <c r="H167" s="373">
        <v>0</v>
      </c>
      <c r="I167" s="328">
        <v>0</v>
      </c>
      <c r="J167" s="328">
        <f t="shared" si="23"/>
        <v>5605699.04</v>
      </c>
      <c r="K167" s="328">
        <f t="shared" si="24"/>
        <v>21500</v>
      </c>
    </row>
    <row r="168" spans="1:11" ht="13" x14ac:dyDescent="0.3">
      <c r="A168" s="321">
        <f t="shared" si="21"/>
        <v>123</v>
      </c>
      <c r="B168" s="104" t="s">
        <v>36</v>
      </c>
      <c r="C168" s="371">
        <v>2021</v>
      </c>
      <c r="D168" s="373">
        <v>0</v>
      </c>
      <c r="E168" s="328">
        <v>0</v>
      </c>
      <c r="F168" s="328">
        <f t="shared" si="22"/>
        <v>0</v>
      </c>
      <c r="G168" s="373">
        <v>0</v>
      </c>
      <c r="H168" s="373">
        <v>0</v>
      </c>
      <c r="I168" s="328">
        <v>0</v>
      </c>
      <c r="J168" s="328">
        <f t="shared" si="23"/>
        <v>5605699.04</v>
      </c>
      <c r="K168" s="328">
        <f t="shared" si="24"/>
        <v>21500</v>
      </c>
    </row>
    <row r="169" spans="1:11" ht="13" x14ac:dyDescent="0.3">
      <c r="A169" s="321">
        <f t="shared" si="21"/>
        <v>124</v>
      </c>
      <c r="B169" s="104" t="s">
        <v>37</v>
      </c>
      <c r="C169" s="371">
        <v>2021</v>
      </c>
      <c r="D169" s="373">
        <v>0</v>
      </c>
      <c r="E169" s="328">
        <v>0</v>
      </c>
      <c r="F169" s="328">
        <f t="shared" si="22"/>
        <v>0</v>
      </c>
      <c r="G169" s="373">
        <v>0</v>
      </c>
      <c r="H169" s="373">
        <v>0</v>
      </c>
      <c r="I169" s="328">
        <v>0</v>
      </c>
      <c r="J169" s="328">
        <f t="shared" si="23"/>
        <v>5605699.04</v>
      </c>
      <c r="K169" s="328">
        <f t="shared" si="24"/>
        <v>21500</v>
      </c>
    </row>
    <row r="170" spans="1:11" ht="13" x14ac:dyDescent="0.3">
      <c r="A170" s="321">
        <f t="shared" si="21"/>
        <v>125</v>
      </c>
      <c r="B170" s="104" t="s">
        <v>471</v>
      </c>
      <c r="C170" s="371">
        <v>2021</v>
      </c>
      <c r="D170" s="373">
        <v>0</v>
      </c>
      <c r="E170" s="328">
        <v>0</v>
      </c>
      <c r="F170" s="328">
        <f t="shared" si="22"/>
        <v>0</v>
      </c>
      <c r="G170" s="373">
        <v>0</v>
      </c>
      <c r="H170" s="373">
        <v>0</v>
      </c>
      <c r="I170" s="328">
        <v>0</v>
      </c>
      <c r="J170" s="328">
        <f t="shared" si="23"/>
        <v>5605699.04</v>
      </c>
      <c r="K170" s="328">
        <f t="shared" si="24"/>
        <v>21500</v>
      </c>
    </row>
    <row r="171" spans="1:11" ht="13" x14ac:dyDescent="0.3">
      <c r="A171" s="321">
        <f t="shared" si="21"/>
        <v>126</v>
      </c>
      <c r="B171" s="104" t="s">
        <v>39</v>
      </c>
      <c r="C171" s="371">
        <v>2021</v>
      </c>
      <c r="D171" s="373">
        <v>0</v>
      </c>
      <c r="E171" s="328">
        <v>0</v>
      </c>
      <c r="F171" s="328">
        <f t="shared" si="22"/>
        <v>0</v>
      </c>
      <c r="G171" s="373">
        <v>0</v>
      </c>
      <c r="H171" s="373">
        <v>0</v>
      </c>
      <c r="I171" s="328">
        <v>0</v>
      </c>
      <c r="J171" s="328">
        <f t="shared" si="23"/>
        <v>5605699.04</v>
      </c>
      <c r="K171" s="328">
        <f t="shared" si="24"/>
        <v>21500</v>
      </c>
    </row>
    <row r="172" spans="1:11" ht="13" x14ac:dyDescent="0.3">
      <c r="A172" s="321">
        <f t="shared" si="21"/>
        <v>127</v>
      </c>
      <c r="B172" s="104" t="s">
        <v>40</v>
      </c>
      <c r="C172" s="371">
        <v>2021</v>
      </c>
      <c r="D172" s="373">
        <v>0</v>
      </c>
      <c r="E172" s="328">
        <v>0</v>
      </c>
      <c r="F172" s="328">
        <f t="shared" si="22"/>
        <v>0</v>
      </c>
      <c r="G172" s="373">
        <v>0</v>
      </c>
      <c r="H172" s="373">
        <v>0</v>
      </c>
      <c r="I172" s="328">
        <v>0</v>
      </c>
      <c r="J172" s="328">
        <f t="shared" si="23"/>
        <v>5605699.04</v>
      </c>
      <c r="K172" s="328">
        <f t="shared" si="24"/>
        <v>21500</v>
      </c>
    </row>
    <row r="173" spans="1:11" ht="13" x14ac:dyDescent="0.3">
      <c r="A173" s="321">
        <f t="shared" si="21"/>
        <v>128</v>
      </c>
      <c r="B173" s="104" t="s">
        <v>41</v>
      </c>
      <c r="C173" s="371">
        <v>2021</v>
      </c>
      <c r="D173" s="373">
        <v>0</v>
      </c>
      <c r="E173" s="328">
        <v>0</v>
      </c>
      <c r="F173" s="328">
        <f t="shared" si="22"/>
        <v>0</v>
      </c>
      <c r="G173" s="373">
        <v>0</v>
      </c>
      <c r="H173" s="373">
        <v>0</v>
      </c>
      <c r="I173" s="328">
        <v>0</v>
      </c>
      <c r="J173" s="328">
        <f t="shared" si="23"/>
        <v>5605699.04</v>
      </c>
      <c r="K173" s="328">
        <f t="shared" si="24"/>
        <v>21500</v>
      </c>
    </row>
    <row r="174" spans="1:11" ht="13" x14ac:dyDescent="0.3">
      <c r="A174" s="321">
        <f t="shared" si="21"/>
        <v>129</v>
      </c>
      <c r="B174" s="104" t="s">
        <v>42</v>
      </c>
      <c r="C174" s="371">
        <v>2021</v>
      </c>
      <c r="D174" s="373">
        <v>0</v>
      </c>
      <c r="E174" s="328">
        <v>0</v>
      </c>
      <c r="F174" s="328">
        <f t="shared" si="22"/>
        <v>0</v>
      </c>
      <c r="G174" s="373">
        <v>0</v>
      </c>
      <c r="H174" s="373">
        <v>0</v>
      </c>
      <c r="I174" s="328">
        <v>0</v>
      </c>
      <c r="J174" s="328">
        <f>J173+F174-G174-I174</f>
        <v>5605699.04</v>
      </c>
      <c r="K174" s="328">
        <f t="shared" si="24"/>
        <v>21500</v>
      </c>
    </row>
    <row r="175" spans="1:11" ht="13" x14ac:dyDescent="0.3">
      <c r="A175" s="321">
        <f t="shared" si="21"/>
        <v>130</v>
      </c>
      <c r="B175" s="104" t="s">
        <v>43</v>
      </c>
      <c r="C175" s="371">
        <v>2021</v>
      </c>
      <c r="D175" s="373">
        <v>0</v>
      </c>
      <c r="E175" s="328">
        <v>0</v>
      </c>
      <c r="F175" s="328">
        <f t="shared" si="22"/>
        <v>0</v>
      </c>
      <c r="G175" s="373">
        <v>0</v>
      </c>
      <c r="H175" s="373">
        <v>0</v>
      </c>
      <c r="I175" s="328">
        <v>0</v>
      </c>
      <c r="J175" s="328">
        <f>J174+F175-G175-I175</f>
        <v>5605699.04</v>
      </c>
      <c r="K175" s="328">
        <f t="shared" si="24"/>
        <v>21500</v>
      </c>
    </row>
    <row r="176" spans="1:11" ht="13" x14ac:dyDescent="0.3">
      <c r="A176" s="321">
        <f t="shared" si="21"/>
        <v>131</v>
      </c>
      <c r="B176" s="104" t="s">
        <v>27</v>
      </c>
      <c r="C176" s="371">
        <v>2021</v>
      </c>
      <c r="D176" s="373">
        <v>0</v>
      </c>
      <c r="E176" s="328">
        <v>0</v>
      </c>
      <c r="F176" s="328">
        <f t="shared" si="22"/>
        <v>0</v>
      </c>
      <c r="G176" s="373">
        <v>0</v>
      </c>
      <c r="H176" s="373">
        <v>0</v>
      </c>
      <c r="I176" s="328">
        <v>0</v>
      </c>
      <c r="J176" s="328">
        <f>J175+F176-G176-I176</f>
        <v>5605699.04</v>
      </c>
      <c r="K176" s="335">
        <f t="shared" si="24"/>
        <v>21500</v>
      </c>
    </row>
    <row r="177" spans="1:11" ht="13" x14ac:dyDescent="0.3">
      <c r="A177" s="321">
        <f t="shared" si="21"/>
        <v>132</v>
      </c>
      <c r="C177" s="396" t="s">
        <v>880</v>
      </c>
      <c r="K177" s="397">
        <f>AVERAGE(K164:K176)</f>
        <v>21500</v>
      </c>
    </row>
    <row r="178" spans="1:11" ht="13" x14ac:dyDescent="0.3">
      <c r="A178" s="321"/>
      <c r="C178" s="396"/>
      <c r="K178" s="397"/>
    </row>
    <row r="179" spans="1:11" ht="13" x14ac:dyDescent="0.3">
      <c r="B179" s="399" t="s">
        <v>892</v>
      </c>
      <c r="D179" s="429" t="s">
        <v>893</v>
      </c>
      <c r="E179" s="429"/>
    </row>
    <row r="180" spans="1:11" ht="13" x14ac:dyDescent="0.3">
      <c r="A180" s="326"/>
      <c r="B180" s="326"/>
      <c r="C180" s="326"/>
      <c r="D180" s="326" t="s">
        <v>12</v>
      </c>
      <c r="E180" s="326" t="s">
        <v>343</v>
      </c>
      <c r="F180" s="326" t="s">
        <v>361</v>
      </c>
      <c r="G180" s="326" t="s">
        <v>13</v>
      </c>
      <c r="H180" s="326" t="s">
        <v>362</v>
      </c>
      <c r="I180" s="326" t="s">
        <v>363</v>
      </c>
      <c r="J180" s="326" t="s">
        <v>364</v>
      </c>
      <c r="K180" s="326" t="s">
        <v>451</v>
      </c>
    </row>
    <row r="181" spans="1:11" ht="25.5" x14ac:dyDescent="0.3">
      <c r="D181" s="363"/>
      <c r="E181" s="400" t="s">
        <v>883</v>
      </c>
      <c r="F181" s="356" t="s">
        <v>884</v>
      </c>
      <c r="G181" s="356"/>
      <c r="H181" s="363"/>
      <c r="I181" s="400" t="s">
        <v>885</v>
      </c>
      <c r="J181" s="400" t="s">
        <v>886</v>
      </c>
      <c r="K181" s="400" t="s">
        <v>887</v>
      </c>
    </row>
    <row r="182" spans="1:11" ht="13" x14ac:dyDescent="0.3">
      <c r="D182" s="363"/>
      <c r="E182" s="400"/>
      <c r="F182" s="356"/>
      <c r="G182" s="351" t="str">
        <f>G51</f>
        <v>Unloaded</v>
      </c>
      <c r="H182" s="363"/>
      <c r="I182" s="400"/>
      <c r="J182" s="400"/>
      <c r="K182" s="400"/>
    </row>
    <row r="183" spans="1:11" ht="13" x14ac:dyDescent="0.3">
      <c r="A183" s="321"/>
      <c r="B183" s="321"/>
      <c r="C183" s="321"/>
      <c r="D183" s="321" t="str">
        <f>D$52</f>
        <v>Forecast</v>
      </c>
      <c r="E183" s="321" t="str">
        <f t="shared" ref="E183:J183" si="25">E$52</f>
        <v>Corporate</v>
      </c>
      <c r="F183" s="321" t="str">
        <f t="shared" si="25"/>
        <v xml:space="preserve">Total </v>
      </c>
      <c r="G183" s="351" t="str">
        <f>G52</f>
        <v>Total</v>
      </c>
      <c r="H183" s="321" t="str">
        <f t="shared" si="25"/>
        <v>Prior Period</v>
      </c>
      <c r="I183" s="321" t="str">
        <f t="shared" si="25"/>
        <v>Over Heads</v>
      </c>
      <c r="J183" s="321" t="str">
        <f t="shared" si="25"/>
        <v>Forecast</v>
      </c>
      <c r="K183" s="321" t="str">
        <f>K$52</f>
        <v>Forecast Period</v>
      </c>
    </row>
    <row r="184" spans="1:11" ht="13" x14ac:dyDescent="0.3">
      <c r="A184" s="325" t="s">
        <v>22</v>
      </c>
      <c r="B184" s="94" t="s">
        <v>23</v>
      </c>
      <c r="C184" s="94" t="s">
        <v>24</v>
      </c>
      <c r="D184" s="326" t="str">
        <f>D$53</f>
        <v>Expenditures</v>
      </c>
      <c r="E184" s="326" t="str">
        <f t="shared" ref="E184:J184" si="26">E$53</f>
        <v>Overheads</v>
      </c>
      <c r="F184" s="326" t="str">
        <f t="shared" si="26"/>
        <v>CWIP Exp</v>
      </c>
      <c r="G184" s="363" t="str">
        <f>G53</f>
        <v>Plant Adds</v>
      </c>
      <c r="H184" s="326" t="str">
        <f t="shared" si="26"/>
        <v>CWIP Closed</v>
      </c>
      <c r="I184" s="326" t="str">
        <f t="shared" si="26"/>
        <v>Closed to PIS</v>
      </c>
      <c r="J184" s="326" t="str">
        <f t="shared" si="26"/>
        <v>Period CWIP</v>
      </c>
      <c r="K184" s="326" t="str">
        <f>K$53</f>
        <v>Incremental CWIP</v>
      </c>
    </row>
    <row r="185" spans="1:11" ht="13" x14ac:dyDescent="0.3">
      <c r="A185" s="321">
        <f>A177+1</f>
        <v>133</v>
      </c>
      <c r="B185" s="104" t="s">
        <v>27</v>
      </c>
      <c r="C185" s="371">
        <v>2019</v>
      </c>
      <c r="D185" s="356" t="s">
        <v>28</v>
      </c>
      <c r="E185" s="356" t="s">
        <v>28</v>
      </c>
      <c r="F185" s="356" t="s">
        <v>28</v>
      </c>
      <c r="G185" s="356" t="s">
        <v>28</v>
      </c>
      <c r="H185" s="356" t="s">
        <v>28</v>
      </c>
      <c r="I185" s="356" t="s">
        <v>28</v>
      </c>
      <c r="J185" s="328">
        <f>H25</f>
        <v>468121962.68000001</v>
      </c>
      <c r="K185" s="356" t="s">
        <v>28</v>
      </c>
    </row>
    <row r="186" spans="1:11" ht="13" x14ac:dyDescent="0.3">
      <c r="A186" s="321">
        <f>A185+1</f>
        <v>134</v>
      </c>
      <c r="B186" s="104" t="s">
        <v>30</v>
      </c>
      <c r="C186" s="371">
        <v>2020</v>
      </c>
      <c r="D186" s="373">
        <v>13509524.999999998</v>
      </c>
      <c r="E186" s="328">
        <v>1013214.3749999998</v>
      </c>
      <c r="F186" s="328">
        <f>E186+D186</f>
        <v>14522739.374999998</v>
      </c>
      <c r="G186" s="373">
        <v>95089</v>
      </c>
      <c r="H186" s="373">
        <v>0</v>
      </c>
      <c r="I186" s="328">
        <v>7131.6750000000002</v>
      </c>
      <c r="J186" s="328">
        <f>J185+F186-G186-I186</f>
        <v>482542481.38</v>
      </c>
      <c r="K186" s="328">
        <f>J186-$J$185</f>
        <v>14420518.699999988</v>
      </c>
    </row>
    <row r="187" spans="1:11" ht="13" x14ac:dyDescent="0.3">
      <c r="A187" s="321">
        <f t="shared" ref="A187:A210" si="27">A186+1</f>
        <v>135</v>
      </c>
      <c r="B187" s="104" t="s">
        <v>32</v>
      </c>
      <c r="C187" s="371">
        <v>2020</v>
      </c>
      <c r="D187" s="373">
        <v>17958037</v>
      </c>
      <c r="E187" s="328">
        <v>1346852.7749999999</v>
      </c>
      <c r="F187" s="328">
        <f t="shared" ref="F187:F206" si="28">E187+D187</f>
        <v>19304889.774999999</v>
      </c>
      <c r="G187" s="373">
        <v>299847.00000000006</v>
      </c>
      <c r="H187" s="373">
        <v>0</v>
      </c>
      <c r="I187" s="328">
        <v>22488.525000000005</v>
      </c>
      <c r="J187" s="328">
        <f t="shared" ref="J187:J206" si="29">J186+F187-G187-I187</f>
        <v>501525035.63</v>
      </c>
      <c r="K187" s="328">
        <f t="shared" ref="K187:K209" si="30">J187-$J$185</f>
        <v>33403072.949999988</v>
      </c>
    </row>
    <row r="188" spans="1:11" ht="13" x14ac:dyDescent="0.3">
      <c r="A188" s="321">
        <f t="shared" si="27"/>
        <v>136</v>
      </c>
      <c r="B188" s="104" t="s">
        <v>34</v>
      </c>
      <c r="C188" s="371">
        <v>2020</v>
      </c>
      <c r="D188" s="373">
        <v>11893100.999999998</v>
      </c>
      <c r="E188" s="328">
        <v>891982.57499999984</v>
      </c>
      <c r="F188" s="328">
        <f t="shared" si="28"/>
        <v>12785083.574999997</v>
      </c>
      <c r="G188" s="373">
        <v>45416.000000000007</v>
      </c>
      <c r="H188" s="373">
        <v>0</v>
      </c>
      <c r="I188" s="328">
        <v>3406.2000000000003</v>
      </c>
      <c r="J188" s="328">
        <f t="shared" si="29"/>
        <v>514261297.005</v>
      </c>
      <c r="K188" s="328">
        <f t="shared" si="30"/>
        <v>46139334.324999988</v>
      </c>
    </row>
    <row r="189" spans="1:11" ht="13" x14ac:dyDescent="0.3">
      <c r="A189" s="321">
        <f t="shared" si="27"/>
        <v>137</v>
      </c>
      <c r="B189" s="104" t="s">
        <v>36</v>
      </c>
      <c r="C189" s="371">
        <v>2020</v>
      </c>
      <c r="D189" s="373">
        <v>14402052</v>
      </c>
      <c r="E189" s="328">
        <v>1080153.8999999999</v>
      </c>
      <c r="F189" s="328">
        <f t="shared" si="28"/>
        <v>15482205.9</v>
      </c>
      <c r="G189" s="373">
        <v>46000</v>
      </c>
      <c r="H189" s="373">
        <v>0</v>
      </c>
      <c r="I189" s="328">
        <v>3450</v>
      </c>
      <c r="J189" s="328">
        <f t="shared" si="29"/>
        <v>529694052.90499997</v>
      </c>
      <c r="K189" s="328">
        <f t="shared" si="30"/>
        <v>61572090.224999964</v>
      </c>
    </row>
    <row r="190" spans="1:11" ht="13" x14ac:dyDescent="0.3">
      <c r="A190" s="321">
        <f t="shared" si="27"/>
        <v>138</v>
      </c>
      <c r="B190" s="104" t="s">
        <v>37</v>
      </c>
      <c r="C190" s="371">
        <v>2020</v>
      </c>
      <c r="D190" s="373">
        <v>13406000</v>
      </c>
      <c r="E190" s="328">
        <v>1005450</v>
      </c>
      <c r="F190" s="328">
        <f t="shared" si="28"/>
        <v>14411450</v>
      </c>
      <c r="G190" s="373">
        <v>46000</v>
      </c>
      <c r="H190" s="373">
        <v>0</v>
      </c>
      <c r="I190" s="328">
        <v>3450</v>
      </c>
      <c r="J190" s="328">
        <f t="shared" si="29"/>
        <v>544056052.90499997</v>
      </c>
      <c r="K190" s="328">
        <f t="shared" si="30"/>
        <v>75934090.224999964</v>
      </c>
    </row>
    <row r="191" spans="1:11" ht="13" x14ac:dyDescent="0.3">
      <c r="A191" s="321">
        <f t="shared" si="27"/>
        <v>139</v>
      </c>
      <c r="B191" s="104" t="s">
        <v>471</v>
      </c>
      <c r="C191" s="371">
        <v>2020</v>
      </c>
      <c r="D191" s="373">
        <v>12894044</v>
      </c>
      <c r="E191" s="328">
        <v>967053.29999999993</v>
      </c>
      <c r="F191" s="328">
        <f t="shared" si="28"/>
        <v>13861097.300000001</v>
      </c>
      <c r="G191" s="373">
        <v>34044</v>
      </c>
      <c r="H191" s="373">
        <v>0</v>
      </c>
      <c r="I191" s="328">
        <v>2553.2999999999997</v>
      </c>
      <c r="J191" s="328">
        <f t="shared" si="29"/>
        <v>557880552.90499997</v>
      </c>
      <c r="K191" s="328">
        <f t="shared" si="30"/>
        <v>89758590.224999964</v>
      </c>
    </row>
    <row r="192" spans="1:11" ht="13" x14ac:dyDescent="0.3">
      <c r="A192" s="321">
        <f t="shared" si="27"/>
        <v>140</v>
      </c>
      <c r="B192" s="104" t="s">
        <v>39</v>
      </c>
      <c r="C192" s="371">
        <v>2020</v>
      </c>
      <c r="D192" s="373">
        <v>13176000</v>
      </c>
      <c r="E192" s="328">
        <v>988200</v>
      </c>
      <c r="F192" s="328">
        <f t="shared" si="28"/>
        <v>14164200</v>
      </c>
      <c r="G192" s="373">
        <v>16000</v>
      </c>
      <c r="H192" s="373">
        <v>0</v>
      </c>
      <c r="I192" s="328">
        <v>1200</v>
      </c>
      <c r="J192" s="328">
        <f t="shared" si="29"/>
        <v>572027552.90499997</v>
      </c>
      <c r="K192" s="328">
        <f t="shared" si="30"/>
        <v>103905590.22499996</v>
      </c>
    </row>
    <row r="193" spans="1:11" ht="13" x14ac:dyDescent="0.3">
      <c r="A193" s="321">
        <f t="shared" si="27"/>
        <v>141</v>
      </c>
      <c r="B193" s="104" t="s">
        <v>40</v>
      </c>
      <c r="C193" s="371">
        <v>2020</v>
      </c>
      <c r="D193" s="373">
        <v>13176000</v>
      </c>
      <c r="E193" s="328">
        <v>988200</v>
      </c>
      <c r="F193" s="328">
        <f t="shared" si="28"/>
        <v>14164200</v>
      </c>
      <c r="G193" s="373">
        <v>16000</v>
      </c>
      <c r="H193" s="373">
        <v>0</v>
      </c>
      <c r="I193" s="328">
        <v>1200</v>
      </c>
      <c r="J193" s="328">
        <f t="shared" si="29"/>
        <v>586174552.90499997</v>
      </c>
      <c r="K193" s="328">
        <f t="shared" si="30"/>
        <v>118052590.22499996</v>
      </c>
    </row>
    <row r="194" spans="1:11" ht="13" x14ac:dyDescent="0.3">
      <c r="A194" s="321">
        <f t="shared" si="27"/>
        <v>142</v>
      </c>
      <c r="B194" s="104" t="s">
        <v>41</v>
      </c>
      <c r="C194" s="371">
        <v>2020</v>
      </c>
      <c r="D194" s="373">
        <v>12666000</v>
      </c>
      <c r="E194" s="328">
        <v>949950</v>
      </c>
      <c r="F194" s="328">
        <f t="shared" si="28"/>
        <v>13615950</v>
      </c>
      <c r="G194" s="373">
        <v>16000</v>
      </c>
      <c r="H194" s="373">
        <v>0</v>
      </c>
      <c r="I194" s="328">
        <v>1200</v>
      </c>
      <c r="J194" s="328">
        <f t="shared" si="29"/>
        <v>599773302.90499997</v>
      </c>
      <c r="K194" s="328">
        <f t="shared" si="30"/>
        <v>131651340.22499996</v>
      </c>
    </row>
    <row r="195" spans="1:11" ht="13" x14ac:dyDescent="0.3">
      <c r="A195" s="321">
        <f t="shared" si="27"/>
        <v>143</v>
      </c>
      <c r="B195" s="104" t="s">
        <v>42</v>
      </c>
      <c r="C195" s="371">
        <v>2020</v>
      </c>
      <c r="D195" s="373">
        <v>12746769</v>
      </c>
      <c r="E195" s="328">
        <v>956007.67499999993</v>
      </c>
      <c r="F195" s="328">
        <f t="shared" si="28"/>
        <v>13702776.675000001</v>
      </c>
      <c r="G195" s="373">
        <v>16000</v>
      </c>
      <c r="H195" s="373">
        <v>0</v>
      </c>
      <c r="I195" s="328">
        <v>1200</v>
      </c>
      <c r="J195" s="328">
        <f t="shared" si="29"/>
        <v>613458879.57999992</v>
      </c>
      <c r="K195" s="328">
        <f t="shared" si="30"/>
        <v>145336916.89999992</v>
      </c>
    </row>
    <row r="196" spans="1:11" ht="13" x14ac:dyDescent="0.3">
      <c r="A196" s="321">
        <f t="shared" si="27"/>
        <v>144</v>
      </c>
      <c r="B196" s="104" t="s">
        <v>43</v>
      </c>
      <c r="C196" s="371">
        <v>2020</v>
      </c>
      <c r="D196" s="373">
        <v>9112310</v>
      </c>
      <c r="E196" s="328">
        <v>683423.25</v>
      </c>
      <c r="F196" s="328">
        <f t="shared" si="28"/>
        <v>9795733.25</v>
      </c>
      <c r="G196" s="373">
        <v>16000</v>
      </c>
      <c r="H196" s="373">
        <v>0</v>
      </c>
      <c r="I196" s="328">
        <v>1200</v>
      </c>
      <c r="J196" s="328">
        <f t="shared" si="29"/>
        <v>623237412.82999992</v>
      </c>
      <c r="K196" s="328">
        <f t="shared" si="30"/>
        <v>155115450.14999992</v>
      </c>
    </row>
    <row r="197" spans="1:11" ht="13" x14ac:dyDescent="0.3">
      <c r="A197" s="321">
        <f t="shared" si="27"/>
        <v>145</v>
      </c>
      <c r="B197" s="104" t="s">
        <v>27</v>
      </c>
      <c r="C197" s="371">
        <v>2020</v>
      </c>
      <c r="D197" s="373">
        <v>9083762</v>
      </c>
      <c r="E197" s="328">
        <v>681282.15</v>
      </c>
      <c r="F197" s="328">
        <f t="shared" si="28"/>
        <v>9765044.1500000004</v>
      </c>
      <c r="G197" s="373">
        <v>528372696.69999999</v>
      </c>
      <c r="H197" s="373">
        <v>378879722.69999999</v>
      </c>
      <c r="I197" s="328">
        <v>11211973.049999999</v>
      </c>
      <c r="J197" s="328">
        <f t="shared" si="29"/>
        <v>93417787.229999915</v>
      </c>
      <c r="K197" s="328">
        <f t="shared" si="30"/>
        <v>-374704175.45000011</v>
      </c>
    </row>
    <row r="198" spans="1:11" ht="13" x14ac:dyDescent="0.3">
      <c r="A198" s="321">
        <f t="shared" si="27"/>
        <v>146</v>
      </c>
      <c r="B198" s="104" t="s">
        <v>30</v>
      </c>
      <c r="C198" s="371">
        <v>2021</v>
      </c>
      <c r="D198" s="373">
        <v>4708000</v>
      </c>
      <c r="E198" s="328">
        <v>353100</v>
      </c>
      <c r="F198" s="328">
        <f t="shared" si="28"/>
        <v>5061100</v>
      </c>
      <c r="G198" s="373">
        <v>4508000</v>
      </c>
      <c r="H198" s="373">
        <v>0</v>
      </c>
      <c r="I198" s="328">
        <v>338100</v>
      </c>
      <c r="J198" s="328">
        <f t="shared" si="29"/>
        <v>93632787.229999915</v>
      </c>
      <c r="K198" s="328">
        <f t="shared" si="30"/>
        <v>-374489175.45000011</v>
      </c>
    </row>
    <row r="199" spans="1:11" ht="13" x14ac:dyDescent="0.3">
      <c r="A199" s="321">
        <f t="shared" si="27"/>
        <v>147</v>
      </c>
      <c r="B199" s="104" t="s">
        <v>32</v>
      </c>
      <c r="C199" s="371">
        <v>2021</v>
      </c>
      <c r="D199" s="373">
        <v>5510000</v>
      </c>
      <c r="E199" s="328">
        <v>413250</v>
      </c>
      <c r="F199" s="328">
        <f t="shared" si="28"/>
        <v>5923250</v>
      </c>
      <c r="G199" s="373">
        <v>5210000</v>
      </c>
      <c r="H199" s="373">
        <v>0</v>
      </c>
      <c r="I199" s="328">
        <v>390750</v>
      </c>
      <c r="J199" s="328">
        <f t="shared" si="29"/>
        <v>93955287.229999915</v>
      </c>
      <c r="K199" s="328">
        <f t="shared" si="30"/>
        <v>-374166675.45000011</v>
      </c>
    </row>
    <row r="200" spans="1:11" ht="13" x14ac:dyDescent="0.3">
      <c r="A200" s="321">
        <f t="shared" si="27"/>
        <v>148</v>
      </c>
      <c r="B200" s="104" t="s">
        <v>34</v>
      </c>
      <c r="C200" s="371">
        <v>2021</v>
      </c>
      <c r="D200" s="373">
        <v>6510000</v>
      </c>
      <c r="E200" s="328">
        <v>488250</v>
      </c>
      <c r="F200" s="328">
        <f t="shared" si="28"/>
        <v>6998250</v>
      </c>
      <c r="G200" s="373">
        <v>6210000</v>
      </c>
      <c r="H200" s="373">
        <v>0</v>
      </c>
      <c r="I200" s="328">
        <v>465750</v>
      </c>
      <c r="J200" s="328">
        <f t="shared" si="29"/>
        <v>94277787.229999915</v>
      </c>
      <c r="K200" s="328">
        <f t="shared" si="30"/>
        <v>-373844175.45000011</v>
      </c>
    </row>
    <row r="201" spans="1:11" ht="13" x14ac:dyDescent="0.3">
      <c r="A201" s="321">
        <f t="shared" si="27"/>
        <v>149</v>
      </c>
      <c r="B201" s="104" t="s">
        <v>36</v>
      </c>
      <c r="C201" s="371">
        <v>2021</v>
      </c>
      <c r="D201" s="373">
        <v>6510000</v>
      </c>
      <c r="E201" s="328">
        <v>488250</v>
      </c>
      <c r="F201" s="328">
        <f t="shared" si="28"/>
        <v>6998250</v>
      </c>
      <c r="G201" s="373">
        <v>6210000</v>
      </c>
      <c r="H201" s="373">
        <v>0</v>
      </c>
      <c r="I201" s="328">
        <v>465750</v>
      </c>
      <c r="J201" s="328">
        <f t="shared" si="29"/>
        <v>94600287.229999915</v>
      </c>
      <c r="K201" s="328">
        <f t="shared" si="30"/>
        <v>-373521675.45000011</v>
      </c>
    </row>
    <row r="202" spans="1:11" ht="13" x14ac:dyDescent="0.3">
      <c r="A202" s="321">
        <f t="shared" si="27"/>
        <v>150</v>
      </c>
      <c r="B202" s="104" t="s">
        <v>37</v>
      </c>
      <c r="C202" s="371">
        <v>2021</v>
      </c>
      <c r="D202" s="373">
        <v>6510000</v>
      </c>
      <c r="E202" s="328">
        <v>488250</v>
      </c>
      <c r="F202" s="328">
        <f t="shared" si="28"/>
        <v>6998250</v>
      </c>
      <c r="G202" s="373">
        <v>72332577</v>
      </c>
      <c r="H202" s="373">
        <v>66122577.000000007</v>
      </c>
      <c r="I202" s="328">
        <v>465749.99999999942</v>
      </c>
      <c r="J202" s="328">
        <f t="shared" si="29"/>
        <v>28800210.229999915</v>
      </c>
      <c r="K202" s="328">
        <f t="shared" si="30"/>
        <v>-439321752.45000011</v>
      </c>
    </row>
    <row r="203" spans="1:11" ht="13" x14ac:dyDescent="0.3">
      <c r="A203" s="321">
        <f t="shared" si="27"/>
        <v>151</v>
      </c>
      <c r="B203" s="104" t="s">
        <v>471</v>
      </c>
      <c r="C203" s="371">
        <v>2021</v>
      </c>
      <c r="D203" s="373">
        <v>6400000</v>
      </c>
      <c r="E203" s="328">
        <v>480000</v>
      </c>
      <c r="F203" s="328">
        <f t="shared" si="28"/>
        <v>6880000</v>
      </c>
      <c r="G203" s="373">
        <v>6200000</v>
      </c>
      <c r="H203" s="373">
        <v>0</v>
      </c>
      <c r="I203" s="328">
        <v>465000</v>
      </c>
      <c r="J203" s="328">
        <f t="shared" si="29"/>
        <v>29015210.229999915</v>
      </c>
      <c r="K203" s="328">
        <f t="shared" si="30"/>
        <v>-439106752.45000011</v>
      </c>
    </row>
    <row r="204" spans="1:11" ht="13" x14ac:dyDescent="0.3">
      <c r="A204" s="321">
        <f t="shared" si="27"/>
        <v>152</v>
      </c>
      <c r="B204" s="104" t="s">
        <v>39</v>
      </c>
      <c r="C204" s="371">
        <v>2021</v>
      </c>
      <c r="D204" s="373">
        <v>4100000</v>
      </c>
      <c r="E204" s="328">
        <v>307500</v>
      </c>
      <c r="F204" s="328">
        <f t="shared" si="28"/>
        <v>4407500</v>
      </c>
      <c r="G204" s="373">
        <v>4000000</v>
      </c>
      <c r="H204" s="373">
        <v>0</v>
      </c>
      <c r="I204" s="328">
        <v>300000</v>
      </c>
      <c r="J204" s="328">
        <f t="shared" si="29"/>
        <v>29122710.229999915</v>
      </c>
      <c r="K204" s="328">
        <f t="shared" si="30"/>
        <v>-438999252.45000011</v>
      </c>
    </row>
    <row r="205" spans="1:11" ht="13" x14ac:dyDescent="0.3">
      <c r="A205" s="321">
        <f t="shared" si="27"/>
        <v>153</v>
      </c>
      <c r="B205" s="104" t="s">
        <v>40</v>
      </c>
      <c r="C205" s="371">
        <v>2021</v>
      </c>
      <c r="D205" s="373">
        <v>4100000</v>
      </c>
      <c r="E205" s="328">
        <v>307500</v>
      </c>
      <c r="F205" s="328">
        <f t="shared" si="28"/>
        <v>4407500</v>
      </c>
      <c r="G205" s="373">
        <v>11727887.75</v>
      </c>
      <c r="H205" s="373">
        <v>6252887.75</v>
      </c>
      <c r="I205" s="328">
        <v>410625</v>
      </c>
      <c r="J205" s="328">
        <f t="shared" si="29"/>
        <v>21391697.479999915</v>
      </c>
      <c r="K205" s="328">
        <f t="shared" si="30"/>
        <v>-446730265.20000011</v>
      </c>
    </row>
    <row r="206" spans="1:11" ht="13" x14ac:dyDescent="0.3">
      <c r="A206" s="321">
        <f t="shared" si="27"/>
        <v>154</v>
      </c>
      <c r="B206" s="104" t="s">
        <v>41</v>
      </c>
      <c r="C206" s="371">
        <v>2021</v>
      </c>
      <c r="D206" s="373">
        <v>3000000</v>
      </c>
      <c r="E206" s="328">
        <v>225000</v>
      </c>
      <c r="F206" s="328">
        <f t="shared" si="28"/>
        <v>3225000</v>
      </c>
      <c r="G206" s="373">
        <v>3000000</v>
      </c>
      <c r="H206" s="373">
        <v>0</v>
      </c>
      <c r="I206" s="328">
        <v>225000</v>
      </c>
      <c r="J206" s="328">
        <f t="shared" si="29"/>
        <v>21391697.479999915</v>
      </c>
      <c r="K206" s="328">
        <f t="shared" si="30"/>
        <v>-446730265.20000011</v>
      </c>
    </row>
    <row r="207" spans="1:11" ht="13" x14ac:dyDescent="0.3">
      <c r="A207" s="321">
        <f t="shared" si="27"/>
        <v>155</v>
      </c>
      <c r="B207" s="104" t="s">
        <v>42</v>
      </c>
      <c r="C207" s="371">
        <v>2021</v>
      </c>
      <c r="D207" s="373">
        <v>3000000</v>
      </c>
      <c r="E207" s="328">
        <v>225000</v>
      </c>
      <c r="F207" s="328">
        <f>E207+D207</f>
        <v>3225000</v>
      </c>
      <c r="G207" s="373">
        <v>8674312.6100000013</v>
      </c>
      <c r="H207" s="373">
        <v>4965082.6100000003</v>
      </c>
      <c r="I207" s="328">
        <v>278192.25000000006</v>
      </c>
      <c r="J207" s="328">
        <f>J206+F207-G207-I207</f>
        <v>15664192.619999913</v>
      </c>
      <c r="K207" s="328">
        <f t="shared" si="30"/>
        <v>-452457770.06000012</v>
      </c>
    </row>
    <row r="208" spans="1:11" ht="13" x14ac:dyDescent="0.3">
      <c r="A208" s="321">
        <f t="shared" si="27"/>
        <v>156</v>
      </c>
      <c r="B208" s="104" t="s">
        <v>43</v>
      </c>
      <c r="C208" s="371">
        <v>2021</v>
      </c>
      <c r="D208" s="373">
        <v>3000000</v>
      </c>
      <c r="E208" s="328">
        <v>225000</v>
      </c>
      <c r="F208" s="328">
        <f>E208+D208</f>
        <v>3225000</v>
      </c>
      <c r="G208" s="373">
        <v>3000000</v>
      </c>
      <c r="H208" s="373">
        <v>0</v>
      </c>
      <c r="I208" s="328">
        <v>225000</v>
      </c>
      <c r="J208" s="328">
        <f>J207+F208-G208-I208</f>
        <v>15664192.619999915</v>
      </c>
      <c r="K208" s="328">
        <f t="shared" si="30"/>
        <v>-452457770.06000006</v>
      </c>
    </row>
    <row r="209" spans="1:11" ht="13" x14ac:dyDescent="0.3">
      <c r="A209" s="321">
        <f t="shared" si="27"/>
        <v>157</v>
      </c>
      <c r="B209" s="104" t="s">
        <v>27</v>
      </c>
      <c r="C209" s="371">
        <v>2021</v>
      </c>
      <c r="D209" s="373">
        <v>2316078.9999999995</v>
      </c>
      <c r="E209" s="328">
        <v>173705.92499999996</v>
      </c>
      <c r="F209" s="328">
        <f>E209+D209</f>
        <v>2489784.9249999993</v>
      </c>
      <c r="G209" s="373">
        <v>12447277.51</v>
      </c>
      <c r="H209" s="373">
        <v>6631198.5099999998</v>
      </c>
      <c r="I209" s="328">
        <v>436205.92499999999</v>
      </c>
      <c r="J209" s="328">
        <f>J208+F209-G209-I209</f>
        <v>5270494.1099999165</v>
      </c>
      <c r="K209" s="335">
        <f t="shared" si="30"/>
        <v>-462851468.57000011</v>
      </c>
    </row>
    <row r="210" spans="1:11" ht="13" x14ac:dyDescent="0.3">
      <c r="A210" s="321">
        <f t="shared" si="27"/>
        <v>158</v>
      </c>
      <c r="C210" s="396" t="s">
        <v>880</v>
      </c>
      <c r="K210" s="397">
        <f>AVERAGE(K197:K209)</f>
        <v>-419183167.20692325</v>
      </c>
    </row>
    <row r="211" spans="1:11" ht="13" x14ac:dyDescent="0.3">
      <c r="A211" s="321"/>
      <c r="C211" s="396"/>
      <c r="K211" s="397"/>
    </row>
    <row r="212" spans="1:11" ht="13" x14ac:dyDescent="0.3">
      <c r="B212" s="399" t="s">
        <v>894</v>
      </c>
      <c r="D212" s="429" t="s">
        <v>852</v>
      </c>
      <c r="E212" s="429"/>
    </row>
    <row r="213" spans="1:11" ht="13" x14ac:dyDescent="0.3">
      <c r="D213" s="363"/>
      <c r="E213" s="363"/>
      <c r="F213" s="363"/>
      <c r="G213" s="321" t="str">
        <f>G51</f>
        <v>Unloaded</v>
      </c>
      <c r="H213" s="363"/>
      <c r="I213" s="363"/>
    </row>
    <row r="214" spans="1:11" ht="13" x14ac:dyDescent="0.3">
      <c r="A214" s="321"/>
      <c r="B214" s="321"/>
      <c r="C214" s="321"/>
      <c r="D214" s="321" t="str">
        <f>D$52</f>
        <v>Forecast</v>
      </c>
      <c r="E214" s="321" t="str">
        <f t="shared" ref="E214:J214" si="31">E$52</f>
        <v>Corporate</v>
      </c>
      <c r="F214" s="321" t="str">
        <f t="shared" si="31"/>
        <v xml:space="preserve">Total </v>
      </c>
      <c r="G214" s="321" t="str">
        <f>G52</f>
        <v>Total</v>
      </c>
      <c r="H214" s="321" t="str">
        <f t="shared" si="31"/>
        <v>Prior Period</v>
      </c>
      <c r="I214" s="321" t="str">
        <f t="shared" si="31"/>
        <v>Over Heads</v>
      </c>
      <c r="J214" s="321" t="str">
        <f t="shared" si="31"/>
        <v>Forecast</v>
      </c>
      <c r="K214" s="321" t="str">
        <f>K$52</f>
        <v>Forecast Period</v>
      </c>
    </row>
    <row r="215" spans="1:11" ht="13" x14ac:dyDescent="0.3">
      <c r="A215" s="325" t="s">
        <v>22</v>
      </c>
      <c r="B215" s="94" t="s">
        <v>23</v>
      </c>
      <c r="C215" s="94" t="s">
        <v>24</v>
      </c>
      <c r="D215" s="326" t="str">
        <f>D$53</f>
        <v>Expenditures</v>
      </c>
      <c r="E215" s="326" t="str">
        <f t="shared" ref="E215:J215" si="32">E$53</f>
        <v>Overheads</v>
      </c>
      <c r="F215" s="326" t="str">
        <f t="shared" si="32"/>
        <v>CWIP Exp</v>
      </c>
      <c r="G215" s="326" t="str">
        <f>G53</f>
        <v>Plant Adds</v>
      </c>
      <c r="H215" s="326" t="str">
        <f t="shared" si="32"/>
        <v>CWIP Closed</v>
      </c>
      <c r="I215" s="326" t="str">
        <f t="shared" si="32"/>
        <v>Closed to PIS</v>
      </c>
      <c r="J215" s="326" t="str">
        <f t="shared" si="32"/>
        <v>Period CWIP</v>
      </c>
      <c r="K215" s="326" t="str">
        <f>K$53</f>
        <v>Incremental CWIP</v>
      </c>
    </row>
    <row r="216" spans="1:11" ht="13" x14ac:dyDescent="0.3">
      <c r="A216" s="321">
        <f>A210+1</f>
        <v>159</v>
      </c>
      <c r="B216" s="104" t="s">
        <v>27</v>
      </c>
      <c r="C216" s="371">
        <v>2019</v>
      </c>
      <c r="D216" s="356" t="s">
        <v>28</v>
      </c>
      <c r="E216" s="356" t="s">
        <v>28</v>
      </c>
      <c r="F216" s="356" t="s">
        <v>28</v>
      </c>
      <c r="G216" s="356" t="s">
        <v>28</v>
      </c>
      <c r="H216" s="356" t="s">
        <v>28</v>
      </c>
      <c r="I216" s="356" t="s">
        <v>28</v>
      </c>
      <c r="J216" s="328">
        <f>I25</f>
        <v>0</v>
      </c>
      <c r="K216" s="356" t="s">
        <v>28</v>
      </c>
    </row>
    <row r="217" spans="1:11" ht="13" x14ac:dyDescent="0.3">
      <c r="A217" s="321">
        <f>A216+1</f>
        <v>160</v>
      </c>
      <c r="B217" s="104" t="s">
        <v>30</v>
      </c>
      <c r="C217" s="371">
        <v>2020</v>
      </c>
      <c r="D217" s="373">
        <v>0</v>
      </c>
      <c r="E217" s="328">
        <v>0</v>
      </c>
      <c r="F217" s="328">
        <f>E217+D217</f>
        <v>0</v>
      </c>
      <c r="G217" s="373">
        <v>0</v>
      </c>
      <c r="H217" s="373">
        <v>0</v>
      </c>
      <c r="I217" s="328">
        <v>0</v>
      </c>
      <c r="J217" s="328">
        <f>J216+F217-G217-I217</f>
        <v>0</v>
      </c>
      <c r="K217" s="328">
        <f>J217-$J$216</f>
        <v>0</v>
      </c>
    </row>
    <row r="218" spans="1:11" ht="13" x14ac:dyDescent="0.3">
      <c r="A218" s="321">
        <f t="shared" ref="A218:A241" si="33">A217+1</f>
        <v>161</v>
      </c>
      <c r="B218" s="104" t="s">
        <v>32</v>
      </c>
      <c r="C218" s="371">
        <v>2020</v>
      </c>
      <c r="D218" s="373">
        <v>0</v>
      </c>
      <c r="E218" s="328">
        <v>0</v>
      </c>
      <c r="F218" s="328">
        <f t="shared" ref="F218:F237" si="34">E218+D218</f>
        <v>0</v>
      </c>
      <c r="G218" s="373">
        <v>0</v>
      </c>
      <c r="H218" s="373">
        <v>0</v>
      </c>
      <c r="I218" s="328">
        <v>0</v>
      </c>
      <c r="J218" s="328">
        <f t="shared" ref="J218:J237" si="35">J217+F218-G218-I218</f>
        <v>0</v>
      </c>
      <c r="K218" s="328">
        <f t="shared" ref="K218:K240" si="36">J218-$J$216</f>
        <v>0</v>
      </c>
    </row>
    <row r="219" spans="1:11" ht="13" x14ac:dyDescent="0.3">
      <c r="A219" s="321">
        <f t="shared" si="33"/>
        <v>162</v>
      </c>
      <c r="B219" s="104" t="s">
        <v>34</v>
      </c>
      <c r="C219" s="371">
        <v>2020</v>
      </c>
      <c r="D219" s="373">
        <v>0</v>
      </c>
      <c r="E219" s="328">
        <v>0</v>
      </c>
      <c r="F219" s="328">
        <f t="shared" si="34"/>
        <v>0</v>
      </c>
      <c r="G219" s="373">
        <v>0</v>
      </c>
      <c r="H219" s="373">
        <v>0</v>
      </c>
      <c r="I219" s="328">
        <v>0</v>
      </c>
      <c r="J219" s="328">
        <f t="shared" si="35"/>
        <v>0</v>
      </c>
      <c r="K219" s="328">
        <f t="shared" si="36"/>
        <v>0</v>
      </c>
    </row>
    <row r="220" spans="1:11" ht="13" x14ac:dyDescent="0.3">
      <c r="A220" s="321">
        <f t="shared" si="33"/>
        <v>163</v>
      </c>
      <c r="B220" s="104" t="s">
        <v>36</v>
      </c>
      <c r="C220" s="371">
        <v>2020</v>
      </c>
      <c r="D220" s="373">
        <v>0</v>
      </c>
      <c r="E220" s="328">
        <v>0</v>
      </c>
      <c r="F220" s="328">
        <f t="shared" si="34"/>
        <v>0</v>
      </c>
      <c r="G220" s="373">
        <v>0</v>
      </c>
      <c r="H220" s="373">
        <v>0</v>
      </c>
      <c r="I220" s="328">
        <v>0</v>
      </c>
      <c r="J220" s="328">
        <f t="shared" si="35"/>
        <v>0</v>
      </c>
      <c r="K220" s="328">
        <f t="shared" si="36"/>
        <v>0</v>
      </c>
    </row>
    <row r="221" spans="1:11" ht="13" x14ac:dyDescent="0.3">
      <c r="A221" s="321">
        <f t="shared" si="33"/>
        <v>164</v>
      </c>
      <c r="B221" s="104" t="s">
        <v>37</v>
      </c>
      <c r="C221" s="371">
        <v>2020</v>
      </c>
      <c r="D221" s="373">
        <v>0</v>
      </c>
      <c r="E221" s="328">
        <v>0</v>
      </c>
      <c r="F221" s="328">
        <f t="shared" si="34"/>
        <v>0</v>
      </c>
      <c r="G221" s="373">
        <v>0</v>
      </c>
      <c r="H221" s="373">
        <v>0</v>
      </c>
      <c r="I221" s="328">
        <v>0</v>
      </c>
      <c r="J221" s="328">
        <f t="shared" si="35"/>
        <v>0</v>
      </c>
      <c r="K221" s="328">
        <f t="shared" si="36"/>
        <v>0</v>
      </c>
    </row>
    <row r="222" spans="1:11" ht="13" x14ac:dyDescent="0.3">
      <c r="A222" s="321">
        <f t="shared" si="33"/>
        <v>165</v>
      </c>
      <c r="B222" s="104" t="s">
        <v>471</v>
      </c>
      <c r="C222" s="371">
        <v>2020</v>
      </c>
      <c r="D222" s="373">
        <v>0</v>
      </c>
      <c r="E222" s="328">
        <v>0</v>
      </c>
      <c r="F222" s="328">
        <f t="shared" si="34"/>
        <v>0</v>
      </c>
      <c r="G222" s="373">
        <v>0</v>
      </c>
      <c r="H222" s="373">
        <v>0</v>
      </c>
      <c r="I222" s="328">
        <v>0</v>
      </c>
      <c r="J222" s="328">
        <f t="shared" si="35"/>
        <v>0</v>
      </c>
      <c r="K222" s="328">
        <f t="shared" si="36"/>
        <v>0</v>
      </c>
    </row>
    <row r="223" spans="1:11" ht="13" x14ac:dyDescent="0.3">
      <c r="A223" s="321">
        <f t="shared" si="33"/>
        <v>166</v>
      </c>
      <c r="B223" s="104" t="s">
        <v>39</v>
      </c>
      <c r="C223" s="371">
        <v>2020</v>
      </c>
      <c r="D223" s="373">
        <v>0</v>
      </c>
      <c r="E223" s="328">
        <v>0</v>
      </c>
      <c r="F223" s="328">
        <f t="shared" si="34"/>
        <v>0</v>
      </c>
      <c r="G223" s="373">
        <v>0</v>
      </c>
      <c r="H223" s="373">
        <v>0</v>
      </c>
      <c r="I223" s="328">
        <v>0</v>
      </c>
      <c r="J223" s="328">
        <f t="shared" si="35"/>
        <v>0</v>
      </c>
      <c r="K223" s="328">
        <f t="shared" si="36"/>
        <v>0</v>
      </c>
    </row>
    <row r="224" spans="1:11" ht="13" x14ac:dyDescent="0.3">
      <c r="A224" s="321">
        <f t="shared" si="33"/>
        <v>167</v>
      </c>
      <c r="B224" s="104" t="s">
        <v>40</v>
      </c>
      <c r="C224" s="371">
        <v>2020</v>
      </c>
      <c r="D224" s="373">
        <v>0</v>
      </c>
      <c r="E224" s="328">
        <v>0</v>
      </c>
      <c r="F224" s="328">
        <f t="shared" si="34"/>
        <v>0</v>
      </c>
      <c r="G224" s="373">
        <v>0</v>
      </c>
      <c r="H224" s="373">
        <v>0</v>
      </c>
      <c r="I224" s="328">
        <v>0</v>
      </c>
      <c r="J224" s="328">
        <f t="shared" si="35"/>
        <v>0</v>
      </c>
      <c r="K224" s="328">
        <f t="shared" si="36"/>
        <v>0</v>
      </c>
    </row>
    <row r="225" spans="1:11" ht="13" x14ac:dyDescent="0.3">
      <c r="A225" s="321">
        <f t="shared" si="33"/>
        <v>168</v>
      </c>
      <c r="B225" s="104" t="s">
        <v>41</v>
      </c>
      <c r="C225" s="371">
        <v>2020</v>
      </c>
      <c r="D225" s="373">
        <v>0</v>
      </c>
      <c r="E225" s="328">
        <v>0</v>
      </c>
      <c r="F225" s="328">
        <f t="shared" si="34"/>
        <v>0</v>
      </c>
      <c r="G225" s="373">
        <v>0</v>
      </c>
      <c r="H225" s="373">
        <v>0</v>
      </c>
      <c r="I225" s="328">
        <v>0</v>
      </c>
      <c r="J225" s="328">
        <f t="shared" si="35"/>
        <v>0</v>
      </c>
      <c r="K225" s="328">
        <f t="shared" si="36"/>
        <v>0</v>
      </c>
    </row>
    <row r="226" spans="1:11" ht="13" x14ac:dyDescent="0.3">
      <c r="A226" s="321">
        <f t="shared" si="33"/>
        <v>169</v>
      </c>
      <c r="B226" s="104" t="s">
        <v>42</v>
      </c>
      <c r="C226" s="371">
        <v>2020</v>
      </c>
      <c r="D226" s="373">
        <v>0</v>
      </c>
      <c r="E226" s="328">
        <v>0</v>
      </c>
      <c r="F226" s="328">
        <f t="shared" si="34"/>
        <v>0</v>
      </c>
      <c r="G226" s="373">
        <v>0</v>
      </c>
      <c r="H226" s="373">
        <v>0</v>
      </c>
      <c r="I226" s="328">
        <v>0</v>
      </c>
      <c r="J226" s="328">
        <f t="shared" si="35"/>
        <v>0</v>
      </c>
      <c r="K226" s="328">
        <f t="shared" si="36"/>
        <v>0</v>
      </c>
    </row>
    <row r="227" spans="1:11" ht="13" x14ac:dyDescent="0.3">
      <c r="A227" s="321">
        <f t="shared" si="33"/>
        <v>170</v>
      </c>
      <c r="B227" s="104" t="s">
        <v>43</v>
      </c>
      <c r="C227" s="371">
        <v>2020</v>
      </c>
      <c r="D227" s="373">
        <v>0</v>
      </c>
      <c r="E227" s="328">
        <v>0</v>
      </c>
      <c r="F227" s="328">
        <f t="shared" si="34"/>
        <v>0</v>
      </c>
      <c r="G227" s="373">
        <v>0</v>
      </c>
      <c r="H227" s="373">
        <v>0</v>
      </c>
      <c r="I227" s="328">
        <v>0</v>
      </c>
      <c r="J227" s="328">
        <f t="shared" si="35"/>
        <v>0</v>
      </c>
      <c r="K227" s="328">
        <f t="shared" si="36"/>
        <v>0</v>
      </c>
    </row>
    <row r="228" spans="1:11" ht="13" x14ac:dyDescent="0.3">
      <c r="A228" s="321">
        <f t="shared" si="33"/>
        <v>171</v>
      </c>
      <c r="B228" s="104" t="s">
        <v>27</v>
      </c>
      <c r="C228" s="371">
        <v>2020</v>
      </c>
      <c r="D228" s="373">
        <v>0</v>
      </c>
      <c r="E228" s="328">
        <v>0</v>
      </c>
      <c r="F228" s="328">
        <f t="shared" si="34"/>
        <v>0</v>
      </c>
      <c r="G228" s="373">
        <v>0</v>
      </c>
      <c r="H228" s="373">
        <v>0</v>
      </c>
      <c r="I228" s="328">
        <v>0</v>
      </c>
      <c r="J228" s="328">
        <f t="shared" si="35"/>
        <v>0</v>
      </c>
      <c r="K228" s="328">
        <f t="shared" si="36"/>
        <v>0</v>
      </c>
    </row>
    <row r="229" spans="1:11" ht="13" x14ac:dyDescent="0.3">
      <c r="A229" s="321">
        <f t="shared" si="33"/>
        <v>172</v>
      </c>
      <c r="B229" s="104" t="s">
        <v>30</v>
      </c>
      <c r="C229" s="371">
        <v>2021</v>
      </c>
      <c r="D229" s="373">
        <v>0</v>
      </c>
      <c r="E229" s="328">
        <v>0</v>
      </c>
      <c r="F229" s="328">
        <f t="shared" si="34"/>
        <v>0</v>
      </c>
      <c r="G229" s="373">
        <v>0</v>
      </c>
      <c r="H229" s="373">
        <v>0</v>
      </c>
      <c r="I229" s="328">
        <v>0</v>
      </c>
      <c r="J229" s="328">
        <f t="shared" si="35"/>
        <v>0</v>
      </c>
      <c r="K229" s="328">
        <f t="shared" si="36"/>
        <v>0</v>
      </c>
    </row>
    <row r="230" spans="1:11" ht="13" x14ac:dyDescent="0.3">
      <c r="A230" s="321">
        <f t="shared" si="33"/>
        <v>173</v>
      </c>
      <c r="B230" s="104" t="s">
        <v>32</v>
      </c>
      <c r="C230" s="371">
        <v>2021</v>
      </c>
      <c r="D230" s="373">
        <v>0</v>
      </c>
      <c r="E230" s="328">
        <v>0</v>
      </c>
      <c r="F230" s="328">
        <f t="shared" si="34"/>
        <v>0</v>
      </c>
      <c r="G230" s="373">
        <v>0</v>
      </c>
      <c r="H230" s="373">
        <v>0</v>
      </c>
      <c r="I230" s="328">
        <v>0</v>
      </c>
      <c r="J230" s="328">
        <f t="shared" si="35"/>
        <v>0</v>
      </c>
      <c r="K230" s="328">
        <f t="shared" si="36"/>
        <v>0</v>
      </c>
    </row>
    <row r="231" spans="1:11" ht="13" x14ac:dyDescent="0.3">
      <c r="A231" s="321">
        <f t="shared" si="33"/>
        <v>174</v>
      </c>
      <c r="B231" s="104" t="s">
        <v>34</v>
      </c>
      <c r="C231" s="371">
        <v>2021</v>
      </c>
      <c r="D231" s="373">
        <v>0</v>
      </c>
      <c r="E231" s="328">
        <v>0</v>
      </c>
      <c r="F231" s="328">
        <f t="shared" si="34"/>
        <v>0</v>
      </c>
      <c r="G231" s="373">
        <v>0</v>
      </c>
      <c r="H231" s="373">
        <v>0</v>
      </c>
      <c r="I231" s="328">
        <v>0</v>
      </c>
      <c r="J231" s="328">
        <f t="shared" si="35"/>
        <v>0</v>
      </c>
      <c r="K231" s="328">
        <f t="shared" si="36"/>
        <v>0</v>
      </c>
    </row>
    <row r="232" spans="1:11" ht="13" x14ac:dyDescent="0.3">
      <c r="A232" s="321">
        <f t="shared" si="33"/>
        <v>175</v>
      </c>
      <c r="B232" s="104" t="s">
        <v>36</v>
      </c>
      <c r="C232" s="371">
        <v>2021</v>
      </c>
      <c r="D232" s="373">
        <v>0</v>
      </c>
      <c r="E232" s="328">
        <v>0</v>
      </c>
      <c r="F232" s="328">
        <f t="shared" si="34"/>
        <v>0</v>
      </c>
      <c r="G232" s="373">
        <v>0</v>
      </c>
      <c r="H232" s="373">
        <v>0</v>
      </c>
      <c r="I232" s="328">
        <v>0</v>
      </c>
      <c r="J232" s="328">
        <f t="shared" si="35"/>
        <v>0</v>
      </c>
      <c r="K232" s="328">
        <f t="shared" si="36"/>
        <v>0</v>
      </c>
    </row>
    <row r="233" spans="1:11" ht="13" x14ac:dyDescent="0.3">
      <c r="A233" s="321">
        <f t="shared" si="33"/>
        <v>176</v>
      </c>
      <c r="B233" s="104" t="s">
        <v>37</v>
      </c>
      <c r="C233" s="371">
        <v>2021</v>
      </c>
      <c r="D233" s="373">
        <v>0</v>
      </c>
      <c r="E233" s="328">
        <v>0</v>
      </c>
      <c r="F233" s="328">
        <f t="shared" si="34"/>
        <v>0</v>
      </c>
      <c r="G233" s="373">
        <v>0</v>
      </c>
      <c r="H233" s="373">
        <v>0</v>
      </c>
      <c r="I233" s="328">
        <v>0</v>
      </c>
      <c r="J233" s="328">
        <f t="shared" si="35"/>
        <v>0</v>
      </c>
      <c r="K233" s="328">
        <f t="shared" si="36"/>
        <v>0</v>
      </c>
    </row>
    <row r="234" spans="1:11" ht="13" x14ac:dyDescent="0.3">
      <c r="A234" s="321">
        <f t="shared" si="33"/>
        <v>177</v>
      </c>
      <c r="B234" s="104" t="s">
        <v>471</v>
      </c>
      <c r="C234" s="371">
        <v>2021</v>
      </c>
      <c r="D234" s="373">
        <v>0</v>
      </c>
      <c r="E234" s="328">
        <v>0</v>
      </c>
      <c r="F234" s="328">
        <f t="shared" si="34"/>
        <v>0</v>
      </c>
      <c r="G234" s="373">
        <v>0</v>
      </c>
      <c r="H234" s="373">
        <v>0</v>
      </c>
      <c r="I234" s="328">
        <v>0</v>
      </c>
      <c r="J234" s="328">
        <f t="shared" si="35"/>
        <v>0</v>
      </c>
      <c r="K234" s="328">
        <f t="shared" si="36"/>
        <v>0</v>
      </c>
    </row>
    <row r="235" spans="1:11" ht="13" x14ac:dyDescent="0.3">
      <c r="A235" s="321">
        <f t="shared" si="33"/>
        <v>178</v>
      </c>
      <c r="B235" s="104" t="s">
        <v>39</v>
      </c>
      <c r="C235" s="371">
        <v>2021</v>
      </c>
      <c r="D235" s="373">
        <v>0</v>
      </c>
      <c r="E235" s="328">
        <v>0</v>
      </c>
      <c r="F235" s="328">
        <f t="shared" si="34"/>
        <v>0</v>
      </c>
      <c r="G235" s="373">
        <v>0</v>
      </c>
      <c r="H235" s="373">
        <v>0</v>
      </c>
      <c r="I235" s="328">
        <v>0</v>
      </c>
      <c r="J235" s="328">
        <f t="shared" si="35"/>
        <v>0</v>
      </c>
      <c r="K235" s="328">
        <f t="shared" si="36"/>
        <v>0</v>
      </c>
    </row>
    <row r="236" spans="1:11" ht="13" x14ac:dyDescent="0.3">
      <c r="A236" s="321">
        <f t="shared" si="33"/>
        <v>179</v>
      </c>
      <c r="B236" s="104" t="s">
        <v>40</v>
      </c>
      <c r="C236" s="371">
        <v>2021</v>
      </c>
      <c r="D236" s="373">
        <v>0</v>
      </c>
      <c r="E236" s="328">
        <v>0</v>
      </c>
      <c r="F236" s="328">
        <f t="shared" si="34"/>
        <v>0</v>
      </c>
      <c r="G236" s="373">
        <v>0</v>
      </c>
      <c r="H236" s="373">
        <v>0</v>
      </c>
      <c r="I236" s="328">
        <v>0</v>
      </c>
      <c r="J236" s="328">
        <f t="shared" si="35"/>
        <v>0</v>
      </c>
      <c r="K236" s="328">
        <f t="shared" si="36"/>
        <v>0</v>
      </c>
    </row>
    <row r="237" spans="1:11" ht="13" x14ac:dyDescent="0.3">
      <c r="A237" s="321">
        <f t="shared" si="33"/>
        <v>180</v>
      </c>
      <c r="B237" s="104" t="s">
        <v>41</v>
      </c>
      <c r="C237" s="371">
        <v>2021</v>
      </c>
      <c r="D237" s="373">
        <v>0</v>
      </c>
      <c r="E237" s="328">
        <v>0</v>
      </c>
      <c r="F237" s="328">
        <f t="shared" si="34"/>
        <v>0</v>
      </c>
      <c r="G237" s="373">
        <v>0</v>
      </c>
      <c r="H237" s="373">
        <v>0</v>
      </c>
      <c r="I237" s="328">
        <v>0</v>
      </c>
      <c r="J237" s="328">
        <f t="shared" si="35"/>
        <v>0</v>
      </c>
      <c r="K237" s="328">
        <f t="shared" si="36"/>
        <v>0</v>
      </c>
    </row>
    <row r="238" spans="1:11" ht="13" x14ac:dyDescent="0.3">
      <c r="A238" s="321">
        <f t="shared" si="33"/>
        <v>181</v>
      </c>
      <c r="B238" s="104" t="s">
        <v>42</v>
      </c>
      <c r="C238" s="371">
        <v>2021</v>
      </c>
      <c r="D238" s="373">
        <v>0</v>
      </c>
      <c r="E238" s="328">
        <v>0</v>
      </c>
      <c r="F238" s="328">
        <f>E238+D238</f>
        <v>0</v>
      </c>
      <c r="G238" s="373">
        <v>0</v>
      </c>
      <c r="H238" s="373">
        <v>0</v>
      </c>
      <c r="I238" s="328">
        <v>0</v>
      </c>
      <c r="J238" s="328">
        <f>J237+F238-G238-I238</f>
        <v>0</v>
      </c>
      <c r="K238" s="328">
        <f t="shared" si="36"/>
        <v>0</v>
      </c>
    </row>
    <row r="239" spans="1:11" ht="13" x14ac:dyDescent="0.3">
      <c r="A239" s="321">
        <f t="shared" si="33"/>
        <v>182</v>
      </c>
      <c r="B239" s="104" t="s">
        <v>43</v>
      </c>
      <c r="C239" s="371">
        <v>2021</v>
      </c>
      <c r="D239" s="373">
        <v>0</v>
      </c>
      <c r="E239" s="328">
        <v>0</v>
      </c>
      <c r="F239" s="328">
        <f>E239+D239</f>
        <v>0</v>
      </c>
      <c r="G239" s="373">
        <v>0</v>
      </c>
      <c r="H239" s="373">
        <v>0</v>
      </c>
      <c r="I239" s="328">
        <v>0</v>
      </c>
      <c r="J239" s="328">
        <f>J238+F239-G239-I239</f>
        <v>0</v>
      </c>
      <c r="K239" s="328">
        <f t="shared" si="36"/>
        <v>0</v>
      </c>
    </row>
    <row r="240" spans="1:11" ht="13" x14ac:dyDescent="0.3">
      <c r="A240" s="321">
        <f t="shared" si="33"/>
        <v>183</v>
      </c>
      <c r="B240" s="104" t="s">
        <v>27</v>
      </c>
      <c r="C240" s="371">
        <v>2021</v>
      </c>
      <c r="D240" s="373">
        <v>0</v>
      </c>
      <c r="E240" s="328">
        <v>0</v>
      </c>
      <c r="F240" s="328">
        <f>E240+D240</f>
        <v>0</v>
      </c>
      <c r="G240" s="373">
        <v>0</v>
      </c>
      <c r="H240" s="373">
        <v>0</v>
      </c>
      <c r="I240" s="328">
        <v>0</v>
      </c>
      <c r="J240" s="328">
        <f>J239+F240-G240-I240</f>
        <v>0</v>
      </c>
      <c r="K240" s="335">
        <f t="shared" si="36"/>
        <v>0</v>
      </c>
    </row>
    <row r="241" spans="1:11" ht="13" x14ac:dyDescent="0.3">
      <c r="A241" s="321">
        <f t="shared" si="33"/>
        <v>184</v>
      </c>
      <c r="C241" s="396" t="s">
        <v>880</v>
      </c>
      <c r="K241" s="397">
        <f>AVERAGE(K228:K240)</f>
        <v>0</v>
      </c>
    </row>
    <row r="242" spans="1:11" ht="13" x14ac:dyDescent="0.3">
      <c r="A242" s="321"/>
      <c r="C242" s="396"/>
      <c r="K242" s="397"/>
    </row>
    <row r="243" spans="1:11" ht="13" x14ac:dyDescent="0.3">
      <c r="B243" s="399" t="s">
        <v>895</v>
      </c>
      <c r="D243" s="429" t="s">
        <v>896</v>
      </c>
      <c r="E243" s="429"/>
    </row>
    <row r="244" spans="1:11" ht="13" x14ac:dyDescent="0.3">
      <c r="A244" s="326"/>
      <c r="B244" s="326"/>
      <c r="C244" s="326"/>
      <c r="D244" s="326" t="s">
        <v>12</v>
      </c>
      <c r="E244" s="326" t="s">
        <v>343</v>
      </c>
      <c r="F244" s="326" t="s">
        <v>361</v>
      </c>
      <c r="G244" s="326" t="s">
        <v>13</v>
      </c>
      <c r="H244" s="326" t="s">
        <v>362</v>
      </c>
      <c r="I244" s="326" t="s">
        <v>363</v>
      </c>
      <c r="J244" s="326" t="s">
        <v>364</v>
      </c>
      <c r="K244" s="326" t="s">
        <v>451</v>
      </c>
    </row>
    <row r="245" spans="1:11" ht="25.5" x14ac:dyDescent="0.3">
      <c r="D245" s="363"/>
      <c r="E245" s="400" t="s">
        <v>883</v>
      </c>
      <c r="F245" s="356" t="s">
        <v>884</v>
      </c>
      <c r="G245" s="356"/>
      <c r="H245" s="363"/>
      <c r="I245" s="400" t="s">
        <v>885</v>
      </c>
      <c r="J245" s="400" t="s">
        <v>886</v>
      </c>
      <c r="K245" s="400" t="s">
        <v>887</v>
      </c>
    </row>
    <row r="246" spans="1:11" ht="13" x14ac:dyDescent="0.3">
      <c r="D246" s="363"/>
      <c r="E246" s="363"/>
      <c r="F246" s="363"/>
      <c r="G246" s="321" t="s">
        <v>897</v>
      </c>
      <c r="H246" s="363"/>
      <c r="I246" s="363"/>
    </row>
    <row r="247" spans="1:11" ht="13" x14ac:dyDescent="0.3">
      <c r="A247" s="321"/>
      <c r="B247" s="321"/>
      <c r="C247" s="321"/>
      <c r="D247" s="321" t="str">
        <f>D$52</f>
        <v>Forecast</v>
      </c>
      <c r="E247" s="321" t="str">
        <f t="shared" ref="E247:J247" si="37">E$52</f>
        <v>Corporate</v>
      </c>
      <c r="F247" s="321" t="str">
        <f t="shared" si="37"/>
        <v xml:space="preserve">Total </v>
      </c>
      <c r="G247" s="321" t="s">
        <v>344</v>
      </c>
      <c r="H247" s="321" t="str">
        <f t="shared" si="37"/>
        <v>Prior Period</v>
      </c>
      <c r="I247" s="321" t="str">
        <f t="shared" si="37"/>
        <v>Over Heads</v>
      </c>
      <c r="J247" s="321" t="str">
        <f t="shared" si="37"/>
        <v>Forecast</v>
      </c>
      <c r="K247" s="321" t="str">
        <f>K$52</f>
        <v>Forecast Period</v>
      </c>
    </row>
    <row r="248" spans="1:11" ht="13" x14ac:dyDescent="0.3">
      <c r="A248" s="325" t="s">
        <v>22</v>
      </c>
      <c r="B248" s="94" t="s">
        <v>23</v>
      </c>
      <c r="C248" s="94" t="s">
        <v>24</v>
      </c>
      <c r="D248" s="326" t="str">
        <f>D$53</f>
        <v>Expenditures</v>
      </c>
      <c r="E248" s="326" t="str">
        <f t="shared" ref="E248:J248" si="38">E$53</f>
        <v>Overheads</v>
      </c>
      <c r="F248" s="326" t="str">
        <f t="shared" si="38"/>
        <v>CWIP Exp</v>
      </c>
      <c r="G248" s="326" t="s">
        <v>875</v>
      </c>
      <c r="H248" s="326" t="str">
        <f t="shared" si="38"/>
        <v>CWIP Closed</v>
      </c>
      <c r="I248" s="326" t="str">
        <f t="shared" si="38"/>
        <v>Closed to PIS</v>
      </c>
      <c r="J248" s="326" t="str">
        <f t="shared" si="38"/>
        <v>Period CWIP</v>
      </c>
      <c r="K248" s="326" t="str">
        <f>K$53</f>
        <v>Incremental CWIP</v>
      </c>
    </row>
    <row r="249" spans="1:11" ht="13" x14ac:dyDescent="0.3">
      <c r="A249" s="321">
        <f>A241+1</f>
        <v>185</v>
      </c>
      <c r="B249" s="104" t="s">
        <v>27</v>
      </c>
      <c r="C249" s="371">
        <v>2019</v>
      </c>
      <c r="D249" s="356" t="s">
        <v>28</v>
      </c>
      <c r="E249" s="356" t="s">
        <v>28</v>
      </c>
      <c r="F249" s="356" t="s">
        <v>28</v>
      </c>
      <c r="G249" s="356" t="s">
        <v>28</v>
      </c>
      <c r="H249" s="356" t="s">
        <v>28</v>
      </c>
      <c r="I249" s="356" t="s">
        <v>28</v>
      </c>
      <c r="J249" s="328">
        <f>D45</f>
        <v>0</v>
      </c>
      <c r="K249" s="356" t="s">
        <v>28</v>
      </c>
    </row>
    <row r="250" spans="1:11" ht="13" x14ac:dyDescent="0.3">
      <c r="A250" s="321">
        <f>A249+1</f>
        <v>186</v>
      </c>
      <c r="B250" s="104" t="s">
        <v>30</v>
      </c>
      <c r="C250" s="371">
        <v>2020</v>
      </c>
      <c r="D250" s="373">
        <v>-1942</v>
      </c>
      <c r="E250" s="328">
        <v>-145.65</v>
      </c>
      <c r="F250" s="328">
        <f>E250+D250</f>
        <v>-2087.65</v>
      </c>
      <c r="G250" s="373">
        <v>-1942</v>
      </c>
      <c r="H250" s="373">
        <v>0</v>
      </c>
      <c r="I250" s="328">
        <v>-145.65</v>
      </c>
      <c r="J250" s="328">
        <f>J249+F250-G250-I250</f>
        <v>0</v>
      </c>
      <c r="K250" s="328">
        <f>J250-$J$249</f>
        <v>0</v>
      </c>
    </row>
    <row r="251" spans="1:11" ht="13" x14ac:dyDescent="0.3">
      <c r="A251" s="321">
        <f t="shared" ref="A251:A274" si="39">A250+1</f>
        <v>187</v>
      </c>
      <c r="B251" s="104" t="s">
        <v>32</v>
      </c>
      <c r="C251" s="371">
        <v>2020</v>
      </c>
      <c r="D251" s="373">
        <v>0</v>
      </c>
      <c r="E251" s="328">
        <v>0</v>
      </c>
      <c r="F251" s="328">
        <f t="shared" ref="F251:F270" si="40">E251+D251</f>
        <v>0</v>
      </c>
      <c r="G251" s="373">
        <v>0</v>
      </c>
      <c r="H251" s="373">
        <v>0</v>
      </c>
      <c r="I251" s="328">
        <v>0</v>
      </c>
      <c r="J251" s="328">
        <f t="shared" ref="J251:J270" si="41">J250+F251-G251-I251</f>
        <v>0</v>
      </c>
      <c r="K251" s="328">
        <f t="shared" ref="K251:K273" si="42">J251-$J$249</f>
        <v>0</v>
      </c>
    </row>
    <row r="252" spans="1:11" ht="13" x14ac:dyDescent="0.3">
      <c r="A252" s="321">
        <f t="shared" si="39"/>
        <v>188</v>
      </c>
      <c r="B252" s="104" t="s">
        <v>34</v>
      </c>
      <c r="C252" s="371">
        <v>2020</v>
      </c>
      <c r="D252" s="373">
        <v>0</v>
      </c>
      <c r="E252" s="328">
        <v>0</v>
      </c>
      <c r="F252" s="328">
        <f t="shared" si="40"/>
        <v>0</v>
      </c>
      <c r="G252" s="373">
        <v>0</v>
      </c>
      <c r="H252" s="373">
        <v>0</v>
      </c>
      <c r="I252" s="328">
        <v>0</v>
      </c>
      <c r="J252" s="328">
        <f t="shared" si="41"/>
        <v>0</v>
      </c>
      <c r="K252" s="328">
        <f t="shared" si="42"/>
        <v>0</v>
      </c>
    </row>
    <row r="253" spans="1:11" ht="13" x14ac:dyDescent="0.3">
      <c r="A253" s="321">
        <f t="shared" si="39"/>
        <v>189</v>
      </c>
      <c r="B253" s="104" t="s">
        <v>36</v>
      </c>
      <c r="C253" s="371">
        <v>2020</v>
      </c>
      <c r="D253" s="373">
        <v>0</v>
      </c>
      <c r="E253" s="328">
        <v>0</v>
      </c>
      <c r="F253" s="328">
        <f t="shared" si="40"/>
        <v>0</v>
      </c>
      <c r="G253" s="373">
        <v>0</v>
      </c>
      <c r="H253" s="373">
        <v>0</v>
      </c>
      <c r="I253" s="328">
        <v>0</v>
      </c>
      <c r="J253" s="328">
        <f t="shared" si="41"/>
        <v>0</v>
      </c>
      <c r="K253" s="328">
        <f t="shared" si="42"/>
        <v>0</v>
      </c>
    </row>
    <row r="254" spans="1:11" ht="13" x14ac:dyDescent="0.3">
      <c r="A254" s="321">
        <f t="shared" si="39"/>
        <v>190</v>
      </c>
      <c r="B254" s="104" t="s">
        <v>37</v>
      </c>
      <c r="C254" s="371">
        <v>2020</v>
      </c>
      <c r="D254" s="373">
        <v>0</v>
      </c>
      <c r="E254" s="328">
        <v>0</v>
      </c>
      <c r="F254" s="328">
        <f t="shared" si="40"/>
        <v>0</v>
      </c>
      <c r="G254" s="373">
        <v>0</v>
      </c>
      <c r="H254" s="373">
        <v>0</v>
      </c>
      <c r="I254" s="328">
        <v>0</v>
      </c>
      <c r="J254" s="328">
        <f t="shared" si="41"/>
        <v>0</v>
      </c>
      <c r="K254" s="328">
        <f t="shared" si="42"/>
        <v>0</v>
      </c>
    </row>
    <row r="255" spans="1:11" ht="13" x14ac:dyDescent="0.3">
      <c r="A255" s="321">
        <f t="shared" si="39"/>
        <v>191</v>
      </c>
      <c r="B255" s="104" t="s">
        <v>471</v>
      </c>
      <c r="C255" s="371">
        <v>2020</v>
      </c>
      <c r="D255" s="373">
        <v>0</v>
      </c>
      <c r="E255" s="328">
        <v>0</v>
      </c>
      <c r="F255" s="328">
        <f t="shared" si="40"/>
        <v>0</v>
      </c>
      <c r="G255" s="373">
        <v>0</v>
      </c>
      <c r="H255" s="373">
        <v>0</v>
      </c>
      <c r="I255" s="328">
        <v>0</v>
      </c>
      <c r="J255" s="328">
        <f t="shared" si="41"/>
        <v>0</v>
      </c>
      <c r="K255" s="328">
        <f t="shared" si="42"/>
        <v>0</v>
      </c>
    </row>
    <row r="256" spans="1:11" ht="13" x14ac:dyDescent="0.3">
      <c r="A256" s="321">
        <f t="shared" si="39"/>
        <v>192</v>
      </c>
      <c r="B256" s="104" t="s">
        <v>39</v>
      </c>
      <c r="C256" s="371">
        <v>2020</v>
      </c>
      <c r="D256" s="373">
        <v>0</v>
      </c>
      <c r="E256" s="328">
        <v>0</v>
      </c>
      <c r="F256" s="328">
        <f t="shared" si="40"/>
        <v>0</v>
      </c>
      <c r="G256" s="373">
        <v>0</v>
      </c>
      <c r="H256" s="373">
        <v>0</v>
      </c>
      <c r="I256" s="328">
        <v>0</v>
      </c>
      <c r="J256" s="328">
        <f t="shared" si="41"/>
        <v>0</v>
      </c>
      <c r="K256" s="328">
        <f t="shared" si="42"/>
        <v>0</v>
      </c>
    </row>
    <row r="257" spans="1:11" ht="13" x14ac:dyDescent="0.3">
      <c r="A257" s="321">
        <f t="shared" si="39"/>
        <v>193</v>
      </c>
      <c r="B257" s="104" t="s">
        <v>40</v>
      </c>
      <c r="C257" s="371">
        <v>2020</v>
      </c>
      <c r="D257" s="373">
        <v>0</v>
      </c>
      <c r="E257" s="328">
        <v>0</v>
      </c>
      <c r="F257" s="328">
        <f t="shared" si="40"/>
        <v>0</v>
      </c>
      <c r="G257" s="373">
        <v>0</v>
      </c>
      <c r="H257" s="373">
        <v>0</v>
      </c>
      <c r="I257" s="328">
        <v>0</v>
      </c>
      <c r="J257" s="328">
        <f t="shared" si="41"/>
        <v>0</v>
      </c>
      <c r="K257" s="328">
        <f t="shared" si="42"/>
        <v>0</v>
      </c>
    </row>
    <row r="258" spans="1:11" ht="13" x14ac:dyDescent="0.3">
      <c r="A258" s="321">
        <f t="shared" si="39"/>
        <v>194</v>
      </c>
      <c r="B258" s="104" t="s">
        <v>41</v>
      </c>
      <c r="C258" s="371">
        <v>2020</v>
      </c>
      <c r="D258" s="373">
        <v>0</v>
      </c>
      <c r="E258" s="328">
        <v>0</v>
      </c>
      <c r="F258" s="328">
        <f t="shared" si="40"/>
        <v>0</v>
      </c>
      <c r="G258" s="373">
        <v>0</v>
      </c>
      <c r="H258" s="373">
        <v>0</v>
      </c>
      <c r="I258" s="328">
        <v>0</v>
      </c>
      <c r="J258" s="328">
        <f t="shared" si="41"/>
        <v>0</v>
      </c>
      <c r="K258" s="328">
        <f t="shared" si="42"/>
        <v>0</v>
      </c>
    </row>
    <row r="259" spans="1:11" ht="13" x14ac:dyDescent="0.3">
      <c r="A259" s="321">
        <f t="shared" si="39"/>
        <v>195</v>
      </c>
      <c r="B259" s="104" t="s">
        <v>42</v>
      </c>
      <c r="C259" s="371">
        <v>2020</v>
      </c>
      <c r="D259" s="373">
        <v>0</v>
      </c>
      <c r="E259" s="328">
        <v>0</v>
      </c>
      <c r="F259" s="328">
        <f t="shared" si="40"/>
        <v>0</v>
      </c>
      <c r="G259" s="373">
        <v>0</v>
      </c>
      <c r="H259" s="373">
        <v>0</v>
      </c>
      <c r="I259" s="328">
        <v>0</v>
      </c>
      <c r="J259" s="328">
        <f t="shared" si="41"/>
        <v>0</v>
      </c>
      <c r="K259" s="328">
        <f t="shared" si="42"/>
        <v>0</v>
      </c>
    </row>
    <row r="260" spans="1:11" ht="13" x14ac:dyDescent="0.3">
      <c r="A260" s="321">
        <f t="shared" si="39"/>
        <v>196</v>
      </c>
      <c r="B260" s="104" t="s">
        <v>43</v>
      </c>
      <c r="C260" s="371">
        <v>2020</v>
      </c>
      <c r="D260" s="373">
        <v>0</v>
      </c>
      <c r="E260" s="328">
        <v>0</v>
      </c>
      <c r="F260" s="328">
        <f t="shared" si="40"/>
        <v>0</v>
      </c>
      <c r="G260" s="373">
        <v>0</v>
      </c>
      <c r="H260" s="373">
        <v>0</v>
      </c>
      <c r="I260" s="328">
        <v>0</v>
      </c>
      <c r="J260" s="328">
        <f t="shared" si="41"/>
        <v>0</v>
      </c>
      <c r="K260" s="328">
        <f t="shared" si="42"/>
        <v>0</v>
      </c>
    </row>
    <row r="261" spans="1:11" ht="13" x14ac:dyDescent="0.3">
      <c r="A261" s="321">
        <f t="shared" si="39"/>
        <v>197</v>
      </c>
      <c r="B261" s="104" t="s">
        <v>27</v>
      </c>
      <c r="C261" s="371">
        <v>2020</v>
      </c>
      <c r="D261" s="373">
        <v>0</v>
      </c>
      <c r="E261" s="328">
        <v>0</v>
      </c>
      <c r="F261" s="328">
        <f t="shared" si="40"/>
        <v>0</v>
      </c>
      <c r="G261" s="373">
        <v>0</v>
      </c>
      <c r="H261" s="373">
        <v>0</v>
      </c>
      <c r="I261" s="328">
        <v>0</v>
      </c>
      <c r="J261" s="328">
        <f t="shared" si="41"/>
        <v>0</v>
      </c>
      <c r="K261" s="328">
        <f t="shared" si="42"/>
        <v>0</v>
      </c>
    </row>
    <row r="262" spans="1:11" ht="13" x14ac:dyDescent="0.3">
      <c r="A262" s="321">
        <f t="shared" si="39"/>
        <v>198</v>
      </c>
      <c r="B262" s="104" t="s">
        <v>30</v>
      </c>
      <c r="C262" s="371">
        <v>2021</v>
      </c>
      <c r="D262" s="373">
        <v>0</v>
      </c>
      <c r="E262" s="328">
        <v>0</v>
      </c>
      <c r="F262" s="328">
        <f t="shared" si="40"/>
        <v>0</v>
      </c>
      <c r="G262" s="373">
        <v>0</v>
      </c>
      <c r="H262" s="373">
        <v>0</v>
      </c>
      <c r="I262" s="328">
        <v>0</v>
      </c>
      <c r="J262" s="328">
        <f t="shared" si="41"/>
        <v>0</v>
      </c>
      <c r="K262" s="328">
        <f t="shared" si="42"/>
        <v>0</v>
      </c>
    </row>
    <row r="263" spans="1:11" ht="13" x14ac:dyDescent="0.3">
      <c r="A263" s="321">
        <f t="shared" si="39"/>
        <v>199</v>
      </c>
      <c r="B263" s="104" t="s">
        <v>32</v>
      </c>
      <c r="C263" s="371">
        <v>2021</v>
      </c>
      <c r="D263" s="373">
        <v>0</v>
      </c>
      <c r="E263" s="328">
        <v>0</v>
      </c>
      <c r="F263" s="328">
        <f t="shared" si="40"/>
        <v>0</v>
      </c>
      <c r="G263" s="373">
        <v>0</v>
      </c>
      <c r="H263" s="373">
        <v>0</v>
      </c>
      <c r="I263" s="328">
        <v>0</v>
      </c>
      <c r="J263" s="328">
        <f t="shared" si="41"/>
        <v>0</v>
      </c>
      <c r="K263" s="328">
        <f t="shared" si="42"/>
        <v>0</v>
      </c>
    </row>
    <row r="264" spans="1:11" ht="13" x14ac:dyDescent="0.3">
      <c r="A264" s="321">
        <f t="shared" si="39"/>
        <v>200</v>
      </c>
      <c r="B264" s="104" t="s">
        <v>34</v>
      </c>
      <c r="C264" s="371">
        <v>2021</v>
      </c>
      <c r="D264" s="373">
        <v>0</v>
      </c>
      <c r="E264" s="328">
        <v>0</v>
      </c>
      <c r="F264" s="328">
        <f t="shared" si="40"/>
        <v>0</v>
      </c>
      <c r="G264" s="373">
        <v>0</v>
      </c>
      <c r="H264" s="373">
        <v>0</v>
      </c>
      <c r="I264" s="328">
        <v>0</v>
      </c>
      <c r="J264" s="328">
        <f t="shared" si="41"/>
        <v>0</v>
      </c>
      <c r="K264" s="328">
        <f t="shared" si="42"/>
        <v>0</v>
      </c>
    </row>
    <row r="265" spans="1:11" ht="13" x14ac:dyDescent="0.3">
      <c r="A265" s="321">
        <f t="shared" si="39"/>
        <v>201</v>
      </c>
      <c r="B265" s="104" t="s">
        <v>36</v>
      </c>
      <c r="C265" s="371">
        <v>2021</v>
      </c>
      <c r="D265" s="373">
        <v>0</v>
      </c>
      <c r="E265" s="328">
        <v>0</v>
      </c>
      <c r="F265" s="328">
        <f t="shared" si="40"/>
        <v>0</v>
      </c>
      <c r="G265" s="373">
        <v>0</v>
      </c>
      <c r="H265" s="373">
        <v>0</v>
      </c>
      <c r="I265" s="328">
        <v>0</v>
      </c>
      <c r="J265" s="328">
        <f t="shared" si="41"/>
        <v>0</v>
      </c>
      <c r="K265" s="328">
        <f t="shared" si="42"/>
        <v>0</v>
      </c>
    </row>
    <row r="266" spans="1:11" ht="13" x14ac:dyDescent="0.3">
      <c r="A266" s="321">
        <f t="shared" si="39"/>
        <v>202</v>
      </c>
      <c r="B266" s="104" t="s">
        <v>37</v>
      </c>
      <c r="C266" s="371">
        <v>2021</v>
      </c>
      <c r="D266" s="373">
        <v>0</v>
      </c>
      <c r="E266" s="328">
        <v>0</v>
      </c>
      <c r="F266" s="328">
        <f t="shared" si="40"/>
        <v>0</v>
      </c>
      <c r="G266" s="373">
        <v>0</v>
      </c>
      <c r="H266" s="373">
        <v>0</v>
      </c>
      <c r="I266" s="328">
        <v>0</v>
      </c>
      <c r="J266" s="328">
        <f t="shared" si="41"/>
        <v>0</v>
      </c>
      <c r="K266" s="328">
        <f t="shared" si="42"/>
        <v>0</v>
      </c>
    </row>
    <row r="267" spans="1:11" ht="13" x14ac:dyDescent="0.3">
      <c r="A267" s="321">
        <f t="shared" si="39"/>
        <v>203</v>
      </c>
      <c r="B267" s="104" t="s">
        <v>471</v>
      </c>
      <c r="C267" s="371">
        <v>2021</v>
      </c>
      <c r="D267" s="373">
        <v>0</v>
      </c>
      <c r="E267" s="328">
        <v>0</v>
      </c>
      <c r="F267" s="328">
        <f t="shared" si="40"/>
        <v>0</v>
      </c>
      <c r="G267" s="373">
        <v>0</v>
      </c>
      <c r="H267" s="373">
        <v>0</v>
      </c>
      <c r="I267" s="328">
        <v>0</v>
      </c>
      <c r="J267" s="328">
        <f t="shared" si="41"/>
        <v>0</v>
      </c>
      <c r="K267" s="328">
        <f t="shared" si="42"/>
        <v>0</v>
      </c>
    </row>
    <row r="268" spans="1:11" ht="13" x14ac:dyDescent="0.3">
      <c r="A268" s="321">
        <f t="shared" si="39"/>
        <v>204</v>
      </c>
      <c r="B268" s="104" t="s">
        <v>39</v>
      </c>
      <c r="C268" s="371">
        <v>2021</v>
      </c>
      <c r="D268" s="373">
        <v>0</v>
      </c>
      <c r="E268" s="328">
        <v>0</v>
      </c>
      <c r="F268" s="328">
        <f t="shared" si="40"/>
        <v>0</v>
      </c>
      <c r="G268" s="373">
        <v>0</v>
      </c>
      <c r="H268" s="373">
        <v>0</v>
      </c>
      <c r="I268" s="328">
        <v>0</v>
      </c>
      <c r="J268" s="328">
        <f t="shared" si="41"/>
        <v>0</v>
      </c>
      <c r="K268" s="328">
        <f t="shared" si="42"/>
        <v>0</v>
      </c>
    </row>
    <row r="269" spans="1:11" ht="13" x14ac:dyDescent="0.3">
      <c r="A269" s="321">
        <f t="shared" si="39"/>
        <v>205</v>
      </c>
      <c r="B269" s="104" t="s">
        <v>40</v>
      </c>
      <c r="C269" s="371">
        <v>2021</v>
      </c>
      <c r="D269" s="373">
        <v>0</v>
      </c>
      <c r="E269" s="328">
        <v>0</v>
      </c>
      <c r="F269" s="328">
        <f t="shared" si="40"/>
        <v>0</v>
      </c>
      <c r="G269" s="373">
        <v>0</v>
      </c>
      <c r="H269" s="373">
        <v>0</v>
      </c>
      <c r="I269" s="328">
        <v>0</v>
      </c>
      <c r="J269" s="328">
        <f t="shared" si="41"/>
        <v>0</v>
      </c>
      <c r="K269" s="328">
        <f t="shared" si="42"/>
        <v>0</v>
      </c>
    </row>
    <row r="270" spans="1:11" ht="13" x14ac:dyDescent="0.3">
      <c r="A270" s="321">
        <f t="shared" si="39"/>
        <v>206</v>
      </c>
      <c r="B270" s="104" t="s">
        <v>41</v>
      </c>
      <c r="C270" s="371">
        <v>2021</v>
      </c>
      <c r="D270" s="373">
        <v>0</v>
      </c>
      <c r="E270" s="328">
        <v>0</v>
      </c>
      <c r="F270" s="328">
        <f t="shared" si="40"/>
        <v>0</v>
      </c>
      <c r="G270" s="373">
        <v>0</v>
      </c>
      <c r="H270" s="373">
        <v>0</v>
      </c>
      <c r="I270" s="328">
        <v>0</v>
      </c>
      <c r="J270" s="328">
        <f t="shared" si="41"/>
        <v>0</v>
      </c>
      <c r="K270" s="328">
        <f t="shared" si="42"/>
        <v>0</v>
      </c>
    </row>
    <row r="271" spans="1:11" ht="13" x14ac:dyDescent="0.3">
      <c r="A271" s="321">
        <f t="shared" si="39"/>
        <v>207</v>
      </c>
      <c r="B271" s="104" t="s">
        <v>42</v>
      </c>
      <c r="C271" s="371">
        <v>2021</v>
      </c>
      <c r="D271" s="373">
        <v>0</v>
      </c>
      <c r="E271" s="328">
        <v>0</v>
      </c>
      <c r="F271" s="328">
        <f>E271+D271</f>
        <v>0</v>
      </c>
      <c r="G271" s="373">
        <v>0</v>
      </c>
      <c r="H271" s="373">
        <v>0</v>
      </c>
      <c r="I271" s="328">
        <v>0</v>
      </c>
      <c r="J271" s="328">
        <f>J270+F271-G271-I271</f>
        <v>0</v>
      </c>
      <c r="K271" s="328">
        <f t="shared" si="42"/>
        <v>0</v>
      </c>
    </row>
    <row r="272" spans="1:11" ht="13" x14ac:dyDescent="0.3">
      <c r="A272" s="321">
        <f t="shared" si="39"/>
        <v>208</v>
      </c>
      <c r="B272" s="104" t="s">
        <v>43</v>
      </c>
      <c r="C272" s="371">
        <v>2021</v>
      </c>
      <c r="D272" s="373">
        <v>0</v>
      </c>
      <c r="E272" s="328">
        <v>0</v>
      </c>
      <c r="F272" s="328">
        <f>E272+D272</f>
        <v>0</v>
      </c>
      <c r="G272" s="373">
        <v>0</v>
      </c>
      <c r="H272" s="373">
        <v>0</v>
      </c>
      <c r="I272" s="328">
        <v>0</v>
      </c>
      <c r="J272" s="328">
        <f>J271+F272-G272-I272</f>
        <v>0</v>
      </c>
      <c r="K272" s="328">
        <f t="shared" si="42"/>
        <v>0</v>
      </c>
    </row>
    <row r="273" spans="1:13" ht="13" x14ac:dyDescent="0.3">
      <c r="A273" s="321">
        <f t="shared" si="39"/>
        <v>209</v>
      </c>
      <c r="B273" s="104" t="s">
        <v>27</v>
      </c>
      <c r="C273" s="371">
        <v>2021</v>
      </c>
      <c r="D273" s="373">
        <v>0</v>
      </c>
      <c r="E273" s="328">
        <v>0</v>
      </c>
      <c r="F273" s="328">
        <f>E273+D273</f>
        <v>0</v>
      </c>
      <c r="G273" s="373">
        <v>0</v>
      </c>
      <c r="H273" s="373">
        <v>0</v>
      </c>
      <c r="I273" s="328">
        <v>0</v>
      </c>
      <c r="J273" s="328">
        <f>J272+F273-G273-I273</f>
        <v>0</v>
      </c>
      <c r="K273" s="335">
        <f t="shared" si="42"/>
        <v>0</v>
      </c>
    </row>
    <row r="274" spans="1:13" ht="13" x14ac:dyDescent="0.3">
      <c r="A274" s="321">
        <f t="shared" si="39"/>
        <v>210</v>
      </c>
      <c r="C274" s="396" t="s">
        <v>880</v>
      </c>
      <c r="K274" s="397">
        <f>AVERAGE(K261:K273)</f>
        <v>0</v>
      </c>
    </row>
    <row r="275" spans="1:13" ht="12.75" customHeight="1" x14ac:dyDescent="0.3">
      <c r="A275" s="321"/>
      <c r="C275" s="396"/>
      <c r="K275" s="397"/>
    </row>
    <row r="276" spans="1:13" ht="13" x14ac:dyDescent="0.3">
      <c r="B276" s="399" t="s">
        <v>898</v>
      </c>
      <c r="D276" s="429" t="s">
        <v>899</v>
      </c>
      <c r="E276" s="429"/>
    </row>
    <row r="277" spans="1:13" ht="13" x14ac:dyDescent="0.3">
      <c r="D277" s="363"/>
      <c r="E277" s="400"/>
      <c r="F277" s="356"/>
      <c r="G277" s="321" t="str">
        <f>G51</f>
        <v>Unloaded</v>
      </c>
      <c r="H277" s="363"/>
      <c r="I277" s="400"/>
      <c r="J277" s="400"/>
      <c r="K277" s="400"/>
    </row>
    <row r="278" spans="1:13" ht="13" x14ac:dyDescent="0.3">
      <c r="A278" s="321"/>
      <c r="B278" s="321"/>
      <c r="C278" s="321"/>
      <c r="D278" s="321" t="str">
        <f>D$52</f>
        <v>Forecast</v>
      </c>
      <c r="E278" s="321" t="str">
        <f t="shared" ref="E278:J278" si="43">E$52</f>
        <v>Corporate</v>
      </c>
      <c r="F278" s="321" t="str">
        <f t="shared" si="43"/>
        <v xml:space="preserve">Total </v>
      </c>
      <c r="G278" s="321" t="str">
        <f>G52</f>
        <v>Total</v>
      </c>
      <c r="H278" s="321" t="str">
        <f t="shared" si="43"/>
        <v>Prior Period</v>
      </c>
      <c r="I278" s="321" t="str">
        <f t="shared" si="43"/>
        <v>Over Heads</v>
      </c>
      <c r="J278" s="321" t="str">
        <f t="shared" si="43"/>
        <v>Forecast</v>
      </c>
      <c r="K278" s="321" t="str">
        <f>K$52</f>
        <v>Forecast Period</v>
      </c>
    </row>
    <row r="279" spans="1:13" ht="13" x14ac:dyDescent="0.3">
      <c r="A279" s="325" t="s">
        <v>22</v>
      </c>
      <c r="B279" s="94" t="s">
        <v>23</v>
      </c>
      <c r="C279" s="94" t="s">
        <v>24</v>
      </c>
      <c r="D279" s="326" t="str">
        <f>D$53</f>
        <v>Expenditures</v>
      </c>
      <c r="E279" s="326" t="str">
        <f t="shared" ref="E279:J279" si="44">E$53</f>
        <v>Overheads</v>
      </c>
      <c r="F279" s="326" t="str">
        <f t="shared" si="44"/>
        <v>CWIP Exp</v>
      </c>
      <c r="G279" s="326" t="str">
        <f>G53</f>
        <v>Plant Adds</v>
      </c>
      <c r="H279" s="326" t="str">
        <f t="shared" si="44"/>
        <v>CWIP Closed</v>
      </c>
      <c r="I279" s="326" t="str">
        <f t="shared" si="44"/>
        <v>Closed to PIS</v>
      </c>
      <c r="J279" s="326" t="str">
        <f t="shared" si="44"/>
        <v>Period CWIP</v>
      </c>
      <c r="K279" s="326" t="str">
        <f>K$53</f>
        <v>Incremental CWIP</v>
      </c>
    </row>
    <row r="280" spans="1:13" ht="13" x14ac:dyDescent="0.3">
      <c r="A280" s="321">
        <f>A274+1</f>
        <v>211</v>
      </c>
      <c r="B280" s="104" t="s">
        <v>27</v>
      </c>
      <c r="C280" s="371">
        <v>2019</v>
      </c>
      <c r="D280" s="356" t="s">
        <v>28</v>
      </c>
      <c r="E280" s="356" t="s">
        <v>28</v>
      </c>
      <c r="F280" s="356" t="s">
        <v>28</v>
      </c>
      <c r="G280" s="356" t="s">
        <v>28</v>
      </c>
      <c r="H280" s="356" t="s">
        <v>28</v>
      </c>
      <c r="I280" s="356" t="s">
        <v>28</v>
      </c>
      <c r="J280" s="328">
        <f>E45</f>
        <v>301246.76</v>
      </c>
      <c r="K280" s="356" t="s">
        <v>28</v>
      </c>
    </row>
    <row r="281" spans="1:13" ht="13" x14ac:dyDescent="0.3">
      <c r="A281" s="321">
        <f>A280+1</f>
        <v>212</v>
      </c>
      <c r="B281" s="104" t="s">
        <v>30</v>
      </c>
      <c r="C281" s="371">
        <v>2020</v>
      </c>
      <c r="D281" s="373">
        <v>11020</v>
      </c>
      <c r="E281" s="328">
        <v>826.5</v>
      </c>
      <c r="F281" s="328">
        <f>E281+D281</f>
        <v>11846.5</v>
      </c>
      <c r="G281" s="373">
        <v>0</v>
      </c>
      <c r="H281" s="373">
        <v>0</v>
      </c>
      <c r="I281" s="328">
        <v>0</v>
      </c>
      <c r="J281" s="328">
        <f>J280+F281-G281-I281</f>
        <v>313093.26</v>
      </c>
      <c r="K281" s="328">
        <f>J281-$J$280</f>
        <v>11846.5</v>
      </c>
    </row>
    <row r="282" spans="1:13" ht="13" x14ac:dyDescent="0.3">
      <c r="A282" s="321">
        <f t="shared" ref="A282:A305" si="45">A281+1</f>
        <v>213</v>
      </c>
      <c r="B282" s="104" t="s">
        <v>32</v>
      </c>
      <c r="C282" s="371">
        <v>2020</v>
      </c>
      <c r="D282" s="373">
        <v>8146.0000000000009</v>
      </c>
      <c r="E282" s="328">
        <v>610.95000000000005</v>
      </c>
      <c r="F282" s="328">
        <f t="shared" ref="F282:F301" si="46">E282+D282</f>
        <v>8756.9500000000007</v>
      </c>
      <c r="G282" s="373">
        <v>0</v>
      </c>
      <c r="H282" s="373">
        <v>0</v>
      </c>
      <c r="I282" s="328">
        <v>0</v>
      </c>
      <c r="J282" s="328">
        <f t="shared" ref="J282:J301" si="47">J281+F282-G282-I282</f>
        <v>321850.21000000002</v>
      </c>
      <c r="K282" s="328">
        <f t="shared" ref="K282:K304" si="48">J282-$J$280</f>
        <v>20603.450000000012</v>
      </c>
    </row>
    <row r="283" spans="1:13" ht="13" x14ac:dyDescent="0.3">
      <c r="A283" s="321">
        <f t="shared" si="45"/>
        <v>214</v>
      </c>
      <c r="B283" s="104" t="s">
        <v>34</v>
      </c>
      <c r="C283" s="371">
        <v>2020</v>
      </c>
      <c r="D283" s="373">
        <v>18479</v>
      </c>
      <c r="E283" s="328">
        <v>1385.925</v>
      </c>
      <c r="F283" s="328">
        <f t="shared" si="46"/>
        <v>19864.924999999999</v>
      </c>
      <c r="G283" s="373">
        <v>0</v>
      </c>
      <c r="H283" s="373">
        <v>0</v>
      </c>
      <c r="I283" s="328">
        <v>0</v>
      </c>
      <c r="J283" s="328">
        <f t="shared" si="47"/>
        <v>341715.13500000001</v>
      </c>
      <c r="K283" s="328">
        <f t="shared" si="48"/>
        <v>40468.375</v>
      </c>
    </row>
    <row r="284" spans="1:13" ht="13" x14ac:dyDescent="0.3">
      <c r="A284" s="321">
        <f t="shared" si="45"/>
        <v>215</v>
      </c>
      <c r="B284" s="104" t="s">
        <v>36</v>
      </c>
      <c r="C284" s="371">
        <v>2020</v>
      </c>
      <c r="D284" s="373">
        <v>40000</v>
      </c>
      <c r="E284" s="328">
        <v>3000</v>
      </c>
      <c r="F284" s="328">
        <f t="shared" si="46"/>
        <v>43000</v>
      </c>
      <c r="G284" s="373">
        <v>0</v>
      </c>
      <c r="H284" s="373">
        <v>0</v>
      </c>
      <c r="I284" s="328">
        <v>0</v>
      </c>
      <c r="J284" s="328">
        <f t="shared" si="47"/>
        <v>384715.13500000001</v>
      </c>
      <c r="K284" s="328">
        <f t="shared" si="48"/>
        <v>83468.375</v>
      </c>
    </row>
    <row r="285" spans="1:13" ht="13" x14ac:dyDescent="0.3">
      <c r="A285" s="321">
        <f t="shared" si="45"/>
        <v>216</v>
      </c>
      <c r="B285" s="104" t="s">
        <v>37</v>
      </c>
      <c r="C285" s="371">
        <v>2020</v>
      </c>
      <c r="D285" s="373">
        <v>326231</v>
      </c>
      <c r="E285" s="328">
        <v>24467.325000000001</v>
      </c>
      <c r="F285" s="328">
        <f t="shared" si="46"/>
        <v>350698.32500000001</v>
      </c>
      <c r="G285" s="373">
        <v>0</v>
      </c>
      <c r="H285" s="373">
        <v>0</v>
      </c>
      <c r="I285" s="328">
        <v>0</v>
      </c>
      <c r="J285" s="328">
        <f t="shared" si="47"/>
        <v>735413.46</v>
      </c>
      <c r="K285" s="328">
        <f t="shared" si="48"/>
        <v>434166.69999999995</v>
      </c>
      <c r="L285" s="321"/>
      <c r="M285" s="321"/>
    </row>
    <row r="286" spans="1:13" ht="13" x14ac:dyDescent="0.3">
      <c r="A286" s="321">
        <f t="shared" si="45"/>
        <v>217</v>
      </c>
      <c r="B286" s="104" t="s">
        <v>471</v>
      </c>
      <c r="C286" s="371">
        <v>2020</v>
      </c>
      <c r="D286" s="373">
        <v>350000</v>
      </c>
      <c r="E286" s="328">
        <v>26250</v>
      </c>
      <c r="F286" s="328">
        <f t="shared" si="46"/>
        <v>376250</v>
      </c>
      <c r="G286" s="373">
        <v>0</v>
      </c>
      <c r="H286" s="373">
        <v>0</v>
      </c>
      <c r="I286" s="328">
        <v>0</v>
      </c>
      <c r="J286" s="328">
        <f t="shared" si="47"/>
        <v>1111663.46</v>
      </c>
      <c r="K286" s="328">
        <f t="shared" si="48"/>
        <v>810416.7</v>
      </c>
      <c r="L286" s="326"/>
      <c r="M286" s="326"/>
    </row>
    <row r="287" spans="1:13" ht="13" x14ac:dyDescent="0.3">
      <c r="A287" s="321">
        <f t="shared" si="45"/>
        <v>218</v>
      </c>
      <c r="B287" s="104" t="s">
        <v>39</v>
      </c>
      <c r="C287" s="371">
        <v>2020</v>
      </c>
      <c r="D287" s="373">
        <v>336231</v>
      </c>
      <c r="E287" s="328">
        <v>25217.325000000001</v>
      </c>
      <c r="F287" s="328">
        <f t="shared" si="46"/>
        <v>361448.32500000001</v>
      </c>
      <c r="G287" s="373">
        <v>0</v>
      </c>
      <c r="H287" s="373">
        <v>0</v>
      </c>
      <c r="I287" s="328">
        <v>0</v>
      </c>
      <c r="J287" s="328">
        <f t="shared" si="47"/>
        <v>1473111.7849999999</v>
      </c>
      <c r="K287" s="328">
        <f t="shared" si="48"/>
        <v>1171865.0249999999</v>
      </c>
    </row>
    <row r="288" spans="1:13" ht="13" x14ac:dyDescent="0.3">
      <c r="A288" s="321">
        <f t="shared" si="45"/>
        <v>219</v>
      </c>
      <c r="B288" s="104" t="s">
        <v>40</v>
      </c>
      <c r="C288" s="371">
        <v>2020</v>
      </c>
      <c r="D288" s="373">
        <v>435864</v>
      </c>
      <c r="E288" s="328">
        <v>32689.8</v>
      </c>
      <c r="F288" s="328">
        <f t="shared" si="46"/>
        <v>468553.8</v>
      </c>
      <c r="G288" s="373">
        <v>0</v>
      </c>
      <c r="H288" s="373">
        <v>0</v>
      </c>
      <c r="I288" s="328">
        <v>0</v>
      </c>
      <c r="J288" s="328">
        <f t="shared" si="47"/>
        <v>1941665.585</v>
      </c>
      <c r="K288" s="328">
        <f t="shared" si="48"/>
        <v>1640418.825</v>
      </c>
    </row>
    <row r="289" spans="1:11" ht="13" x14ac:dyDescent="0.3">
      <c r="A289" s="321">
        <f t="shared" si="45"/>
        <v>220</v>
      </c>
      <c r="B289" s="104" t="s">
        <v>41</v>
      </c>
      <c r="C289" s="371">
        <v>2020</v>
      </c>
      <c r="D289" s="373">
        <v>455000</v>
      </c>
      <c r="E289" s="328">
        <v>34125</v>
      </c>
      <c r="F289" s="328">
        <f t="shared" si="46"/>
        <v>489125</v>
      </c>
      <c r="G289" s="373">
        <v>0</v>
      </c>
      <c r="H289" s="373">
        <v>0</v>
      </c>
      <c r="I289" s="328">
        <v>0</v>
      </c>
      <c r="J289" s="328">
        <f t="shared" si="47"/>
        <v>2430790.585</v>
      </c>
      <c r="K289" s="328">
        <f t="shared" si="48"/>
        <v>2129543.8250000002</v>
      </c>
    </row>
    <row r="290" spans="1:11" ht="13" x14ac:dyDescent="0.3">
      <c r="A290" s="321">
        <f t="shared" si="45"/>
        <v>221</v>
      </c>
      <c r="B290" s="104" t="s">
        <v>42</v>
      </c>
      <c r="C290" s="371">
        <v>2020</v>
      </c>
      <c r="D290" s="373">
        <v>1123537</v>
      </c>
      <c r="E290" s="328">
        <v>84265.274999999994</v>
      </c>
      <c r="F290" s="328">
        <f t="shared" si="46"/>
        <v>1207802.2749999999</v>
      </c>
      <c r="G290" s="373">
        <v>0</v>
      </c>
      <c r="H290" s="373">
        <v>0</v>
      </c>
      <c r="I290" s="328">
        <v>0</v>
      </c>
      <c r="J290" s="328">
        <f t="shared" si="47"/>
        <v>3638592.86</v>
      </c>
      <c r="K290" s="328">
        <f t="shared" si="48"/>
        <v>3337346.0999999996</v>
      </c>
    </row>
    <row r="291" spans="1:11" ht="13" x14ac:dyDescent="0.3">
      <c r="A291" s="321">
        <f t="shared" si="45"/>
        <v>222</v>
      </c>
      <c r="B291" s="104" t="s">
        <v>43</v>
      </c>
      <c r="C291" s="371">
        <v>2020</v>
      </c>
      <c r="D291" s="373">
        <v>1266818</v>
      </c>
      <c r="E291" s="328">
        <v>95011.349999999991</v>
      </c>
      <c r="F291" s="328">
        <f t="shared" si="46"/>
        <v>1361829.35</v>
      </c>
      <c r="G291" s="373">
        <v>0</v>
      </c>
      <c r="H291" s="373">
        <v>0</v>
      </c>
      <c r="I291" s="328">
        <v>0</v>
      </c>
      <c r="J291" s="328">
        <f t="shared" si="47"/>
        <v>5000422.21</v>
      </c>
      <c r="K291" s="328">
        <f t="shared" si="48"/>
        <v>4699175.45</v>
      </c>
    </row>
    <row r="292" spans="1:11" ht="13" x14ac:dyDescent="0.3">
      <c r="A292" s="321">
        <f t="shared" si="45"/>
        <v>223</v>
      </c>
      <c r="B292" s="104" t="s">
        <v>27</v>
      </c>
      <c r="C292" s="371">
        <v>2020</v>
      </c>
      <c r="D292" s="373">
        <v>669293</v>
      </c>
      <c r="E292" s="328">
        <v>50196.974999999999</v>
      </c>
      <c r="F292" s="328">
        <f t="shared" si="46"/>
        <v>719489.97499999998</v>
      </c>
      <c r="G292" s="373">
        <v>0</v>
      </c>
      <c r="H292" s="373">
        <v>0</v>
      </c>
      <c r="I292" s="328">
        <v>0</v>
      </c>
      <c r="J292" s="328">
        <f t="shared" si="47"/>
        <v>5719912.1849999996</v>
      </c>
      <c r="K292" s="328">
        <f t="shared" si="48"/>
        <v>5418665.4249999998</v>
      </c>
    </row>
    <row r="293" spans="1:11" ht="13" x14ac:dyDescent="0.3">
      <c r="A293" s="321">
        <f t="shared" si="45"/>
        <v>224</v>
      </c>
      <c r="B293" s="104" t="s">
        <v>30</v>
      </c>
      <c r="C293" s="371">
        <v>2021</v>
      </c>
      <c r="D293" s="373">
        <v>370000</v>
      </c>
      <c r="E293" s="328">
        <v>27750</v>
      </c>
      <c r="F293" s="328">
        <f t="shared" si="46"/>
        <v>397750</v>
      </c>
      <c r="G293" s="373">
        <v>0</v>
      </c>
      <c r="H293" s="373">
        <v>0</v>
      </c>
      <c r="I293" s="328">
        <v>0</v>
      </c>
      <c r="J293" s="328">
        <f t="shared" si="47"/>
        <v>6117662.1849999996</v>
      </c>
      <c r="K293" s="328">
        <f t="shared" si="48"/>
        <v>5816415.4249999998</v>
      </c>
    </row>
    <row r="294" spans="1:11" ht="13" x14ac:dyDescent="0.3">
      <c r="A294" s="321">
        <f t="shared" si="45"/>
        <v>225</v>
      </c>
      <c r="B294" s="104" t="s">
        <v>32</v>
      </c>
      <c r="C294" s="371">
        <v>2021</v>
      </c>
      <c r="D294" s="373">
        <v>370000</v>
      </c>
      <c r="E294" s="328">
        <v>27750</v>
      </c>
      <c r="F294" s="328">
        <f t="shared" si="46"/>
        <v>397750</v>
      </c>
      <c r="G294" s="373">
        <v>0</v>
      </c>
      <c r="H294" s="373">
        <v>0</v>
      </c>
      <c r="I294" s="328">
        <v>0</v>
      </c>
      <c r="J294" s="328">
        <f t="shared" si="47"/>
        <v>6515412.1849999996</v>
      </c>
      <c r="K294" s="328">
        <f t="shared" si="48"/>
        <v>6214165.4249999998</v>
      </c>
    </row>
    <row r="295" spans="1:11" ht="13" x14ac:dyDescent="0.3">
      <c r="A295" s="321">
        <f t="shared" si="45"/>
        <v>226</v>
      </c>
      <c r="B295" s="104" t="s">
        <v>34</v>
      </c>
      <c r="C295" s="371">
        <v>2021</v>
      </c>
      <c r="D295" s="373">
        <v>370000</v>
      </c>
      <c r="E295" s="328">
        <v>27750</v>
      </c>
      <c r="F295" s="328">
        <f t="shared" si="46"/>
        <v>397750</v>
      </c>
      <c r="G295" s="373">
        <v>0</v>
      </c>
      <c r="H295" s="373">
        <v>0</v>
      </c>
      <c r="I295" s="328">
        <v>0</v>
      </c>
      <c r="J295" s="328">
        <f t="shared" si="47"/>
        <v>6913162.1849999996</v>
      </c>
      <c r="K295" s="328">
        <f t="shared" si="48"/>
        <v>6611915.4249999998</v>
      </c>
    </row>
    <row r="296" spans="1:11" ht="13" x14ac:dyDescent="0.3">
      <c r="A296" s="321">
        <f t="shared" si="45"/>
        <v>227</v>
      </c>
      <c r="B296" s="104" t="s">
        <v>36</v>
      </c>
      <c r="C296" s="371">
        <v>2021</v>
      </c>
      <c r="D296" s="373">
        <v>370000</v>
      </c>
      <c r="E296" s="328">
        <v>27750</v>
      </c>
      <c r="F296" s="328">
        <f t="shared" si="46"/>
        <v>397750</v>
      </c>
      <c r="G296" s="373">
        <v>0</v>
      </c>
      <c r="H296" s="373">
        <v>0</v>
      </c>
      <c r="I296" s="328">
        <v>0</v>
      </c>
      <c r="J296" s="328">
        <f t="shared" si="47"/>
        <v>7310912.1849999996</v>
      </c>
      <c r="K296" s="328">
        <f t="shared" si="48"/>
        <v>7009665.4249999998</v>
      </c>
    </row>
    <row r="297" spans="1:11" ht="13" x14ac:dyDescent="0.3">
      <c r="A297" s="321">
        <f t="shared" si="45"/>
        <v>228</v>
      </c>
      <c r="B297" s="104" t="s">
        <v>37</v>
      </c>
      <c r="C297" s="371">
        <v>2021</v>
      </c>
      <c r="D297" s="373">
        <v>370000</v>
      </c>
      <c r="E297" s="328">
        <v>27750</v>
      </c>
      <c r="F297" s="328">
        <f t="shared" si="46"/>
        <v>397750</v>
      </c>
      <c r="G297" s="373">
        <v>0</v>
      </c>
      <c r="H297" s="373">
        <v>0</v>
      </c>
      <c r="I297" s="328">
        <v>0</v>
      </c>
      <c r="J297" s="328">
        <f t="shared" si="47"/>
        <v>7708662.1849999996</v>
      </c>
      <c r="K297" s="328">
        <f t="shared" si="48"/>
        <v>7407415.4249999998</v>
      </c>
    </row>
    <row r="298" spans="1:11" ht="13" x14ac:dyDescent="0.3">
      <c r="A298" s="321">
        <f t="shared" si="45"/>
        <v>229</v>
      </c>
      <c r="B298" s="104" t="s">
        <v>471</v>
      </c>
      <c r="C298" s="371">
        <v>2021</v>
      </c>
      <c r="D298" s="373">
        <v>370000</v>
      </c>
      <c r="E298" s="328">
        <v>27750</v>
      </c>
      <c r="F298" s="328">
        <f t="shared" si="46"/>
        <v>397750</v>
      </c>
      <c r="G298" s="373">
        <v>0</v>
      </c>
      <c r="H298" s="373">
        <v>0</v>
      </c>
      <c r="I298" s="328">
        <v>0</v>
      </c>
      <c r="J298" s="328">
        <f t="shared" si="47"/>
        <v>8106412.1849999996</v>
      </c>
      <c r="K298" s="328">
        <f t="shared" si="48"/>
        <v>7805165.4249999998</v>
      </c>
    </row>
    <row r="299" spans="1:11" ht="13" x14ac:dyDescent="0.3">
      <c r="A299" s="321">
        <f t="shared" si="45"/>
        <v>230</v>
      </c>
      <c r="B299" s="104" t="s">
        <v>39</v>
      </c>
      <c r="C299" s="371">
        <v>2021</v>
      </c>
      <c r="D299" s="373">
        <v>370000</v>
      </c>
      <c r="E299" s="328">
        <v>27750</v>
      </c>
      <c r="F299" s="328">
        <f t="shared" si="46"/>
        <v>397750</v>
      </c>
      <c r="G299" s="373">
        <v>0</v>
      </c>
      <c r="H299" s="373">
        <v>0</v>
      </c>
      <c r="I299" s="328">
        <v>0</v>
      </c>
      <c r="J299" s="328">
        <f t="shared" si="47"/>
        <v>8504162.1849999987</v>
      </c>
      <c r="K299" s="328">
        <f t="shared" si="48"/>
        <v>8202915.4249999989</v>
      </c>
    </row>
    <row r="300" spans="1:11" ht="13" x14ac:dyDescent="0.3">
      <c r="A300" s="321">
        <f t="shared" si="45"/>
        <v>231</v>
      </c>
      <c r="B300" s="104" t="s">
        <v>40</v>
      </c>
      <c r="C300" s="371">
        <v>2021</v>
      </c>
      <c r="D300" s="373">
        <v>370000</v>
      </c>
      <c r="E300" s="328">
        <v>27750</v>
      </c>
      <c r="F300" s="328">
        <f t="shared" si="46"/>
        <v>397750</v>
      </c>
      <c r="G300" s="373">
        <v>0</v>
      </c>
      <c r="H300" s="373">
        <v>0</v>
      </c>
      <c r="I300" s="328">
        <v>0</v>
      </c>
      <c r="J300" s="328">
        <f t="shared" si="47"/>
        <v>8901912.1849999987</v>
      </c>
      <c r="K300" s="328">
        <f t="shared" si="48"/>
        <v>8600665.4249999989</v>
      </c>
    </row>
    <row r="301" spans="1:11" ht="13" x14ac:dyDescent="0.3">
      <c r="A301" s="321">
        <f t="shared" si="45"/>
        <v>232</v>
      </c>
      <c r="B301" s="104" t="s">
        <v>41</v>
      </c>
      <c r="C301" s="371">
        <v>2021</v>
      </c>
      <c r="D301" s="373">
        <v>370000</v>
      </c>
      <c r="E301" s="328">
        <v>27750</v>
      </c>
      <c r="F301" s="328">
        <f t="shared" si="46"/>
        <v>397750</v>
      </c>
      <c r="G301" s="373">
        <v>8671865.7599999979</v>
      </c>
      <c r="H301" s="373">
        <v>301246.76</v>
      </c>
      <c r="I301" s="328">
        <v>627796.42499999981</v>
      </c>
      <c r="J301" s="328">
        <f t="shared" si="47"/>
        <v>9.3132257461547852E-10</v>
      </c>
      <c r="K301" s="328">
        <f t="shared" si="48"/>
        <v>-301246.75999999908</v>
      </c>
    </row>
    <row r="302" spans="1:11" ht="13" x14ac:dyDescent="0.3">
      <c r="A302" s="321">
        <f t="shared" si="45"/>
        <v>233</v>
      </c>
      <c r="B302" s="104" t="s">
        <v>42</v>
      </c>
      <c r="C302" s="371">
        <v>2021</v>
      </c>
      <c r="D302" s="373">
        <v>370000</v>
      </c>
      <c r="E302" s="328">
        <v>27750</v>
      </c>
      <c r="F302" s="328">
        <f>E302+D302</f>
        <v>397750</v>
      </c>
      <c r="G302" s="373">
        <v>370000</v>
      </c>
      <c r="H302" s="373">
        <v>0</v>
      </c>
      <c r="I302" s="328">
        <v>27750</v>
      </c>
      <c r="J302" s="328">
        <f>J301+F302-G302-I302</f>
        <v>9.3132257461547852E-10</v>
      </c>
      <c r="K302" s="328">
        <f t="shared" si="48"/>
        <v>-301246.75999999908</v>
      </c>
    </row>
    <row r="303" spans="1:11" ht="13" x14ac:dyDescent="0.3">
      <c r="A303" s="321">
        <f t="shared" si="45"/>
        <v>234</v>
      </c>
      <c r="B303" s="104" t="s">
        <v>43</v>
      </c>
      <c r="C303" s="371">
        <v>2021</v>
      </c>
      <c r="D303" s="373">
        <v>370000</v>
      </c>
      <c r="E303" s="328">
        <v>27750</v>
      </c>
      <c r="F303" s="328">
        <f>E303+D303</f>
        <v>397750</v>
      </c>
      <c r="G303" s="373">
        <v>370000</v>
      </c>
      <c r="H303" s="373">
        <v>0</v>
      </c>
      <c r="I303" s="328">
        <v>27750</v>
      </c>
      <c r="J303" s="328">
        <f>J302+F303-G303-I303</f>
        <v>9.3132257461547852E-10</v>
      </c>
      <c r="K303" s="328">
        <f t="shared" si="48"/>
        <v>-301246.75999999908</v>
      </c>
    </row>
    <row r="304" spans="1:11" ht="13" x14ac:dyDescent="0.3">
      <c r="A304" s="321">
        <f t="shared" si="45"/>
        <v>235</v>
      </c>
      <c r="B304" s="104" t="s">
        <v>27</v>
      </c>
      <c r="C304" s="371">
        <v>2021</v>
      </c>
      <c r="D304" s="373">
        <v>369733</v>
      </c>
      <c r="E304" s="328">
        <v>27729.974999999999</v>
      </c>
      <c r="F304" s="328">
        <f>E304+D304</f>
        <v>397462.97499999998</v>
      </c>
      <c r="G304" s="373">
        <v>369733</v>
      </c>
      <c r="H304" s="373">
        <v>0</v>
      </c>
      <c r="I304" s="328">
        <v>27729.974999999999</v>
      </c>
      <c r="J304" s="328">
        <f>J303+F304-G304-I304</f>
        <v>9.0949470177292824E-10</v>
      </c>
      <c r="K304" s="335">
        <f t="shared" si="48"/>
        <v>-301246.75999999908</v>
      </c>
    </row>
    <row r="305" spans="1:12" ht="13" x14ac:dyDescent="0.3">
      <c r="A305" s="321">
        <f t="shared" si="45"/>
        <v>236</v>
      </c>
      <c r="C305" s="396" t="s">
        <v>880</v>
      </c>
      <c r="K305" s="397">
        <f>AVERAGE(K292:K304)</f>
        <v>4760153.9834615383</v>
      </c>
    </row>
    <row r="306" spans="1:12" ht="13" x14ac:dyDescent="0.3">
      <c r="A306" s="321"/>
      <c r="C306" s="396"/>
      <c r="K306" s="397"/>
    </row>
    <row r="307" spans="1:12" ht="13" x14ac:dyDescent="0.3">
      <c r="B307" s="399" t="s">
        <v>900</v>
      </c>
      <c r="D307" s="429" t="s">
        <v>861</v>
      </c>
      <c r="E307" s="429"/>
    </row>
    <row r="308" spans="1:12" ht="13" x14ac:dyDescent="0.3">
      <c r="A308" s="326"/>
      <c r="B308" s="326"/>
      <c r="C308" s="326"/>
      <c r="D308" s="326" t="s">
        <v>12</v>
      </c>
      <c r="E308" s="326" t="s">
        <v>343</v>
      </c>
      <c r="F308" s="326" t="s">
        <v>361</v>
      </c>
      <c r="G308" s="326" t="s">
        <v>13</v>
      </c>
      <c r="H308" s="326" t="s">
        <v>362</v>
      </c>
      <c r="I308" s="326" t="s">
        <v>363</v>
      </c>
      <c r="J308" s="326" t="s">
        <v>364</v>
      </c>
      <c r="K308" s="326" t="s">
        <v>451</v>
      </c>
    </row>
    <row r="309" spans="1:12" ht="25.5" x14ac:dyDescent="0.3">
      <c r="D309" s="363"/>
      <c r="E309" s="400" t="s">
        <v>883</v>
      </c>
      <c r="F309" s="356" t="s">
        <v>884</v>
      </c>
      <c r="G309" s="356"/>
      <c r="H309" s="363"/>
      <c r="I309" s="400" t="s">
        <v>885</v>
      </c>
      <c r="J309" s="400" t="s">
        <v>886</v>
      </c>
      <c r="K309" s="400" t="s">
        <v>887</v>
      </c>
    </row>
    <row r="310" spans="1:12" ht="13" x14ac:dyDescent="0.3">
      <c r="D310" s="363"/>
      <c r="E310" s="363"/>
      <c r="F310" s="363"/>
      <c r="G310" s="321" t="str">
        <f>G51</f>
        <v>Unloaded</v>
      </c>
      <c r="H310" s="363"/>
      <c r="I310" s="363"/>
    </row>
    <row r="311" spans="1:12" ht="13" x14ac:dyDescent="0.3">
      <c r="A311" s="321"/>
      <c r="B311" s="321"/>
      <c r="C311" s="321"/>
      <c r="D311" s="321" t="str">
        <f>D$52</f>
        <v>Forecast</v>
      </c>
      <c r="E311" s="321" t="str">
        <f t="shared" ref="E311:J311" si="49">E$52</f>
        <v>Corporate</v>
      </c>
      <c r="F311" s="321" t="str">
        <f t="shared" si="49"/>
        <v xml:space="preserve">Total </v>
      </c>
      <c r="G311" s="321" t="str">
        <f>G52</f>
        <v>Total</v>
      </c>
      <c r="H311" s="321" t="str">
        <f t="shared" si="49"/>
        <v>Prior Period</v>
      </c>
      <c r="I311" s="321" t="str">
        <f t="shared" si="49"/>
        <v>Over Heads</v>
      </c>
      <c r="J311" s="321" t="str">
        <f t="shared" si="49"/>
        <v>Forecast</v>
      </c>
      <c r="K311" s="321" t="str">
        <f>K$52</f>
        <v>Forecast Period</v>
      </c>
    </row>
    <row r="312" spans="1:12" ht="13" x14ac:dyDescent="0.3">
      <c r="A312" s="325" t="s">
        <v>22</v>
      </c>
      <c r="B312" s="94" t="s">
        <v>23</v>
      </c>
      <c r="C312" s="94" t="s">
        <v>24</v>
      </c>
      <c r="D312" s="326" t="str">
        <f>D$53</f>
        <v>Expenditures</v>
      </c>
      <c r="E312" s="326" t="str">
        <f t="shared" ref="E312:J312" si="50">E$53</f>
        <v>Overheads</v>
      </c>
      <c r="F312" s="326" t="str">
        <f t="shared" si="50"/>
        <v>CWIP Exp</v>
      </c>
      <c r="G312" s="326" t="str">
        <f>G53</f>
        <v>Plant Adds</v>
      </c>
      <c r="H312" s="326" t="str">
        <f t="shared" si="50"/>
        <v>CWIP Closed</v>
      </c>
      <c r="I312" s="326" t="str">
        <f t="shared" si="50"/>
        <v>Closed to PIS</v>
      </c>
      <c r="J312" s="326" t="str">
        <f t="shared" si="50"/>
        <v>Period CWIP</v>
      </c>
      <c r="K312" s="326" t="str">
        <f>K$53</f>
        <v>Incremental CWIP</v>
      </c>
    </row>
    <row r="313" spans="1:12" ht="13" x14ac:dyDescent="0.3">
      <c r="A313" s="321">
        <f>A305+1</f>
        <v>237</v>
      </c>
      <c r="B313" s="104" t="s">
        <v>27</v>
      </c>
      <c r="C313" s="371">
        <v>2019</v>
      </c>
      <c r="D313" s="356" t="s">
        <v>28</v>
      </c>
      <c r="E313" s="356" t="s">
        <v>28</v>
      </c>
      <c r="F313" s="356" t="s">
        <v>28</v>
      </c>
      <c r="G313" s="356" t="s">
        <v>28</v>
      </c>
      <c r="H313" s="356" t="s">
        <v>28</v>
      </c>
      <c r="I313" s="356" t="s">
        <v>28</v>
      </c>
      <c r="J313" s="328">
        <f>F45</f>
        <v>49854942.909999996</v>
      </c>
      <c r="K313" s="356" t="s">
        <v>28</v>
      </c>
    </row>
    <row r="314" spans="1:12" ht="13" x14ac:dyDescent="0.3">
      <c r="A314" s="321">
        <f>A313+1</f>
        <v>238</v>
      </c>
      <c r="B314" s="104" t="s">
        <v>30</v>
      </c>
      <c r="C314" s="371">
        <v>2020</v>
      </c>
      <c r="D314" s="373">
        <v>4061738.8068000008</v>
      </c>
      <c r="E314" s="328">
        <v>304630.41051000007</v>
      </c>
      <c r="F314" s="328">
        <f>E314+D314</f>
        <v>4366369.2173100011</v>
      </c>
      <c r="G314" s="373">
        <v>1498716.8068000001</v>
      </c>
      <c r="H314" s="373">
        <v>0</v>
      </c>
      <c r="I314" s="328">
        <v>112403.76051000001</v>
      </c>
      <c r="J314" s="328">
        <f>J313+F314-G314-I314</f>
        <v>52610191.560000002</v>
      </c>
      <c r="K314" s="328">
        <f>J314-$J$313</f>
        <v>2755248.650000006</v>
      </c>
      <c r="L314" s="321"/>
    </row>
    <row r="315" spans="1:12" ht="13" x14ac:dyDescent="0.3">
      <c r="A315" s="321">
        <f t="shared" ref="A315:A338" si="51">A314+1</f>
        <v>239</v>
      </c>
      <c r="B315" s="104" t="s">
        <v>32</v>
      </c>
      <c r="C315" s="371">
        <v>2020</v>
      </c>
      <c r="D315" s="373">
        <v>5880074.051</v>
      </c>
      <c r="E315" s="328">
        <v>441005.55382500001</v>
      </c>
      <c r="F315" s="328">
        <f t="shared" ref="F315:F334" si="52">E315+D315</f>
        <v>6321079.6048250003</v>
      </c>
      <c r="G315" s="373">
        <v>821950.05100000021</v>
      </c>
      <c r="H315" s="373">
        <v>0</v>
      </c>
      <c r="I315" s="328">
        <v>61646.253825000014</v>
      </c>
      <c r="J315" s="328">
        <f t="shared" ref="J315:J334" si="53">J314+F315-G315-I315</f>
        <v>58047674.859999999</v>
      </c>
      <c r="K315" s="328">
        <f t="shared" ref="K315:K337" si="54">J315-$J$313</f>
        <v>8192731.950000003</v>
      </c>
      <c r="L315" s="321"/>
    </row>
    <row r="316" spans="1:12" ht="13" x14ac:dyDescent="0.3">
      <c r="A316" s="321">
        <f t="shared" si="51"/>
        <v>240</v>
      </c>
      <c r="B316" s="104" t="s">
        <v>34</v>
      </c>
      <c r="C316" s="371">
        <v>2020</v>
      </c>
      <c r="D316" s="373">
        <v>4900388.102</v>
      </c>
      <c r="E316" s="328">
        <v>367529.10764999996</v>
      </c>
      <c r="F316" s="328">
        <f t="shared" si="52"/>
        <v>5267917.2096499996</v>
      </c>
      <c r="G316" s="373">
        <v>662429.10199999996</v>
      </c>
      <c r="H316" s="373">
        <v>0</v>
      </c>
      <c r="I316" s="328">
        <v>49682.182649999995</v>
      </c>
      <c r="J316" s="328">
        <f t="shared" si="53"/>
        <v>62603480.785000004</v>
      </c>
      <c r="K316" s="328">
        <f t="shared" si="54"/>
        <v>12748537.875000007</v>
      </c>
      <c r="L316" s="321"/>
    </row>
    <row r="317" spans="1:12" ht="13" x14ac:dyDescent="0.3">
      <c r="A317" s="321">
        <f t="shared" si="51"/>
        <v>241</v>
      </c>
      <c r="B317" s="104" t="s">
        <v>36</v>
      </c>
      <c r="C317" s="371">
        <v>2020</v>
      </c>
      <c r="D317" s="373">
        <v>10164324.310000001</v>
      </c>
      <c r="E317" s="328">
        <v>762324.32325000002</v>
      </c>
      <c r="F317" s="328">
        <f t="shared" si="52"/>
        <v>10926648.63325</v>
      </c>
      <c r="G317" s="373">
        <v>123635.31</v>
      </c>
      <c r="H317" s="373">
        <v>0</v>
      </c>
      <c r="I317" s="328">
        <v>9272.6482500000002</v>
      </c>
      <c r="J317" s="328">
        <f t="shared" si="53"/>
        <v>73397221.460000008</v>
      </c>
      <c r="K317" s="328">
        <f t="shared" si="54"/>
        <v>23542278.550000012</v>
      </c>
      <c r="L317" s="326"/>
    </row>
    <row r="318" spans="1:12" ht="13" x14ac:dyDescent="0.3">
      <c r="A318" s="321">
        <f t="shared" si="51"/>
        <v>242</v>
      </c>
      <c r="B318" s="104" t="s">
        <v>37</v>
      </c>
      <c r="C318" s="371">
        <v>2020</v>
      </c>
      <c r="D318" s="373">
        <v>14976454.309999999</v>
      </c>
      <c r="E318" s="328">
        <v>1123234.0732499999</v>
      </c>
      <c r="F318" s="328">
        <f t="shared" si="52"/>
        <v>16099688.383249998</v>
      </c>
      <c r="G318" s="373">
        <v>440868.45000000007</v>
      </c>
      <c r="H318" s="373">
        <v>344737.14</v>
      </c>
      <c r="I318" s="328">
        <v>7209.8482500000036</v>
      </c>
      <c r="J318" s="328">
        <f t="shared" si="53"/>
        <v>89048831.545000002</v>
      </c>
      <c r="K318" s="328">
        <f t="shared" si="54"/>
        <v>39193888.635000005</v>
      </c>
    </row>
    <row r="319" spans="1:12" ht="13" x14ac:dyDescent="0.3">
      <c r="A319" s="321">
        <f t="shared" si="51"/>
        <v>243</v>
      </c>
      <c r="B319" s="104" t="s">
        <v>471</v>
      </c>
      <c r="C319" s="371">
        <v>2020</v>
      </c>
      <c r="D319" s="373">
        <v>9728852.5857999995</v>
      </c>
      <c r="E319" s="328">
        <v>729663.94393499999</v>
      </c>
      <c r="F319" s="328">
        <f t="shared" si="52"/>
        <v>10458516.529734999</v>
      </c>
      <c r="G319" s="373">
        <v>541379.6057999999</v>
      </c>
      <c r="H319" s="373">
        <v>253117.02</v>
      </c>
      <c r="I319" s="328">
        <v>21619.693934999992</v>
      </c>
      <c r="J319" s="328">
        <f t="shared" si="53"/>
        <v>98944348.774999991</v>
      </c>
      <c r="K319" s="328">
        <f t="shared" si="54"/>
        <v>49089405.864999995</v>
      </c>
    </row>
    <row r="320" spans="1:12" ht="13" x14ac:dyDescent="0.3">
      <c r="A320" s="321">
        <f t="shared" si="51"/>
        <v>244</v>
      </c>
      <c r="B320" s="104" t="s">
        <v>39</v>
      </c>
      <c r="C320" s="371">
        <v>2020</v>
      </c>
      <c r="D320" s="373">
        <v>11353872.139999999</v>
      </c>
      <c r="E320" s="328">
        <v>851540.41049999988</v>
      </c>
      <c r="F320" s="328">
        <f t="shared" si="52"/>
        <v>12205412.550499998</v>
      </c>
      <c r="G320" s="373">
        <v>5632.1399999999994</v>
      </c>
      <c r="H320" s="373">
        <v>0</v>
      </c>
      <c r="I320" s="328">
        <v>422.41049999999996</v>
      </c>
      <c r="J320" s="328">
        <f t="shared" si="53"/>
        <v>111143706.77499998</v>
      </c>
      <c r="K320" s="328">
        <f t="shared" si="54"/>
        <v>61288763.86499998</v>
      </c>
    </row>
    <row r="321" spans="1:11" ht="13" x14ac:dyDescent="0.3">
      <c r="A321" s="321">
        <f t="shared" si="51"/>
        <v>245</v>
      </c>
      <c r="B321" s="104" t="s">
        <v>40</v>
      </c>
      <c r="C321" s="371">
        <v>2020</v>
      </c>
      <c r="D321" s="373">
        <v>7061094.1400000006</v>
      </c>
      <c r="E321" s="328">
        <v>529582.06050000002</v>
      </c>
      <c r="F321" s="328">
        <f t="shared" si="52"/>
        <v>7590676.2005000003</v>
      </c>
      <c r="G321" s="373">
        <v>5632.1399999999994</v>
      </c>
      <c r="H321" s="373">
        <v>0</v>
      </c>
      <c r="I321" s="328">
        <v>422.41049999999996</v>
      </c>
      <c r="J321" s="328">
        <f t="shared" si="53"/>
        <v>118728328.42499997</v>
      </c>
      <c r="K321" s="328">
        <f t="shared" si="54"/>
        <v>68873385.514999971</v>
      </c>
    </row>
    <row r="322" spans="1:11" ht="13" x14ac:dyDescent="0.3">
      <c r="A322" s="321">
        <f t="shared" si="51"/>
        <v>246</v>
      </c>
      <c r="B322" s="104" t="s">
        <v>41</v>
      </c>
      <c r="C322" s="371">
        <v>2020</v>
      </c>
      <c r="D322" s="373">
        <v>9451395.1399999987</v>
      </c>
      <c r="E322" s="328">
        <v>708854.63549999986</v>
      </c>
      <c r="F322" s="328">
        <f t="shared" si="52"/>
        <v>10160249.7755</v>
      </c>
      <c r="G322" s="373">
        <v>5632.1399999999994</v>
      </c>
      <c r="H322" s="373">
        <v>0</v>
      </c>
      <c r="I322" s="328">
        <v>422.41049999999996</v>
      </c>
      <c r="J322" s="328">
        <f t="shared" si="53"/>
        <v>128882523.64999996</v>
      </c>
      <c r="K322" s="328">
        <f t="shared" si="54"/>
        <v>79027580.739999965</v>
      </c>
    </row>
    <row r="323" spans="1:11" ht="13" x14ac:dyDescent="0.3">
      <c r="A323" s="321">
        <f t="shared" si="51"/>
        <v>247</v>
      </c>
      <c r="B323" s="104" t="s">
        <v>42</v>
      </c>
      <c r="C323" s="371">
        <v>2020</v>
      </c>
      <c r="D323" s="373">
        <v>5025379.1399999997</v>
      </c>
      <c r="E323" s="328">
        <v>376903.43549999996</v>
      </c>
      <c r="F323" s="328">
        <f t="shared" si="52"/>
        <v>5402282.5754999993</v>
      </c>
      <c r="G323" s="373">
        <v>5632.1399999999994</v>
      </c>
      <c r="H323" s="373">
        <v>0</v>
      </c>
      <c r="I323" s="328">
        <v>422.41049999999996</v>
      </c>
      <c r="J323" s="328">
        <f t="shared" si="53"/>
        <v>134278751.67499998</v>
      </c>
      <c r="K323" s="328">
        <f t="shared" si="54"/>
        <v>84423808.764999986</v>
      </c>
    </row>
    <row r="324" spans="1:11" ht="13" x14ac:dyDescent="0.3">
      <c r="A324" s="321">
        <f t="shared" si="51"/>
        <v>248</v>
      </c>
      <c r="B324" s="104" t="s">
        <v>43</v>
      </c>
      <c r="C324" s="371">
        <v>2020</v>
      </c>
      <c r="D324" s="373">
        <v>3190394.1399999997</v>
      </c>
      <c r="E324" s="328">
        <v>239279.56049999996</v>
      </c>
      <c r="F324" s="328">
        <f t="shared" si="52"/>
        <v>3429673.7004999998</v>
      </c>
      <c r="G324" s="373">
        <v>5632.1399999999994</v>
      </c>
      <c r="H324" s="373">
        <v>0</v>
      </c>
      <c r="I324" s="328">
        <v>422.41049999999996</v>
      </c>
      <c r="J324" s="328">
        <f t="shared" si="53"/>
        <v>137702370.82500002</v>
      </c>
      <c r="K324" s="328">
        <f t="shared" si="54"/>
        <v>87847427.915000021</v>
      </c>
    </row>
    <row r="325" spans="1:11" ht="13" x14ac:dyDescent="0.3">
      <c r="A325" s="321">
        <f t="shared" si="51"/>
        <v>249</v>
      </c>
      <c r="B325" s="104" t="s">
        <v>27</v>
      </c>
      <c r="C325" s="371">
        <v>2020</v>
      </c>
      <c r="D325" s="373">
        <v>22425697.471199997</v>
      </c>
      <c r="E325" s="328">
        <v>1681927.3103399996</v>
      </c>
      <c r="F325" s="328">
        <f t="shared" si="52"/>
        <v>24107624.781539995</v>
      </c>
      <c r="G325" s="373">
        <v>25164759.4912</v>
      </c>
      <c r="H325" s="373">
        <v>15559979.02</v>
      </c>
      <c r="I325" s="328">
        <v>720358.53534000006</v>
      </c>
      <c r="J325" s="328">
        <f t="shared" si="53"/>
        <v>135924877.58000001</v>
      </c>
      <c r="K325" s="328">
        <f t="shared" si="54"/>
        <v>86069934.670000017</v>
      </c>
    </row>
    <row r="326" spans="1:11" ht="13" x14ac:dyDescent="0.3">
      <c r="A326" s="321">
        <f t="shared" si="51"/>
        <v>250</v>
      </c>
      <c r="B326" s="104" t="s">
        <v>30</v>
      </c>
      <c r="C326" s="371">
        <v>2021</v>
      </c>
      <c r="D326" s="373">
        <v>8468791.0000000019</v>
      </c>
      <c r="E326" s="328">
        <v>635159.32500000007</v>
      </c>
      <c r="F326" s="328">
        <f t="shared" si="52"/>
        <v>9103950.3250000011</v>
      </c>
      <c r="G326" s="373">
        <v>386600</v>
      </c>
      <c r="H326" s="373">
        <v>0</v>
      </c>
      <c r="I326" s="328">
        <v>28995</v>
      </c>
      <c r="J326" s="328">
        <f t="shared" si="53"/>
        <v>144613232.905</v>
      </c>
      <c r="K326" s="328">
        <f t="shared" si="54"/>
        <v>94758289.995000005</v>
      </c>
    </row>
    <row r="327" spans="1:11" ht="13" x14ac:dyDescent="0.3">
      <c r="A327" s="321">
        <f t="shared" si="51"/>
        <v>251</v>
      </c>
      <c r="B327" s="104" t="s">
        <v>32</v>
      </c>
      <c r="C327" s="371">
        <v>2021</v>
      </c>
      <c r="D327" s="373">
        <v>6702363</v>
      </c>
      <c r="E327" s="328">
        <v>502677.22499999998</v>
      </c>
      <c r="F327" s="328">
        <f t="shared" si="52"/>
        <v>7205040.2249999996</v>
      </c>
      <c r="G327" s="373">
        <v>386600</v>
      </c>
      <c r="H327" s="373">
        <v>0</v>
      </c>
      <c r="I327" s="328">
        <v>28995</v>
      </c>
      <c r="J327" s="328">
        <f t="shared" si="53"/>
        <v>151402678.13</v>
      </c>
      <c r="K327" s="328">
        <f t="shared" si="54"/>
        <v>101547735.22</v>
      </c>
    </row>
    <row r="328" spans="1:11" ht="13" x14ac:dyDescent="0.3">
      <c r="A328" s="321">
        <f t="shared" si="51"/>
        <v>252</v>
      </c>
      <c r="B328" s="104" t="s">
        <v>34</v>
      </c>
      <c r="C328" s="371">
        <v>2021</v>
      </c>
      <c r="D328" s="373">
        <v>6702363</v>
      </c>
      <c r="E328" s="328">
        <v>502677.22499999998</v>
      </c>
      <c r="F328" s="328">
        <f t="shared" si="52"/>
        <v>7205040.2249999996</v>
      </c>
      <c r="G328" s="373">
        <v>386600</v>
      </c>
      <c r="H328" s="373">
        <v>0</v>
      </c>
      <c r="I328" s="328">
        <v>28995</v>
      </c>
      <c r="J328" s="328">
        <f t="shared" si="53"/>
        <v>158192123.35499999</v>
      </c>
      <c r="K328" s="328">
        <f t="shared" si="54"/>
        <v>108337180.44499999</v>
      </c>
    </row>
    <row r="329" spans="1:11" ht="13" x14ac:dyDescent="0.3">
      <c r="A329" s="321">
        <f t="shared" si="51"/>
        <v>253</v>
      </c>
      <c r="B329" s="104" t="s">
        <v>36</v>
      </c>
      <c r="C329" s="371">
        <v>2021</v>
      </c>
      <c r="D329" s="373">
        <v>5742718</v>
      </c>
      <c r="E329" s="328">
        <v>430703.85</v>
      </c>
      <c r="F329" s="328">
        <f t="shared" si="52"/>
        <v>6173421.8499999996</v>
      </c>
      <c r="G329" s="373">
        <v>276600</v>
      </c>
      <c r="H329" s="373">
        <v>0</v>
      </c>
      <c r="I329" s="328">
        <v>20745</v>
      </c>
      <c r="J329" s="328">
        <f t="shared" si="53"/>
        <v>164068200.20499998</v>
      </c>
      <c r="K329" s="328">
        <f t="shared" si="54"/>
        <v>114213257.29499999</v>
      </c>
    </row>
    <row r="330" spans="1:11" ht="13" x14ac:dyDescent="0.3">
      <c r="A330" s="321">
        <f t="shared" si="51"/>
        <v>254</v>
      </c>
      <c r="B330" s="104" t="s">
        <v>37</v>
      </c>
      <c r="C330" s="371">
        <v>2021</v>
      </c>
      <c r="D330" s="373">
        <v>5687218</v>
      </c>
      <c r="E330" s="328">
        <v>426541.35</v>
      </c>
      <c r="F330" s="328">
        <f t="shared" si="52"/>
        <v>6113759.3499999996</v>
      </c>
      <c r="G330" s="373">
        <v>586046.6</v>
      </c>
      <c r="H330" s="373">
        <v>218065.59999999998</v>
      </c>
      <c r="I330" s="328">
        <v>27598.575000000001</v>
      </c>
      <c r="J330" s="328">
        <f t="shared" si="53"/>
        <v>169568314.38</v>
      </c>
      <c r="K330" s="328">
        <f t="shared" si="54"/>
        <v>119713371.47</v>
      </c>
    </row>
    <row r="331" spans="1:11" ht="13" x14ac:dyDescent="0.3">
      <c r="A331" s="321">
        <f t="shared" si="51"/>
        <v>255</v>
      </c>
      <c r="B331" s="104" t="s">
        <v>471</v>
      </c>
      <c r="C331" s="371">
        <v>2021</v>
      </c>
      <c r="D331" s="373">
        <v>5687218</v>
      </c>
      <c r="E331" s="328">
        <v>426541.35</v>
      </c>
      <c r="F331" s="328">
        <f t="shared" si="52"/>
        <v>6113759.3499999996</v>
      </c>
      <c r="G331" s="373">
        <v>281799.00000000006</v>
      </c>
      <c r="H331" s="373">
        <v>0</v>
      </c>
      <c r="I331" s="328">
        <v>21134.925000000003</v>
      </c>
      <c r="J331" s="328">
        <f t="shared" si="53"/>
        <v>175379139.80499998</v>
      </c>
      <c r="K331" s="328">
        <f t="shared" si="54"/>
        <v>125524196.89499998</v>
      </c>
    </row>
    <row r="332" spans="1:11" ht="13" x14ac:dyDescent="0.3">
      <c r="A332" s="321">
        <f t="shared" si="51"/>
        <v>256</v>
      </c>
      <c r="B332" s="104" t="s">
        <v>39</v>
      </c>
      <c r="C332" s="371">
        <v>2021</v>
      </c>
      <c r="D332" s="373">
        <v>5570617.9999999991</v>
      </c>
      <c r="E332" s="328">
        <v>417796.34999999992</v>
      </c>
      <c r="F332" s="328">
        <f t="shared" si="52"/>
        <v>5988414.3499999987</v>
      </c>
      <c r="G332" s="373">
        <v>165199</v>
      </c>
      <c r="H332" s="373">
        <v>0</v>
      </c>
      <c r="I332" s="328">
        <v>12389.924999999999</v>
      </c>
      <c r="J332" s="328">
        <f t="shared" si="53"/>
        <v>181189965.22999996</v>
      </c>
      <c r="K332" s="328">
        <f t="shared" si="54"/>
        <v>131335022.31999996</v>
      </c>
    </row>
    <row r="333" spans="1:11" ht="13" x14ac:dyDescent="0.3">
      <c r="A333" s="321">
        <f t="shared" si="51"/>
        <v>257</v>
      </c>
      <c r="B333" s="104" t="s">
        <v>40</v>
      </c>
      <c r="C333" s="371">
        <v>2021</v>
      </c>
      <c r="D333" s="373">
        <v>5570617.9999999991</v>
      </c>
      <c r="E333" s="328">
        <v>417796.34999999992</v>
      </c>
      <c r="F333" s="328">
        <f t="shared" si="52"/>
        <v>5988414.3499999987</v>
      </c>
      <c r="G333" s="373">
        <v>172165582.88999996</v>
      </c>
      <c r="H333" s="373">
        <v>29189456.889999997</v>
      </c>
      <c r="I333" s="328">
        <v>10723209.449999997</v>
      </c>
      <c r="J333" s="328">
        <f t="shared" si="53"/>
        <v>4289587.24</v>
      </c>
      <c r="K333" s="328">
        <f t="shared" si="54"/>
        <v>-45565355.669999994</v>
      </c>
    </row>
    <row r="334" spans="1:11" ht="13" x14ac:dyDescent="0.3">
      <c r="A334" s="321">
        <f t="shared" si="51"/>
        <v>258</v>
      </c>
      <c r="B334" s="104" t="s">
        <v>41</v>
      </c>
      <c r="C334" s="371">
        <v>2021</v>
      </c>
      <c r="D334" s="373">
        <v>5570617.9999999991</v>
      </c>
      <c r="E334" s="328">
        <v>417796.34999999992</v>
      </c>
      <c r="F334" s="328">
        <f t="shared" si="52"/>
        <v>5988414.3499999987</v>
      </c>
      <c r="G334" s="373">
        <v>5570617.9999999991</v>
      </c>
      <c r="H334" s="373">
        <v>0</v>
      </c>
      <c r="I334" s="328">
        <v>417796.34999999992</v>
      </c>
      <c r="J334" s="328">
        <f t="shared" si="53"/>
        <v>4289587.2400000012</v>
      </c>
      <c r="K334" s="328">
        <f t="shared" si="54"/>
        <v>-45565355.669999994</v>
      </c>
    </row>
    <row r="335" spans="1:11" ht="13" x14ac:dyDescent="0.3">
      <c r="A335" s="321">
        <f t="shared" si="51"/>
        <v>259</v>
      </c>
      <c r="B335" s="104" t="s">
        <v>42</v>
      </c>
      <c r="C335" s="371">
        <v>2021</v>
      </c>
      <c r="D335" s="373">
        <v>5570617.9999999991</v>
      </c>
      <c r="E335" s="328">
        <v>417796.34999999992</v>
      </c>
      <c r="F335" s="328">
        <f>E335+D335</f>
        <v>5988414.3499999987</v>
      </c>
      <c r="G335" s="373">
        <v>5570617.9999999991</v>
      </c>
      <c r="H335" s="373">
        <v>0</v>
      </c>
      <c r="I335" s="328">
        <v>417796.34999999992</v>
      </c>
      <c r="J335" s="328">
        <f>J334+F335-G335-I335</f>
        <v>4289587.2400000012</v>
      </c>
      <c r="K335" s="328">
        <f t="shared" si="54"/>
        <v>-45565355.669999994</v>
      </c>
    </row>
    <row r="336" spans="1:11" ht="13" x14ac:dyDescent="0.3">
      <c r="A336" s="321">
        <f t="shared" si="51"/>
        <v>260</v>
      </c>
      <c r="B336" s="104" t="s">
        <v>43</v>
      </c>
      <c r="C336" s="371">
        <v>2021</v>
      </c>
      <c r="D336" s="373">
        <v>5410617.9999999991</v>
      </c>
      <c r="E336" s="328">
        <v>405796.34999999992</v>
      </c>
      <c r="F336" s="328">
        <f>E336+D336</f>
        <v>5816414.3499999987</v>
      </c>
      <c r="G336" s="373">
        <v>5410617.9999999991</v>
      </c>
      <c r="H336" s="373">
        <v>0</v>
      </c>
      <c r="I336" s="328">
        <v>405796.34999999992</v>
      </c>
      <c r="J336" s="328">
        <f>J335+F336-G336-I336</f>
        <v>4289587.2400000012</v>
      </c>
      <c r="K336" s="328">
        <f t="shared" si="54"/>
        <v>-45565355.669999994</v>
      </c>
    </row>
    <row r="337" spans="1:11" ht="13" x14ac:dyDescent="0.3">
      <c r="A337" s="321">
        <f t="shared" si="51"/>
        <v>261</v>
      </c>
      <c r="B337" s="104" t="s">
        <v>27</v>
      </c>
      <c r="C337" s="371">
        <v>2021</v>
      </c>
      <c r="D337" s="373">
        <v>6149090.9999999991</v>
      </c>
      <c r="E337" s="328">
        <v>461181.8249999999</v>
      </c>
      <c r="F337" s="328">
        <f>E337+D337</f>
        <v>6610272.8249999993</v>
      </c>
      <c r="G337" s="373">
        <v>6149090.9999999991</v>
      </c>
      <c r="H337" s="373">
        <v>0</v>
      </c>
      <c r="I337" s="328">
        <v>461181.8249999999</v>
      </c>
      <c r="J337" s="328">
        <f>J336+F337-G337-I337</f>
        <v>4289587.2400000021</v>
      </c>
      <c r="K337" s="335">
        <f t="shared" si="54"/>
        <v>-45565355.669999994</v>
      </c>
    </row>
    <row r="338" spans="1:11" ht="13" x14ac:dyDescent="0.3">
      <c r="A338" s="321">
        <f t="shared" si="51"/>
        <v>262</v>
      </c>
      <c r="C338" s="396" t="s">
        <v>880</v>
      </c>
      <c r="K338" s="397">
        <f>AVERAGE(K325:K337)</f>
        <v>50282477.689230785</v>
      </c>
    </row>
    <row r="339" spans="1:11" ht="13" x14ac:dyDescent="0.3">
      <c r="A339" s="321"/>
      <c r="C339" s="396"/>
      <c r="K339" s="397"/>
    </row>
    <row r="340" spans="1:11" ht="13" x14ac:dyDescent="0.3">
      <c r="B340" s="399" t="s">
        <v>901</v>
      </c>
      <c r="D340" s="429" t="s">
        <v>862</v>
      </c>
      <c r="E340" s="429"/>
    </row>
    <row r="341" spans="1:11" ht="13" x14ac:dyDescent="0.3">
      <c r="D341" s="363"/>
      <c r="E341" s="363"/>
      <c r="F341" s="363"/>
      <c r="G341" s="321" t="str">
        <f>G51</f>
        <v>Unloaded</v>
      </c>
      <c r="H341" s="363"/>
      <c r="I341" s="363"/>
    </row>
    <row r="342" spans="1:11" ht="13" x14ac:dyDescent="0.3">
      <c r="A342" s="321"/>
      <c r="B342" s="321"/>
      <c r="C342" s="321"/>
      <c r="D342" s="321" t="str">
        <f>D$52</f>
        <v>Forecast</v>
      </c>
      <c r="E342" s="321" t="str">
        <f t="shared" ref="E342:J342" si="55">E$52</f>
        <v>Corporate</v>
      </c>
      <c r="F342" s="321" t="str">
        <f t="shared" si="55"/>
        <v xml:space="preserve">Total </v>
      </c>
      <c r="G342" s="321" t="str">
        <f>G52</f>
        <v>Total</v>
      </c>
      <c r="H342" s="321" t="str">
        <f t="shared" si="55"/>
        <v>Prior Period</v>
      </c>
      <c r="I342" s="321" t="str">
        <f t="shared" si="55"/>
        <v>Over Heads</v>
      </c>
      <c r="J342" s="321" t="str">
        <f t="shared" si="55"/>
        <v>Forecast</v>
      </c>
      <c r="K342" s="321" t="str">
        <f>K$52</f>
        <v>Forecast Period</v>
      </c>
    </row>
    <row r="343" spans="1:11" ht="13" x14ac:dyDescent="0.3">
      <c r="A343" s="325" t="s">
        <v>22</v>
      </c>
      <c r="B343" s="94" t="s">
        <v>23</v>
      </c>
      <c r="C343" s="94" t="s">
        <v>24</v>
      </c>
      <c r="D343" s="326" t="str">
        <f>D$53</f>
        <v>Expenditures</v>
      </c>
      <c r="E343" s="326" t="str">
        <f t="shared" ref="E343:J343" si="56">E$53</f>
        <v>Overheads</v>
      </c>
      <c r="F343" s="326" t="str">
        <f t="shared" si="56"/>
        <v>CWIP Exp</v>
      </c>
      <c r="G343" s="326" t="str">
        <f>G53</f>
        <v>Plant Adds</v>
      </c>
      <c r="H343" s="326" t="str">
        <f t="shared" si="56"/>
        <v>CWIP Closed</v>
      </c>
      <c r="I343" s="326" t="str">
        <f t="shared" si="56"/>
        <v>Closed to PIS</v>
      </c>
      <c r="J343" s="326" t="str">
        <f t="shared" si="56"/>
        <v>Period CWIP</v>
      </c>
      <c r="K343" s="326" t="str">
        <f>K$53</f>
        <v>Incremental CWIP</v>
      </c>
    </row>
    <row r="344" spans="1:11" ht="13" x14ac:dyDescent="0.3">
      <c r="A344" s="321">
        <f>A338+1</f>
        <v>263</v>
      </c>
      <c r="B344" s="104" t="s">
        <v>27</v>
      </c>
      <c r="C344" s="371">
        <v>2019</v>
      </c>
      <c r="D344" s="356" t="s">
        <v>28</v>
      </c>
      <c r="E344" s="356" t="s">
        <v>28</v>
      </c>
      <c r="F344" s="356" t="s">
        <v>28</v>
      </c>
      <c r="G344" s="356" t="s">
        <v>28</v>
      </c>
      <c r="H344" s="356" t="s">
        <v>28</v>
      </c>
      <c r="I344" s="356" t="s">
        <v>28</v>
      </c>
      <c r="J344" s="328">
        <f>G45</f>
        <v>22001340.420866624</v>
      </c>
      <c r="K344" s="356" t="s">
        <v>28</v>
      </c>
    </row>
    <row r="345" spans="1:11" ht="13" x14ac:dyDescent="0.3">
      <c r="A345" s="321">
        <f>A344+1</f>
        <v>264</v>
      </c>
      <c r="B345" s="104" t="s">
        <v>30</v>
      </c>
      <c r="C345" s="371">
        <v>2020</v>
      </c>
      <c r="D345" s="373">
        <v>129945.71200000001</v>
      </c>
      <c r="E345" s="328">
        <v>9745.9284000000007</v>
      </c>
      <c r="F345" s="328">
        <f>E345+D345</f>
        <v>139691.6404</v>
      </c>
      <c r="G345" s="373">
        <v>0</v>
      </c>
      <c r="H345" s="373">
        <v>0</v>
      </c>
      <c r="I345" s="328">
        <v>0</v>
      </c>
      <c r="J345" s="328">
        <f>J344+F345-G345-I345</f>
        <v>22141032.061266623</v>
      </c>
      <c r="K345" s="328">
        <f>J345-$J$344</f>
        <v>139691.64039999992</v>
      </c>
    </row>
    <row r="346" spans="1:11" ht="13" x14ac:dyDescent="0.3">
      <c r="A346" s="321">
        <f t="shared" ref="A346:A369" si="57">A345+1</f>
        <v>265</v>
      </c>
      <c r="B346" s="104" t="s">
        <v>32</v>
      </c>
      <c r="C346" s="371">
        <v>2020</v>
      </c>
      <c r="D346" s="373">
        <v>43690.596000000005</v>
      </c>
      <c r="E346" s="328">
        <v>3276.7947000000004</v>
      </c>
      <c r="F346" s="328">
        <f t="shared" ref="F346:F365" si="58">E346+D346</f>
        <v>46967.390700000004</v>
      </c>
      <c r="G346" s="373">
        <v>0</v>
      </c>
      <c r="H346" s="373">
        <v>0</v>
      </c>
      <c r="I346" s="328">
        <v>0</v>
      </c>
      <c r="J346" s="328">
        <f t="shared" ref="J346:J365" si="59">J345+F346-G346-I346</f>
        <v>22187999.451966625</v>
      </c>
      <c r="K346" s="328">
        <f t="shared" ref="K346:K368" si="60">J346-$J$344</f>
        <v>186659.03110000119</v>
      </c>
    </row>
    <row r="347" spans="1:11" ht="13" x14ac:dyDescent="0.3">
      <c r="A347" s="321">
        <f t="shared" si="57"/>
        <v>266</v>
      </c>
      <c r="B347" s="104" t="s">
        <v>34</v>
      </c>
      <c r="C347" s="371">
        <v>2020</v>
      </c>
      <c r="D347" s="373">
        <v>85275.760000000009</v>
      </c>
      <c r="E347" s="328">
        <v>6395.6820000000007</v>
      </c>
      <c r="F347" s="328">
        <f t="shared" si="58"/>
        <v>91671.44200000001</v>
      </c>
      <c r="G347" s="373">
        <v>0</v>
      </c>
      <c r="H347" s="373">
        <v>0</v>
      </c>
      <c r="I347" s="328">
        <v>0</v>
      </c>
      <c r="J347" s="328">
        <f t="shared" si="59"/>
        <v>22279670.893966626</v>
      </c>
      <c r="K347" s="328">
        <f t="shared" si="60"/>
        <v>278330.47310000286</v>
      </c>
    </row>
    <row r="348" spans="1:11" ht="13" x14ac:dyDescent="0.3">
      <c r="A348" s="321">
        <f t="shared" si="57"/>
        <v>267</v>
      </c>
      <c r="B348" s="104" t="s">
        <v>36</v>
      </c>
      <c r="C348" s="371">
        <v>2020</v>
      </c>
      <c r="D348" s="373">
        <v>131000</v>
      </c>
      <c r="E348" s="328">
        <v>9825</v>
      </c>
      <c r="F348" s="328">
        <f t="shared" si="58"/>
        <v>140825</v>
      </c>
      <c r="G348" s="373">
        <v>0</v>
      </c>
      <c r="H348" s="373">
        <v>0</v>
      </c>
      <c r="I348" s="328">
        <v>0</v>
      </c>
      <c r="J348" s="328">
        <f t="shared" si="59"/>
        <v>22420495.893966626</v>
      </c>
      <c r="K348" s="328">
        <f t="shared" si="60"/>
        <v>419155.47310000286</v>
      </c>
    </row>
    <row r="349" spans="1:11" ht="13" x14ac:dyDescent="0.3">
      <c r="A349" s="321">
        <f t="shared" si="57"/>
        <v>268</v>
      </c>
      <c r="B349" s="104" t="s">
        <v>37</v>
      </c>
      <c r="C349" s="371">
        <v>2020</v>
      </c>
      <c r="D349" s="373">
        <v>49654.764000000003</v>
      </c>
      <c r="E349" s="328">
        <v>3724.1073000000001</v>
      </c>
      <c r="F349" s="328">
        <f t="shared" si="58"/>
        <v>53378.871300000006</v>
      </c>
      <c r="G349" s="373">
        <v>0</v>
      </c>
      <c r="H349" s="373">
        <v>0</v>
      </c>
      <c r="I349" s="328">
        <v>0</v>
      </c>
      <c r="J349" s="328">
        <f t="shared" si="59"/>
        <v>22473874.765266627</v>
      </c>
      <c r="K349" s="328">
        <f t="shared" si="60"/>
        <v>472534.34440000355</v>
      </c>
    </row>
    <row r="350" spans="1:11" ht="13" x14ac:dyDescent="0.3">
      <c r="A350" s="321">
        <f t="shared" si="57"/>
        <v>269</v>
      </c>
      <c r="B350" s="104" t="s">
        <v>471</v>
      </c>
      <c r="C350" s="371">
        <v>2020</v>
      </c>
      <c r="D350" s="373">
        <v>49654.764000000003</v>
      </c>
      <c r="E350" s="328">
        <v>3724.1073000000001</v>
      </c>
      <c r="F350" s="328">
        <f t="shared" si="58"/>
        <v>53378.871300000006</v>
      </c>
      <c r="G350" s="373">
        <v>0</v>
      </c>
      <c r="H350" s="373">
        <v>0</v>
      </c>
      <c r="I350" s="328">
        <v>0</v>
      </c>
      <c r="J350" s="328">
        <f t="shared" si="59"/>
        <v>22527253.636566628</v>
      </c>
      <c r="K350" s="328">
        <f t="shared" si="60"/>
        <v>525913.21570000425</v>
      </c>
    </row>
    <row r="351" spans="1:11" ht="13" x14ac:dyDescent="0.3">
      <c r="A351" s="321">
        <f t="shared" si="57"/>
        <v>270</v>
      </c>
      <c r="B351" s="104" t="s">
        <v>39</v>
      </c>
      <c r="C351" s="371">
        <v>2020</v>
      </c>
      <c r="D351" s="373">
        <v>49654.764000000003</v>
      </c>
      <c r="E351" s="328">
        <v>3724.1073000000001</v>
      </c>
      <c r="F351" s="328">
        <f t="shared" si="58"/>
        <v>53378.871300000006</v>
      </c>
      <c r="G351" s="373">
        <v>0</v>
      </c>
      <c r="H351" s="373">
        <v>0</v>
      </c>
      <c r="I351" s="328">
        <v>0</v>
      </c>
      <c r="J351" s="328">
        <f t="shared" si="59"/>
        <v>22580632.507866628</v>
      </c>
      <c r="K351" s="328">
        <f t="shared" si="60"/>
        <v>579292.08700000495</v>
      </c>
    </row>
    <row r="352" spans="1:11" ht="13" x14ac:dyDescent="0.3">
      <c r="A352" s="321">
        <f t="shared" si="57"/>
        <v>271</v>
      </c>
      <c r="B352" s="104" t="s">
        <v>40</v>
      </c>
      <c r="C352" s="371">
        <v>2020</v>
      </c>
      <c r="D352" s="373">
        <v>33438.536</v>
      </c>
      <c r="E352" s="328">
        <v>2507.8901999999998</v>
      </c>
      <c r="F352" s="328">
        <f t="shared" si="58"/>
        <v>35946.426200000002</v>
      </c>
      <c r="G352" s="373">
        <v>0</v>
      </c>
      <c r="H352" s="373">
        <v>0</v>
      </c>
      <c r="I352" s="328">
        <v>0</v>
      </c>
      <c r="J352" s="328">
        <f t="shared" si="59"/>
        <v>22616578.934066627</v>
      </c>
      <c r="K352" s="328">
        <f t="shared" si="60"/>
        <v>615238.51320000365</v>
      </c>
    </row>
    <row r="353" spans="1:11" ht="13" x14ac:dyDescent="0.3">
      <c r="A353" s="321">
        <f t="shared" si="57"/>
        <v>272</v>
      </c>
      <c r="B353" s="104" t="s">
        <v>41</v>
      </c>
      <c r="C353" s="371">
        <v>2020</v>
      </c>
      <c r="D353" s="373">
        <v>28694.764000000003</v>
      </c>
      <c r="E353" s="328">
        <v>2152.1073000000001</v>
      </c>
      <c r="F353" s="328">
        <f t="shared" si="58"/>
        <v>30846.871300000003</v>
      </c>
      <c r="G353" s="373">
        <v>0</v>
      </c>
      <c r="H353" s="373">
        <v>0</v>
      </c>
      <c r="I353" s="328">
        <v>0</v>
      </c>
      <c r="J353" s="328">
        <f t="shared" si="59"/>
        <v>22647425.805366628</v>
      </c>
      <c r="K353" s="328">
        <f t="shared" si="60"/>
        <v>646085.38450000435</v>
      </c>
    </row>
    <row r="354" spans="1:11" ht="13" x14ac:dyDescent="0.3">
      <c r="A354" s="321">
        <f t="shared" si="57"/>
        <v>273</v>
      </c>
      <c r="B354" s="104" t="s">
        <v>42</v>
      </c>
      <c r="C354" s="371">
        <v>2020</v>
      </c>
      <c r="D354" s="373">
        <v>28694.764000000003</v>
      </c>
      <c r="E354" s="328">
        <v>2152.1073000000001</v>
      </c>
      <c r="F354" s="328">
        <f t="shared" si="58"/>
        <v>30846.871300000003</v>
      </c>
      <c r="G354" s="373">
        <v>0</v>
      </c>
      <c r="H354" s="373">
        <v>0</v>
      </c>
      <c r="I354" s="328">
        <v>0</v>
      </c>
      <c r="J354" s="328">
        <f t="shared" si="59"/>
        <v>22678272.676666629</v>
      </c>
      <c r="K354" s="328">
        <f t="shared" si="60"/>
        <v>676932.25580000505</v>
      </c>
    </row>
    <row r="355" spans="1:11" ht="13" x14ac:dyDescent="0.3">
      <c r="A355" s="321">
        <f t="shared" si="57"/>
        <v>274</v>
      </c>
      <c r="B355" s="104" t="s">
        <v>43</v>
      </c>
      <c r="C355" s="371">
        <v>2020</v>
      </c>
      <c r="D355" s="373">
        <v>23501.4</v>
      </c>
      <c r="E355" s="328">
        <v>1762.605</v>
      </c>
      <c r="F355" s="328">
        <f t="shared" si="58"/>
        <v>25264.005000000001</v>
      </c>
      <c r="G355" s="373">
        <v>0</v>
      </c>
      <c r="H355" s="373">
        <v>0</v>
      </c>
      <c r="I355" s="328">
        <v>0</v>
      </c>
      <c r="J355" s="328">
        <f t="shared" si="59"/>
        <v>22703536.681666628</v>
      </c>
      <c r="K355" s="328">
        <f t="shared" si="60"/>
        <v>702196.26080000401</v>
      </c>
    </row>
    <row r="356" spans="1:11" ht="13" x14ac:dyDescent="0.3">
      <c r="A356" s="321">
        <f t="shared" si="57"/>
        <v>275</v>
      </c>
      <c r="B356" s="104" t="s">
        <v>27</v>
      </c>
      <c r="C356" s="371">
        <v>2020</v>
      </c>
      <c r="D356" s="373">
        <v>26121.4</v>
      </c>
      <c r="E356" s="328">
        <v>1959.105</v>
      </c>
      <c r="F356" s="328">
        <f t="shared" si="58"/>
        <v>28080.505000000001</v>
      </c>
      <c r="G356" s="373">
        <v>405712.10000000003</v>
      </c>
      <c r="H356" s="373">
        <v>405712.10000000003</v>
      </c>
      <c r="I356" s="328">
        <v>0</v>
      </c>
      <c r="J356" s="328">
        <f t="shared" si="59"/>
        <v>22325905.086666625</v>
      </c>
      <c r="K356" s="328">
        <f t="shared" si="60"/>
        <v>324564.66580000147</v>
      </c>
    </row>
    <row r="357" spans="1:11" ht="13" x14ac:dyDescent="0.3">
      <c r="A357" s="321">
        <f t="shared" si="57"/>
        <v>276</v>
      </c>
      <c r="B357" s="104" t="s">
        <v>30</v>
      </c>
      <c r="C357" s="371">
        <v>2021</v>
      </c>
      <c r="D357" s="373">
        <v>78600.000000000015</v>
      </c>
      <c r="E357" s="328">
        <v>5895.0000000000009</v>
      </c>
      <c r="F357" s="328">
        <f t="shared" si="58"/>
        <v>84495.000000000015</v>
      </c>
      <c r="G357" s="373">
        <v>0</v>
      </c>
      <c r="H357" s="373">
        <v>0</v>
      </c>
      <c r="I357" s="328">
        <v>0</v>
      </c>
      <c r="J357" s="328">
        <f t="shared" si="59"/>
        <v>22410400.086666625</v>
      </c>
      <c r="K357" s="328">
        <f t="shared" si="60"/>
        <v>409059.66580000147</v>
      </c>
    </row>
    <row r="358" spans="1:11" ht="13" x14ac:dyDescent="0.3">
      <c r="A358" s="321">
        <f t="shared" si="57"/>
        <v>277</v>
      </c>
      <c r="B358" s="104" t="s">
        <v>32</v>
      </c>
      <c r="C358" s="371">
        <v>2021</v>
      </c>
      <c r="D358" s="373">
        <v>78600.000000000015</v>
      </c>
      <c r="E358" s="328">
        <v>5895.0000000000009</v>
      </c>
      <c r="F358" s="328">
        <f t="shared" si="58"/>
        <v>84495.000000000015</v>
      </c>
      <c r="G358" s="373">
        <v>0</v>
      </c>
      <c r="H358" s="373">
        <v>0</v>
      </c>
      <c r="I358" s="328">
        <v>0</v>
      </c>
      <c r="J358" s="328">
        <f t="shared" si="59"/>
        <v>22494895.086666625</v>
      </c>
      <c r="K358" s="328">
        <f t="shared" si="60"/>
        <v>493554.66580000147</v>
      </c>
    </row>
    <row r="359" spans="1:11" ht="13" x14ac:dyDescent="0.3">
      <c r="A359" s="321">
        <f t="shared" si="57"/>
        <v>278</v>
      </c>
      <c r="B359" s="104" t="s">
        <v>34</v>
      </c>
      <c r="C359" s="371">
        <v>2021</v>
      </c>
      <c r="D359" s="373">
        <v>78600.000000000015</v>
      </c>
      <c r="E359" s="328">
        <v>5895.0000000000009</v>
      </c>
      <c r="F359" s="328">
        <f t="shared" si="58"/>
        <v>84495.000000000015</v>
      </c>
      <c r="G359" s="373">
        <v>0</v>
      </c>
      <c r="H359" s="373">
        <v>0</v>
      </c>
      <c r="I359" s="328">
        <v>0</v>
      </c>
      <c r="J359" s="328">
        <f t="shared" si="59"/>
        <v>22579390.086666625</v>
      </c>
      <c r="K359" s="328">
        <f t="shared" si="60"/>
        <v>578049.66580000147</v>
      </c>
    </row>
    <row r="360" spans="1:11" ht="13" x14ac:dyDescent="0.3">
      <c r="A360" s="321">
        <f t="shared" si="57"/>
        <v>279</v>
      </c>
      <c r="B360" s="104" t="s">
        <v>36</v>
      </c>
      <c r="C360" s="371">
        <v>2021</v>
      </c>
      <c r="D360" s="373">
        <v>78600.000000000015</v>
      </c>
      <c r="E360" s="328">
        <v>5895.0000000000009</v>
      </c>
      <c r="F360" s="328">
        <f t="shared" si="58"/>
        <v>84495.000000000015</v>
      </c>
      <c r="G360" s="373">
        <v>0</v>
      </c>
      <c r="H360" s="373">
        <v>0</v>
      </c>
      <c r="I360" s="328">
        <v>0</v>
      </c>
      <c r="J360" s="328">
        <f t="shared" si="59"/>
        <v>22663885.086666625</v>
      </c>
      <c r="K360" s="328">
        <f t="shared" si="60"/>
        <v>662544.66580000147</v>
      </c>
    </row>
    <row r="361" spans="1:11" ht="13" x14ac:dyDescent="0.3">
      <c r="A361" s="321">
        <f t="shared" si="57"/>
        <v>280</v>
      </c>
      <c r="B361" s="104" t="s">
        <v>37</v>
      </c>
      <c r="C361" s="371">
        <v>2021</v>
      </c>
      <c r="D361" s="373">
        <v>78600.000000000015</v>
      </c>
      <c r="E361" s="328">
        <v>5895.0000000000009</v>
      </c>
      <c r="F361" s="328">
        <f t="shared" si="58"/>
        <v>84495.000000000015</v>
      </c>
      <c r="G361" s="373">
        <v>0</v>
      </c>
      <c r="H361" s="373">
        <v>0</v>
      </c>
      <c r="I361" s="328">
        <v>0</v>
      </c>
      <c r="J361" s="328">
        <f t="shared" si="59"/>
        <v>22748380.086666625</v>
      </c>
      <c r="K361" s="328">
        <f t="shared" si="60"/>
        <v>747039.66580000147</v>
      </c>
    </row>
    <row r="362" spans="1:11" ht="13" x14ac:dyDescent="0.3">
      <c r="A362" s="321">
        <f t="shared" si="57"/>
        <v>281</v>
      </c>
      <c r="B362" s="104" t="s">
        <v>471</v>
      </c>
      <c r="C362" s="371">
        <v>2021</v>
      </c>
      <c r="D362" s="373">
        <v>78600.000000000015</v>
      </c>
      <c r="E362" s="328">
        <v>5895.0000000000009</v>
      </c>
      <c r="F362" s="328">
        <f t="shared" si="58"/>
        <v>84495.000000000015</v>
      </c>
      <c r="G362" s="373">
        <v>0</v>
      </c>
      <c r="H362" s="373">
        <v>0</v>
      </c>
      <c r="I362" s="328">
        <v>0</v>
      </c>
      <c r="J362" s="328">
        <f t="shared" si="59"/>
        <v>22832875.086666625</v>
      </c>
      <c r="K362" s="328">
        <f t="shared" si="60"/>
        <v>831534.66580000147</v>
      </c>
    </row>
    <row r="363" spans="1:11" ht="13" x14ac:dyDescent="0.3">
      <c r="A363" s="321">
        <f t="shared" si="57"/>
        <v>282</v>
      </c>
      <c r="B363" s="104" t="s">
        <v>39</v>
      </c>
      <c r="C363" s="371">
        <v>2021</v>
      </c>
      <c r="D363" s="373">
        <v>78600.000000000015</v>
      </c>
      <c r="E363" s="328">
        <v>5895.0000000000009</v>
      </c>
      <c r="F363" s="328">
        <f t="shared" si="58"/>
        <v>84495.000000000015</v>
      </c>
      <c r="G363" s="373">
        <v>0</v>
      </c>
      <c r="H363" s="373">
        <v>0</v>
      </c>
      <c r="I363" s="328">
        <v>0</v>
      </c>
      <c r="J363" s="328">
        <f t="shared" si="59"/>
        <v>22917370.086666625</v>
      </c>
      <c r="K363" s="328">
        <f t="shared" si="60"/>
        <v>916029.66580000147</v>
      </c>
    </row>
    <row r="364" spans="1:11" ht="13" x14ac:dyDescent="0.3">
      <c r="A364" s="321">
        <f t="shared" si="57"/>
        <v>283</v>
      </c>
      <c r="B364" s="104" t="s">
        <v>40</v>
      </c>
      <c r="C364" s="371">
        <v>2021</v>
      </c>
      <c r="D364" s="373">
        <v>78600.000000000015</v>
      </c>
      <c r="E364" s="328">
        <v>5895.0000000000009</v>
      </c>
      <c r="F364" s="328">
        <f t="shared" si="58"/>
        <v>84495.000000000015</v>
      </c>
      <c r="G364" s="373">
        <v>0</v>
      </c>
      <c r="H364" s="373">
        <v>0</v>
      </c>
      <c r="I364" s="328">
        <v>0</v>
      </c>
      <c r="J364" s="328">
        <f t="shared" si="59"/>
        <v>23001865.086666625</v>
      </c>
      <c r="K364" s="328">
        <f t="shared" si="60"/>
        <v>1000524.6658000015</v>
      </c>
    </row>
    <row r="365" spans="1:11" ht="13" x14ac:dyDescent="0.3">
      <c r="A365" s="321">
        <f t="shared" si="57"/>
        <v>284</v>
      </c>
      <c r="B365" s="104" t="s">
        <v>41</v>
      </c>
      <c r="C365" s="371">
        <v>2021</v>
      </c>
      <c r="D365" s="373">
        <v>78600.000000000015</v>
      </c>
      <c r="E365" s="328">
        <v>5895.0000000000009</v>
      </c>
      <c r="F365" s="328">
        <f t="shared" si="58"/>
        <v>84495.000000000015</v>
      </c>
      <c r="G365" s="373">
        <v>0</v>
      </c>
      <c r="H365" s="373">
        <v>0</v>
      </c>
      <c r="I365" s="328">
        <v>0</v>
      </c>
      <c r="J365" s="328">
        <f t="shared" si="59"/>
        <v>23086360.086666625</v>
      </c>
      <c r="K365" s="328">
        <f t="shared" si="60"/>
        <v>1085019.6658000015</v>
      </c>
    </row>
    <row r="366" spans="1:11" ht="13" x14ac:dyDescent="0.3">
      <c r="A366" s="321">
        <f t="shared" si="57"/>
        <v>285</v>
      </c>
      <c r="B366" s="104" t="s">
        <v>42</v>
      </c>
      <c r="C366" s="371">
        <v>2021</v>
      </c>
      <c r="D366" s="373">
        <v>78600.000000000015</v>
      </c>
      <c r="E366" s="328">
        <v>5895.0000000000009</v>
      </c>
      <c r="F366" s="328">
        <f>E366+D366</f>
        <v>84495.000000000015</v>
      </c>
      <c r="G366" s="373">
        <v>0</v>
      </c>
      <c r="H366" s="373">
        <v>0</v>
      </c>
      <c r="I366" s="328">
        <v>0</v>
      </c>
      <c r="J366" s="328">
        <f>J365+F366-G366-I366</f>
        <v>23170855.086666625</v>
      </c>
      <c r="K366" s="328">
        <f t="shared" si="60"/>
        <v>1169514.6658000015</v>
      </c>
    </row>
    <row r="367" spans="1:11" ht="13" x14ac:dyDescent="0.3">
      <c r="A367" s="321">
        <f t="shared" si="57"/>
        <v>286</v>
      </c>
      <c r="B367" s="104" t="s">
        <v>43</v>
      </c>
      <c r="C367" s="371">
        <v>2021</v>
      </c>
      <c r="D367" s="373">
        <v>78600.000000000015</v>
      </c>
      <c r="E367" s="328">
        <v>5895.0000000000009</v>
      </c>
      <c r="F367" s="328">
        <f>E367+D367</f>
        <v>84495.000000000015</v>
      </c>
      <c r="G367" s="373">
        <v>0</v>
      </c>
      <c r="H367" s="373">
        <v>0</v>
      </c>
      <c r="I367" s="328">
        <v>0</v>
      </c>
      <c r="J367" s="328">
        <f>J366+F367-G367-I367</f>
        <v>23255350.086666625</v>
      </c>
      <c r="K367" s="328">
        <f t="shared" si="60"/>
        <v>1254009.6658000015</v>
      </c>
    </row>
    <row r="368" spans="1:11" ht="13" x14ac:dyDescent="0.3">
      <c r="A368" s="321">
        <f t="shared" si="57"/>
        <v>287</v>
      </c>
      <c r="B368" s="104" t="s">
        <v>27</v>
      </c>
      <c r="C368" s="371">
        <v>2021</v>
      </c>
      <c r="D368" s="373">
        <v>78600.000000000015</v>
      </c>
      <c r="E368" s="328">
        <v>5895.0000000000009</v>
      </c>
      <c r="F368" s="328">
        <f>E368+D368</f>
        <v>84495.000000000015</v>
      </c>
      <c r="G368" s="373">
        <v>0</v>
      </c>
      <c r="H368" s="373">
        <v>0</v>
      </c>
      <c r="I368" s="328">
        <v>0</v>
      </c>
      <c r="J368" s="328">
        <f>J367+F368-G368-I368</f>
        <v>23339845.086666625</v>
      </c>
      <c r="K368" s="335">
        <f t="shared" si="60"/>
        <v>1338504.6658000015</v>
      </c>
    </row>
    <row r="369" spans="1:11" ht="13" x14ac:dyDescent="0.3">
      <c r="A369" s="321">
        <f t="shared" si="57"/>
        <v>288</v>
      </c>
      <c r="C369" s="396" t="s">
        <v>880</v>
      </c>
      <c r="K369" s="397">
        <f>AVERAGE(K356:K368)</f>
        <v>831534.66580000147</v>
      </c>
    </row>
    <row r="370" spans="1:11" ht="13" x14ac:dyDescent="0.3">
      <c r="A370" s="321"/>
      <c r="C370" s="396"/>
      <c r="K370" s="397"/>
    </row>
    <row r="371" spans="1:11" ht="13" x14ac:dyDescent="0.3">
      <c r="B371" s="399" t="s">
        <v>902</v>
      </c>
      <c r="D371" s="429" t="s">
        <v>903</v>
      </c>
      <c r="E371" s="429"/>
      <c r="F371" s="430"/>
      <c r="G371" s="430"/>
    </row>
    <row r="372" spans="1:11" ht="13" x14ac:dyDescent="0.3">
      <c r="A372" s="326"/>
      <c r="B372" s="326"/>
      <c r="C372" s="326"/>
      <c r="D372" s="326" t="s">
        <v>12</v>
      </c>
      <c r="E372" s="326" t="s">
        <v>343</v>
      </c>
      <c r="F372" s="326" t="s">
        <v>361</v>
      </c>
      <c r="G372" s="326" t="s">
        <v>13</v>
      </c>
      <c r="H372" s="326" t="s">
        <v>362</v>
      </c>
      <c r="I372" s="326" t="s">
        <v>363</v>
      </c>
      <c r="J372" s="326" t="s">
        <v>364</v>
      </c>
      <c r="K372" s="326" t="s">
        <v>451</v>
      </c>
    </row>
    <row r="373" spans="1:11" ht="25.5" x14ac:dyDescent="0.3">
      <c r="D373" s="363"/>
      <c r="E373" s="400" t="s">
        <v>883</v>
      </c>
      <c r="F373" s="356" t="s">
        <v>884</v>
      </c>
      <c r="G373" s="356"/>
      <c r="H373" s="363"/>
      <c r="I373" s="400" t="s">
        <v>885</v>
      </c>
      <c r="J373" s="400" t="s">
        <v>886</v>
      </c>
      <c r="K373" s="400" t="s">
        <v>887</v>
      </c>
    </row>
    <row r="374" spans="1:11" ht="13" x14ac:dyDescent="0.3">
      <c r="D374" s="363"/>
      <c r="E374" s="400"/>
      <c r="F374" s="356"/>
      <c r="G374" s="351" t="str">
        <f>G51</f>
        <v>Unloaded</v>
      </c>
      <c r="H374" s="363"/>
      <c r="I374" s="400"/>
      <c r="J374" s="400"/>
      <c r="K374" s="400"/>
    </row>
    <row r="375" spans="1:11" ht="13" x14ac:dyDescent="0.3">
      <c r="A375" s="321"/>
      <c r="B375" s="321"/>
      <c r="C375" s="321"/>
      <c r="D375" s="321" t="str">
        <f>D$52</f>
        <v>Forecast</v>
      </c>
      <c r="E375" s="321" t="str">
        <f t="shared" ref="E375:J375" si="61">E$52</f>
        <v>Corporate</v>
      </c>
      <c r="F375" s="321" t="str">
        <f t="shared" si="61"/>
        <v xml:space="preserve">Total </v>
      </c>
      <c r="G375" s="351" t="str">
        <f>G52</f>
        <v>Total</v>
      </c>
      <c r="H375" s="321" t="str">
        <f t="shared" si="61"/>
        <v>Prior Period</v>
      </c>
      <c r="I375" s="321" t="str">
        <f t="shared" si="61"/>
        <v>Over Heads</v>
      </c>
      <c r="J375" s="321" t="str">
        <f t="shared" si="61"/>
        <v>Forecast</v>
      </c>
      <c r="K375" s="321" t="str">
        <f>K$52</f>
        <v>Forecast Period</v>
      </c>
    </row>
    <row r="376" spans="1:11" ht="13" x14ac:dyDescent="0.3">
      <c r="A376" s="325" t="s">
        <v>22</v>
      </c>
      <c r="B376" s="94" t="s">
        <v>23</v>
      </c>
      <c r="C376" s="94" t="s">
        <v>24</v>
      </c>
      <c r="D376" s="326" t="str">
        <f>D$53</f>
        <v>Expenditures</v>
      </c>
      <c r="E376" s="326" t="str">
        <f t="shared" ref="E376:J376" si="62">E$53</f>
        <v>Overheads</v>
      </c>
      <c r="F376" s="326" t="str">
        <f t="shared" si="62"/>
        <v>CWIP Exp</v>
      </c>
      <c r="G376" s="363" t="str">
        <f>G53</f>
        <v>Plant Adds</v>
      </c>
      <c r="H376" s="326" t="str">
        <f t="shared" si="62"/>
        <v>CWIP Closed</v>
      </c>
      <c r="I376" s="326" t="str">
        <f t="shared" si="62"/>
        <v>Closed to PIS</v>
      </c>
      <c r="J376" s="326" t="str">
        <f t="shared" si="62"/>
        <v>Period CWIP</v>
      </c>
      <c r="K376" s="326" t="str">
        <f>K$53</f>
        <v>Incremental CWIP</v>
      </c>
    </row>
    <row r="377" spans="1:11" ht="13" x14ac:dyDescent="0.3">
      <c r="A377" s="321">
        <f>A369+1</f>
        <v>289</v>
      </c>
      <c r="B377" s="104" t="s">
        <v>27</v>
      </c>
      <c r="C377" s="371">
        <v>2019</v>
      </c>
      <c r="D377" s="356" t="s">
        <v>28</v>
      </c>
      <c r="E377" s="356" t="s">
        <v>28</v>
      </c>
      <c r="F377" s="356" t="s">
        <v>28</v>
      </c>
      <c r="G377" s="356" t="s">
        <v>28</v>
      </c>
      <c r="H377" s="356" t="s">
        <v>28</v>
      </c>
      <c r="I377" s="356" t="s">
        <v>28</v>
      </c>
      <c r="J377" s="328">
        <v>0</v>
      </c>
      <c r="K377" s="356" t="s">
        <v>28</v>
      </c>
    </row>
    <row r="378" spans="1:11" ht="13" x14ac:dyDescent="0.3">
      <c r="A378" s="321">
        <f>A377+1</f>
        <v>290</v>
      </c>
      <c r="B378" s="104" t="s">
        <v>30</v>
      </c>
      <c r="C378" s="371">
        <v>2020</v>
      </c>
      <c r="D378" s="373">
        <v>1661503</v>
      </c>
      <c r="E378" s="328">
        <v>124612.72499999999</v>
      </c>
      <c r="F378" s="328">
        <f>E378+D378</f>
        <v>1786115.7250000001</v>
      </c>
      <c r="G378" s="373">
        <v>0</v>
      </c>
      <c r="H378" s="373">
        <v>0</v>
      </c>
      <c r="I378" s="328">
        <v>0</v>
      </c>
      <c r="J378" s="328">
        <f>J377+F378-G378-I378</f>
        <v>1786115.7250000001</v>
      </c>
      <c r="K378" s="328">
        <f>J378-$J$377</f>
        <v>1786115.7250000001</v>
      </c>
    </row>
    <row r="379" spans="1:11" ht="13" x14ac:dyDescent="0.3">
      <c r="A379" s="321">
        <f t="shared" ref="A379:A402" si="63">A378+1</f>
        <v>291</v>
      </c>
      <c r="B379" s="104" t="s">
        <v>32</v>
      </c>
      <c r="C379" s="371">
        <v>2020</v>
      </c>
      <c r="D379" s="373">
        <v>1061915</v>
      </c>
      <c r="E379" s="328">
        <v>79643.625</v>
      </c>
      <c r="F379" s="328">
        <f t="shared" ref="F379:F398" si="64">E379+D379</f>
        <v>1141558.625</v>
      </c>
      <c r="G379" s="373">
        <v>0</v>
      </c>
      <c r="H379" s="373">
        <v>0</v>
      </c>
      <c r="I379" s="328">
        <v>0</v>
      </c>
      <c r="J379" s="328">
        <f t="shared" ref="J379:J398" si="65">J378+F379-G379-I379</f>
        <v>2927674.35</v>
      </c>
      <c r="K379" s="328">
        <f t="shared" ref="K379:K401" si="66">J379-$J$377</f>
        <v>2927674.35</v>
      </c>
    </row>
    <row r="380" spans="1:11" ht="13" x14ac:dyDescent="0.3">
      <c r="A380" s="321">
        <f t="shared" si="63"/>
        <v>292</v>
      </c>
      <c r="B380" s="104" t="s">
        <v>34</v>
      </c>
      <c r="C380" s="371">
        <v>2020</v>
      </c>
      <c r="D380" s="373">
        <v>670728</v>
      </c>
      <c r="E380" s="328">
        <v>50304.6</v>
      </c>
      <c r="F380" s="328">
        <f t="shared" si="64"/>
        <v>721032.6</v>
      </c>
      <c r="G380" s="373">
        <v>0</v>
      </c>
      <c r="H380" s="373">
        <v>0</v>
      </c>
      <c r="I380" s="328">
        <v>0</v>
      </c>
      <c r="J380" s="328">
        <f t="shared" si="65"/>
        <v>3648706.95</v>
      </c>
      <c r="K380" s="328">
        <f t="shared" si="66"/>
        <v>3648706.95</v>
      </c>
    </row>
    <row r="381" spans="1:11" ht="13" x14ac:dyDescent="0.3">
      <c r="A381" s="321">
        <f t="shared" si="63"/>
        <v>293</v>
      </c>
      <c r="B381" s="104" t="s">
        <v>36</v>
      </c>
      <c r="C381" s="371">
        <v>2020</v>
      </c>
      <c r="D381" s="373">
        <v>2266628</v>
      </c>
      <c r="E381" s="328">
        <v>169997.1</v>
      </c>
      <c r="F381" s="328">
        <f t="shared" si="64"/>
        <v>2436625.1</v>
      </c>
      <c r="G381" s="373">
        <v>0</v>
      </c>
      <c r="H381" s="373">
        <v>0</v>
      </c>
      <c r="I381" s="328">
        <v>0</v>
      </c>
      <c r="J381" s="328">
        <f t="shared" si="65"/>
        <v>6085332.0500000007</v>
      </c>
      <c r="K381" s="328">
        <f t="shared" si="66"/>
        <v>6085332.0500000007</v>
      </c>
    </row>
    <row r="382" spans="1:11" ht="13" x14ac:dyDescent="0.3">
      <c r="A382" s="321">
        <f t="shared" si="63"/>
        <v>294</v>
      </c>
      <c r="B382" s="104" t="s">
        <v>37</v>
      </c>
      <c r="C382" s="371">
        <v>2020</v>
      </c>
      <c r="D382" s="373">
        <v>2758756.9999999995</v>
      </c>
      <c r="E382" s="328">
        <v>206906.77499999997</v>
      </c>
      <c r="F382" s="328">
        <f t="shared" si="64"/>
        <v>2965663.7749999994</v>
      </c>
      <c r="G382" s="373">
        <v>0</v>
      </c>
      <c r="H382" s="373">
        <v>0</v>
      </c>
      <c r="I382" s="328">
        <v>0</v>
      </c>
      <c r="J382" s="328">
        <f t="shared" si="65"/>
        <v>9050995.8249999993</v>
      </c>
      <c r="K382" s="328">
        <f t="shared" si="66"/>
        <v>9050995.8249999993</v>
      </c>
    </row>
    <row r="383" spans="1:11" ht="13" x14ac:dyDescent="0.3">
      <c r="A383" s="321">
        <f t="shared" si="63"/>
        <v>295</v>
      </c>
      <c r="B383" s="104" t="s">
        <v>471</v>
      </c>
      <c r="C383" s="371">
        <v>2020</v>
      </c>
      <c r="D383" s="373">
        <v>2092027</v>
      </c>
      <c r="E383" s="328">
        <v>156902.02499999999</v>
      </c>
      <c r="F383" s="328">
        <f t="shared" si="64"/>
        <v>2248929.0249999999</v>
      </c>
      <c r="G383" s="373">
        <v>0</v>
      </c>
      <c r="H383" s="373">
        <v>0</v>
      </c>
      <c r="I383" s="328">
        <v>0</v>
      </c>
      <c r="J383" s="328">
        <f t="shared" si="65"/>
        <v>11299924.85</v>
      </c>
      <c r="K383" s="328">
        <f t="shared" si="66"/>
        <v>11299924.85</v>
      </c>
    </row>
    <row r="384" spans="1:11" ht="13" x14ac:dyDescent="0.3">
      <c r="A384" s="321">
        <f t="shared" si="63"/>
        <v>296</v>
      </c>
      <c r="B384" s="104" t="s">
        <v>39</v>
      </c>
      <c r="C384" s="371">
        <v>2020</v>
      </c>
      <c r="D384" s="373">
        <v>4568940.0000000009</v>
      </c>
      <c r="E384" s="328">
        <v>342670.50000000006</v>
      </c>
      <c r="F384" s="328">
        <f t="shared" si="64"/>
        <v>4911610.5000000009</v>
      </c>
      <c r="G384" s="373">
        <v>0</v>
      </c>
      <c r="H384" s="373">
        <v>0</v>
      </c>
      <c r="I384" s="328">
        <v>0</v>
      </c>
      <c r="J384" s="328">
        <f t="shared" si="65"/>
        <v>16211535.350000001</v>
      </c>
      <c r="K384" s="328">
        <f t="shared" si="66"/>
        <v>16211535.350000001</v>
      </c>
    </row>
    <row r="385" spans="1:11" ht="13" x14ac:dyDescent="0.3">
      <c r="A385" s="321">
        <f t="shared" si="63"/>
        <v>297</v>
      </c>
      <c r="B385" s="104" t="s">
        <v>40</v>
      </c>
      <c r="C385" s="371">
        <v>2020</v>
      </c>
      <c r="D385" s="373">
        <v>6102128.0000000009</v>
      </c>
      <c r="E385" s="328">
        <v>457659.60000000003</v>
      </c>
      <c r="F385" s="328">
        <f t="shared" si="64"/>
        <v>6559787.6000000006</v>
      </c>
      <c r="G385" s="373">
        <v>0</v>
      </c>
      <c r="H385" s="373">
        <v>0</v>
      </c>
      <c r="I385" s="328">
        <v>0</v>
      </c>
      <c r="J385" s="328">
        <f t="shared" si="65"/>
        <v>22771322.950000003</v>
      </c>
      <c r="K385" s="328">
        <f t="shared" si="66"/>
        <v>22771322.950000003</v>
      </c>
    </row>
    <row r="386" spans="1:11" ht="13" x14ac:dyDescent="0.3">
      <c r="A386" s="321">
        <f t="shared" si="63"/>
        <v>298</v>
      </c>
      <c r="B386" s="104" t="s">
        <v>41</v>
      </c>
      <c r="C386" s="371">
        <v>2020</v>
      </c>
      <c r="D386" s="373">
        <v>1871455</v>
      </c>
      <c r="E386" s="328">
        <v>140359.125</v>
      </c>
      <c r="F386" s="328">
        <f t="shared" si="64"/>
        <v>2011814.125</v>
      </c>
      <c r="G386" s="373">
        <v>0</v>
      </c>
      <c r="H386" s="373">
        <v>0</v>
      </c>
      <c r="I386" s="328">
        <v>0</v>
      </c>
      <c r="J386" s="328">
        <f t="shared" si="65"/>
        <v>24783137.075000003</v>
      </c>
      <c r="K386" s="328">
        <f t="shared" si="66"/>
        <v>24783137.075000003</v>
      </c>
    </row>
    <row r="387" spans="1:11" ht="13" x14ac:dyDescent="0.3">
      <c r="A387" s="321">
        <f t="shared" si="63"/>
        <v>299</v>
      </c>
      <c r="B387" s="104" t="s">
        <v>42</v>
      </c>
      <c r="C387" s="371">
        <v>2020</v>
      </c>
      <c r="D387" s="373">
        <v>5341555.0000000009</v>
      </c>
      <c r="E387" s="328">
        <v>400616.62500000006</v>
      </c>
      <c r="F387" s="328">
        <f t="shared" si="64"/>
        <v>5742171.6250000009</v>
      </c>
      <c r="G387" s="373">
        <v>20943698.879999995</v>
      </c>
      <c r="H387" s="373">
        <v>17136385.879999999</v>
      </c>
      <c r="I387" s="328">
        <v>285548.47499999969</v>
      </c>
      <c r="J387" s="328">
        <f t="shared" si="65"/>
        <v>9296061.3450000081</v>
      </c>
      <c r="K387" s="328">
        <f t="shared" si="66"/>
        <v>9296061.3450000081</v>
      </c>
    </row>
    <row r="388" spans="1:11" ht="13" x14ac:dyDescent="0.3">
      <c r="A388" s="321">
        <f t="shared" si="63"/>
        <v>300</v>
      </c>
      <c r="B388" s="104" t="s">
        <v>43</v>
      </c>
      <c r="C388" s="371">
        <v>2020</v>
      </c>
      <c r="D388" s="373">
        <v>2638971.9999999995</v>
      </c>
      <c r="E388" s="328">
        <v>197922.89999999997</v>
      </c>
      <c r="F388" s="328">
        <f t="shared" si="64"/>
        <v>2836894.8999999994</v>
      </c>
      <c r="G388" s="373">
        <v>268000</v>
      </c>
      <c r="H388" s="373">
        <v>0</v>
      </c>
      <c r="I388" s="328">
        <v>20100</v>
      </c>
      <c r="J388" s="328">
        <f t="shared" si="65"/>
        <v>11844856.245000008</v>
      </c>
      <c r="K388" s="328">
        <f t="shared" si="66"/>
        <v>11844856.245000008</v>
      </c>
    </row>
    <row r="389" spans="1:11" ht="13" x14ac:dyDescent="0.3">
      <c r="A389" s="321">
        <f t="shared" si="63"/>
        <v>301</v>
      </c>
      <c r="B389" s="104" t="s">
        <v>27</v>
      </c>
      <c r="C389" s="371">
        <v>2020</v>
      </c>
      <c r="D389" s="373">
        <v>3979392</v>
      </c>
      <c r="E389" s="328">
        <v>298454.39999999997</v>
      </c>
      <c r="F389" s="328">
        <f t="shared" si="64"/>
        <v>4277846.4000000004</v>
      </c>
      <c r="G389" s="373">
        <v>303687</v>
      </c>
      <c r="H389" s="373">
        <v>0</v>
      </c>
      <c r="I389" s="328">
        <v>22776.524999999998</v>
      </c>
      <c r="J389" s="328">
        <f t="shared" si="65"/>
        <v>15796239.120000008</v>
      </c>
      <c r="K389" s="328">
        <f t="shared" si="66"/>
        <v>15796239.120000008</v>
      </c>
    </row>
    <row r="390" spans="1:11" ht="13" x14ac:dyDescent="0.3">
      <c r="A390" s="321">
        <f t="shared" si="63"/>
        <v>302</v>
      </c>
      <c r="B390" s="104" t="s">
        <v>30</v>
      </c>
      <c r="C390" s="371">
        <v>2021</v>
      </c>
      <c r="D390" s="373">
        <v>2465000</v>
      </c>
      <c r="E390" s="328">
        <v>184875</v>
      </c>
      <c r="F390" s="328">
        <f t="shared" si="64"/>
        <v>2649875</v>
      </c>
      <c r="G390" s="373">
        <v>635000</v>
      </c>
      <c r="H390" s="373">
        <v>0</v>
      </c>
      <c r="I390" s="328">
        <v>47625</v>
      </c>
      <c r="J390" s="328">
        <f t="shared" si="65"/>
        <v>17763489.120000008</v>
      </c>
      <c r="K390" s="328">
        <f t="shared" si="66"/>
        <v>17763489.120000008</v>
      </c>
    </row>
    <row r="391" spans="1:11" ht="13" x14ac:dyDescent="0.3">
      <c r="A391" s="321">
        <f t="shared" si="63"/>
        <v>303</v>
      </c>
      <c r="B391" s="104" t="s">
        <v>32</v>
      </c>
      <c r="C391" s="371">
        <v>2021</v>
      </c>
      <c r="D391" s="373">
        <v>2980000</v>
      </c>
      <c r="E391" s="328">
        <v>223500</v>
      </c>
      <c r="F391" s="328">
        <f t="shared" si="64"/>
        <v>3203500</v>
      </c>
      <c r="G391" s="373">
        <v>151000</v>
      </c>
      <c r="H391" s="373">
        <v>0</v>
      </c>
      <c r="I391" s="328">
        <v>11325</v>
      </c>
      <c r="J391" s="328">
        <f t="shared" si="65"/>
        <v>20804664.120000008</v>
      </c>
      <c r="K391" s="328">
        <f t="shared" si="66"/>
        <v>20804664.120000008</v>
      </c>
    </row>
    <row r="392" spans="1:11" ht="13" x14ac:dyDescent="0.3">
      <c r="A392" s="321">
        <f t="shared" si="63"/>
        <v>304</v>
      </c>
      <c r="B392" s="104" t="s">
        <v>34</v>
      </c>
      <c r="C392" s="371">
        <v>2021</v>
      </c>
      <c r="D392" s="373">
        <v>7259333</v>
      </c>
      <c r="E392" s="328">
        <v>544449.97499999998</v>
      </c>
      <c r="F392" s="328">
        <f t="shared" si="64"/>
        <v>7803782.9749999996</v>
      </c>
      <c r="G392" s="373">
        <v>1263441</v>
      </c>
      <c r="H392" s="373">
        <v>0</v>
      </c>
      <c r="I392" s="328">
        <v>94758.074999999997</v>
      </c>
      <c r="J392" s="328">
        <f t="shared" si="65"/>
        <v>27250248.020000007</v>
      </c>
      <c r="K392" s="328">
        <f t="shared" si="66"/>
        <v>27250248.020000007</v>
      </c>
    </row>
    <row r="393" spans="1:11" ht="13" x14ac:dyDescent="0.3">
      <c r="A393" s="321">
        <f t="shared" si="63"/>
        <v>305</v>
      </c>
      <c r="B393" s="104" t="s">
        <v>36</v>
      </c>
      <c r="C393" s="371">
        <v>2021</v>
      </c>
      <c r="D393" s="373">
        <v>4159830</v>
      </c>
      <c r="E393" s="328">
        <v>311987.25</v>
      </c>
      <c r="F393" s="328">
        <f t="shared" si="64"/>
        <v>4471817.25</v>
      </c>
      <c r="G393" s="373">
        <v>27429645.48</v>
      </c>
      <c r="H393" s="373">
        <v>13129540.48</v>
      </c>
      <c r="I393" s="328">
        <v>1072507.875</v>
      </c>
      <c r="J393" s="328">
        <f t="shared" si="65"/>
        <v>3219911.9150000066</v>
      </c>
      <c r="K393" s="328">
        <f t="shared" si="66"/>
        <v>3219911.9150000066</v>
      </c>
    </row>
    <row r="394" spans="1:11" ht="13" x14ac:dyDescent="0.3">
      <c r="A394" s="321">
        <f t="shared" si="63"/>
        <v>306</v>
      </c>
      <c r="B394" s="104" t="s">
        <v>37</v>
      </c>
      <c r="C394" s="371">
        <v>2021</v>
      </c>
      <c r="D394" s="373">
        <v>6190162</v>
      </c>
      <c r="E394" s="328">
        <v>464262.14999999997</v>
      </c>
      <c r="F394" s="328">
        <f t="shared" si="64"/>
        <v>6654424.1500000004</v>
      </c>
      <c r="G394" s="373">
        <v>31499388.91</v>
      </c>
      <c r="H394" s="373">
        <v>22398460.91</v>
      </c>
      <c r="I394" s="328">
        <v>682569.6</v>
      </c>
      <c r="J394" s="328">
        <f t="shared" si="65"/>
        <v>-22307622.444999993</v>
      </c>
      <c r="K394" s="328">
        <f t="shared" si="66"/>
        <v>-22307622.444999993</v>
      </c>
    </row>
    <row r="395" spans="1:11" ht="13" x14ac:dyDescent="0.3">
      <c r="A395" s="321">
        <f t="shared" si="63"/>
        <v>307</v>
      </c>
      <c r="B395" s="104" t="s">
        <v>471</v>
      </c>
      <c r="C395" s="371">
        <v>2021</v>
      </c>
      <c r="D395" s="373">
        <v>3784828.9999999995</v>
      </c>
      <c r="E395" s="328">
        <v>283862.17499999993</v>
      </c>
      <c r="F395" s="328">
        <f t="shared" si="64"/>
        <v>4068691.1749999993</v>
      </c>
      <c r="G395" s="373">
        <v>2382850.0000000005</v>
      </c>
      <c r="H395" s="373">
        <v>0</v>
      </c>
      <c r="I395" s="328">
        <v>178713.75000000003</v>
      </c>
      <c r="J395" s="328">
        <f t="shared" si="65"/>
        <v>-20800495.019999992</v>
      </c>
      <c r="K395" s="328">
        <f t="shared" si="66"/>
        <v>-20800495.019999992</v>
      </c>
    </row>
    <row r="396" spans="1:11" ht="13" x14ac:dyDescent="0.3">
      <c r="A396" s="321">
        <f t="shared" si="63"/>
        <v>308</v>
      </c>
      <c r="B396" s="104" t="s">
        <v>39</v>
      </c>
      <c r="C396" s="371">
        <v>2021</v>
      </c>
      <c r="D396" s="373">
        <v>3229375.9999999995</v>
      </c>
      <c r="E396" s="328">
        <v>242203.19999999995</v>
      </c>
      <c r="F396" s="328">
        <f t="shared" si="64"/>
        <v>3471579.1999999993</v>
      </c>
      <c r="G396" s="373">
        <v>1609541.0000000002</v>
      </c>
      <c r="H396" s="373">
        <v>0</v>
      </c>
      <c r="I396" s="328">
        <v>120715.57500000001</v>
      </c>
      <c r="J396" s="328">
        <f t="shared" si="65"/>
        <v>-19059172.394999992</v>
      </c>
      <c r="K396" s="328">
        <f t="shared" si="66"/>
        <v>-19059172.394999992</v>
      </c>
    </row>
    <row r="397" spans="1:11" ht="13" x14ac:dyDescent="0.3">
      <c r="A397" s="321">
        <f t="shared" si="63"/>
        <v>309</v>
      </c>
      <c r="B397" s="104" t="s">
        <v>40</v>
      </c>
      <c r="C397" s="371">
        <v>2021</v>
      </c>
      <c r="D397" s="373">
        <v>3216375.9999999995</v>
      </c>
      <c r="E397" s="328">
        <v>241228.19999999995</v>
      </c>
      <c r="F397" s="328">
        <f t="shared" si="64"/>
        <v>3457604.1999999993</v>
      </c>
      <c r="G397" s="373">
        <v>1876541.0000000002</v>
      </c>
      <c r="H397" s="373">
        <v>0</v>
      </c>
      <c r="I397" s="328">
        <v>140740.57500000001</v>
      </c>
      <c r="J397" s="328">
        <f t="shared" si="65"/>
        <v>-17618849.769999992</v>
      </c>
      <c r="K397" s="328">
        <f t="shared" si="66"/>
        <v>-17618849.769999992</v>
      </c>
    </row>
    <row r="398" spans="1:11" ht="13" x14ac:dyDescent="0.3">
      <c r="A398" s="321">
        <f t="shared" si="63"/>
        <v>310</v>
      </c>
      <c r="B398" s="104" t="s">
        <v>41</v>
      </c>
      <c r="C398" s="371">
        <v>2021</v>
      </c>
      <c r="D398" s="373">
        <v>3459830</v>
      </c>
      <c r="E398" s="328">
        <v>259487.25</v>
      </c>
      <c r="F398" s="328">
        <f t="shared" si="64"/>
        <v>3719317.25</v>
      </c>
      <c r="G398" s="373">
        <v>1993850.0000000002</v>
      </c>
      <c r="H398" s="373">
        <v>0</v>
      </c>
      <c r="I398" s="328">
        <v>149538.75</v>
      </c>
      <c r="J398" s="328">
        <f t="shared" si="65"/>
        <v>-16042921.269999992</v>
      </c>
      <c r="K398" s="328">
        <f t="shared" si="66"/>
        <v>-16042921.269999992</v>
      </c>
    </row>
    <row r="399" spans="1:11" ht="13" x14ac:dyDescent="0.3">
      <c r="A399" s="321">
        <f t="shared" si="63"/>
        <v>311</v>
      </c>
      <c r="B399" s="104" t="s">
        <v>42</v>
      </c>
      <c r="C399" s="371">
        <v>2021</v>
      </c>
      <c r="D399" s="373">
        <v>2673375.9999999995</v>
      </c>
      <c r="E399" s="328">
        <v>200503.19999999995</v>
      </c>
      <c r="F399" s="328">
        <f>E399+D399</f>
        <v>2873879.1999999993</v>
      </c>
      <c r="G399" s="373">
        <v>1331541</v>
      </c>
      <c r="H399" s="373">
        <v>0</v>
      </c>
      <c r="I399" s="328">
        <v>99865.574999999997</v>
      </c>
      <c r="J399" s="328">
        <f>J398+F399-G399-I399</f>
        <v>-14600448.644999992</v>
      </c>
      <c r="K399" s="328">
        <f t="shared" si="66"/>
        <v>-14600448.644999992</v>
      </c>
    </row>
    <row r="400" spans="1:11" ht="13" x14ac:dyDescent="0.3">
      <c r="A400" s="321">
        <f t="shared" si="63"/>
        <v>312</v>
      </c>
      <c r="B400" s="104" t="s">
        <v>43</v>
      </c>
      <c r="C400" s="371">
        <v>2021</v>
      </c>
      <c r="D400" s="373">
        <v>2616375.9999999995</v>
      </c>
      <c r="E400" s="328">
        <v>196228.19999999995</v>
      </c>
      <c r="F400" s="328">
        <f>E400+D400</f>
        <v>2812604.1999999993</v>
      </c>
      <c r="G400" s="373">
        <v>1309541</v>
      </c>
      <c r="H400" s="373">
        <v>0</v>
      </c>
      <c r="I400" s="328">
        <v>98215.574999999997</v>
      </c>
      <c r="J400" s="328">
        <f>J399+F400-G400-I400</f>
        <v>-13195601.019999992</v>
      </c>
      <c r="K400" s="328">
        <f t="shared" si="66"/>
        <v>-13195601.019999992</v>
      </c>
    </row>
    <row r="401" spans="1:11" ht="13" x14ac:dyDescent="0.3">
      <c r="A401" s="321">
        <f t="shared" si="63"/>
        <v>313</v>
      </c>
      <c r="B401" s="104" t="s">
        <v>27</v>
      </c>
      <c r="C401" s="371">
        <v>2021</v>
      </c>
      <c r="D401" s="373">
        <v>3554511.9999999995</v>
      </c>
      <c r="E401" s="328">
        <v>266588.39999999997</v>
      </c>
      <c r="F401" s="328">
        <f>E401+D401</f>
        <v>3821100.3999999994</v>
      </c>
      <c r="G401" s="373">
        <v>59830362.590000004</v>
      </c>
      <c r="H401" s="373">
        <v>34609700.589999996</v>
      </c>
      <c r="I401" s="328">
        <v>1891549.6500000004</v>
      </c>
      <c r="J401" s="328">
        <f>J400+F401-G401-I401</f>
        <v>-71096412.859999999</v>
      </c>
      <c r="K401" s="335">
        <f t="shared" si="66"/>
        <v>-71096412.859999999</v>
      </c>
    </row>
    <row r="402" spans="1:11" ht="13" x14ac:dyDescent="0.3">
      <c r="A402" s="321">
        <f t="shared" si="63"/>
        <v>314</v>
      </c>
      <c r="C402" s="396" t="s">
        <v>880</v>
      </c>
      <c r="H402" s="356"/>
      <c r="I402" s="356"/>
      <c r="K402" s="397">
        <f>AVERAGE(K389:K401)</f>
        <v>-8452843.9330769163</v>
      </c>
    </row>
    <row r="403" spans="1:11" ht="13" x14ac:dyDescent="0.3">
      <c r="A403" s="321"/>
      <c r="C403" s="396"/>
      <c r="H403" s="356"/>
      <c r="I403" s="356"/>
      <c r="K403" s="397"/>
    </row>
    <row r="404" spans="1:11" ht="13" x14ac:dyDescent="0.3">
      <c r="B404" s="399" t="s">
        <v>904</v>
      </c>
      <c r="D404" s="354" t="s">
        <v>905</v>
      </c>
      <c r="E404" s="354"/>
      <c r="F404" s="359"/>
      <c r="G404" s="359"/>
    </row>
    <row r="405" spans="1:11" ht="13" x14ac:dyDescent="0.3">
      <c r="A405" s="326"/>
      <c r="B405" s="326"/>
      <c r="C405" s="326"/>
      <c r="D405" s="326" t="s">
        <v>12</v>
      </c>
      <c r="E405" s="326" t="s">
        <v>343</v>
      </c>
      <c r="F405" s="326" t="s">
        <v>361</v>
      </c>
      <c r="G405" s="326" t="s">
        <v>13</v>
      </c>
      <c r="H405" s="326" t="s">
        <v>362</v>
      </c>
      <c r="I405" s="326" t="s">
        <v>363</v>
      </c>
      <c r="J405" s="326" t="s">
        <v>364</v>
      </c>
      <c r="K405" s="326" t="s">
        <v>451</v>
      </c>
    </row>
    <row r="406" spans="1:11" ht="25.5" x14ac:dyDescent="0.3">
      <c r="D406" s="363"/>
      <c r="E406" s="400" t="s">
        <v>883</v>
      </c>
      <c r="F406" s="356" t="s">
        <v>884</v>
      </c>
      <c r="G406" s="356"/>
      <c r="H406" s="363"/>
      <c r="I406" s="400" t="s">
        <v>885</v>
      </c>
      <c r="J406" s="400" t="s">
        <v>886</v>
      </c>
      <c r="K406" s="400" t="s">
        <v>887</v>
      </c>
    </row>
    <row r="407" spans="1:11" ht="13" x14ac:dyDescent="0.3">
      <c r="D407" s="363"/>
      <c r="E407" s="400"/>
      <c r="F407" s="356"/>
      <c r="G407" s="351" t="str">
        <f>G85</f>
        <v>Unloaded</v>
      </c>
      <c r="H407" s="363"/>
      <c r="I407" s="400"/>
      <c r="J407" s="400"/>
      <c r="K407" s="400"/>
    </row>
    <row r="408" spans="1:11" ht="13" x14ac:dyDescent="0.3">
      <c r="A408" s="321"/>
      <c r="B408" s="321"/>
      <c r="C408" s="321"/>
      <c r="D408" s="321" t="str">
        <f>D$52</f>
        <v>Forecast</v>
      </c>
      <c r="E408" s="321" t="str">
        <f t="shared" ref="E408:J408" si="67">E$52</f>
        <v>Corporate</v>
      </c>
      <c r="F408" s="321" t="str">
        <f t="shared" si="67"/>
        <v xml:space="preserve">Total </v>
      </c>
      <c r="G408" s="351" t="str">
        <f>G86</f>
        <v>Total</v>
      </c>
      <c r="H408" s="321" t="str">
        <f t="shared" si="67"/>
        <v>Prior Period</v>
      </c>
      <c r="I408" s="321" t="str">
        <f t="shared" si="67"/>
        <v>Over Heads</v>
      </c>
      <c r="J408" s="321" t="str">
        <f t="shared" si="67"/>
        <v>Forecast</v>
      </c>
      <c r="K408" s="321" t="str">
        <f>K$52</f>
        <v>Forecast Period</v>
      </c>
    </row>
    <row r="409" spans="1:11" ht="13" x14ac:dyDescent="0.3">
      <c r="A409" s="325" t="s">
        <v>22</v>
      </c>
      <c r="B409" s="94" t="s">
        <v>23</v>
      </c>
      <c r="C409" s="94" t="s">
        <v>24</v>
      </c>
      <c r="D409" s="326" t="str">
        <f>D$53</f>
        <v>Expenditures</v>
      </c>
      <c r="E409" s="326" t="str">
        <f t="shared" ref="E409:J409" si="68">E$53</f>
        <v>Overheads</v>
      </c>
      <c r="F409" s="326" t="str">
        <f t="shared" si="68"/>
        <v>CWIP Exp</v>
      </c>
      <c r="G409" s="363" t="str">
        <f>G87</f>
        <v>Plant Adds</v>
      </c>
      <c r="H409" s="326" t="str">
        <f t="shared" si="68"/>
        <v>CWIP Closed</v>
      </c>
      <c r="I409" s="326" t="str">
        <f t="shared" si="68"/>
        <v>Closed to PIS</v>
      </c>
      <c r="J409" s="326" t="str">
        <f t="shared" si="68"/>
        <v>Period CWIP</v>
      </c>
      <c r="K409" s="326" t="str">
        <f>K$53</f>
        <v>Incremental CWIP</v>
      </c>
    </row>
    <row r="410" spans="1:11" ht="13" x14ac:dyDescent="0.3">
      <c r="A410" s="321">
        <f>A402+1</f>
        <v>315</v>
      </c>
      <c r="B410" s="104" t="s">
        <v>27</v>
      </c>
      <c r="C410" s="371">
        <v>2019</v>
      </c>
      <c r="D410" s="356" t="s">
        <v>28</v>
      </c>
      <c r="E410" s="356" t="s">
        <v>28</v>
      </c>
      <c r="F410" s="356" t="s">
        <v>28</v>
      </c>
      <c r="G410" s="356" t="s">
        <v>28</v>
      </c>
      <c r="H410" s="356" t="s">
        <v>28</v>
      </c>
      <c r="I410" s="356" t="s">
        <v>28</v>
      </c>
      <c r="J410" s="328">
        <v>0</v>
      </c>
      <c r="K410" s="356" t="s">
        <v>28</v>
      </c>
    </row>
    <row r="411" spans="1:11" ht="13" x14ac:dyDescent="0.3">
      <c r="A411" s="321">
        <f>A410+1</f>
        <v>316</v>
      </c>
      <c r="B411" s="104" t="s">
        <v>30</v>
      </c>
      <c r="C411" s="371">
        <v>2020</v>
      </c>
      <c r="D411" s="373"/>
      <c r="E411" s="328">
        <v>0</v>
      </c>
      <c r="F411" s="328">
        <f>E411+D411</f>
        <v>0</v>
      </c>
      <c r="G411" s="373"/>
      <c r="H411" s="373"/>
      <c r="I411" s="328">
        <v>0</v>
      </c>
      <c r="J411" s="328">
        <f>J410+F411-G411-I411</f>
        <v>0</v>
      </c>
      <c r="K411" s="328">
        <f>J411-$J$377</f>
        <v>0</v>
      </c>
    </row>
    <row r="412" spans="1:11" ht="13" x14ac:dyDescent="0.3">
      <c r="A412" s="321">
        <f t="shared" ref="A412:A435" si="69">A411+1</f>
        <v>317</v>
      </c>
      <c r="B412" s="104" t="s">
        <v>32</v>
      </c>
      <c r="C412" s="371">
        <v>2020</v>
      </c>
      <c r="D412" s="373"/>
      <c r="E412" s="328">
        <v>0</v>
      </c>
      <c r="F412" s="328">
        <f t="shared" ref="F412:F434" si="70">E412+D412</f>
        <v>0</v>
      </c>
      <c r="G412" s="373"/>
      <c r="H412" s="373"/>
      <c r="I412" s="328">
        <v>0</v>
      </c>
      <c r="J412" s="328">
        <f t="shared" ref="J412:J434" si="71">J411+F412-G412-I412</f>
        <v>0</v>
      </c>
      <c r="K412" s="328">
        <f t="shared" ref="K412:K434" si="72">J412-$J$377</f>
        <v>0</v>
      </c>
    </row>
    <row r="413" spans="1:11" ht="13" x14ac:dyDescent="0.3">
      <c r="A413" s="321">
        <f t="shared" si="69"/>
        <v>318</v>
      </c>
      <c r="B413" s="104" t="s">
        <v>34</v>
      </c>
      <c r="C413" s="371">
        <v>2020</v>
      </c>
      <c r="D413" s="373"/>
      <c r="E413" s="328">
        <v>0</v>
      </c>
      <c r="F413" s="328">
        <f t="shared" si="70"/>
        <v>0</v>
      </c>
      <c r="G413" s="373"/>
      <c r="H413" s="373"/>
      <c r="I413" s="328">
        <v>0</v>
      </c>
      <c r="J413" s="328">
        <f t="shared" si="71"/>
        <v>0</v>
      </c>
      <c r="K413" s="328">
        <f t="shared" si="72"/>
        <v>0</v>
      </c>
    </row>
    <row r="414" spans="1:11" ht="13" x14ac:dyDescent="0.3">
      <c r="A414" s="321">
        <f t="shared" si="69"/>
        <v>319</v>
      </c>
      <c r="B414" s="104" t="s">
        <v>36</v>
      </c>
      <c r="C414" s="371">
        <v>2020</v>
      </c>
      <c r="D414" s="373"/>
      <c r="E414" s="328">
        <v>0</v>
      </c>
      <c r="F414" s="328">
        <f t="shared" si="70"/>
        <v>0</v>
      </c>
      <c r="G414" s="373"/>
      <c r="H414" s="373"/>
      <c r="I414" s="328">
        <v>0</v>
      </c>
      <c r="J414" s="328">
        <f t="shared" si="71"/>
        <v>0</v>
      </c>
      <c r="K414" s="328">
        <f t="shared" si="72"/>
        <v>0</v>
      </c>
    </row>
    <row r="415" spans="1:11" ht="13" x14ac:dyDescent="0.3">
      <c r="A415" s="321">
        <f t="shared" si="69"/>
        <v>320</v>
      </c>
      <c r="B415" s="104" t="s">
        <v>37</v>
      </c>
      <c r="C415" s="371">
        <v>2020</v>
      </c>
      <c r="D415" s="373"/>
      <c r="E415" s="328">
        <v>0</v>
      </c>
      <c r="F415" s="328">
        <f t="shared" si="70"/>
        <v>0</v>
      </c>
      <c r="G415" s="373"/>
      <c r="H415" s="373"/>
      <c r="I415" s="328">
        <v>0</v>
      </c>
      <c r="J415" s="328">
        <f t="shared" si="71"/>
        <v>0</v>
      </c>
      <c r="K415" s="328">
        <f t="shared" si="72"/>
        <v>0</v>
      </c>
    </row>
    <row r="416" spans="1:11" ht="13" x14ac:dyDescent="0.3">
      <c r="A416" s="321">
        <f t="shared" si="69"/>
        <v>321</v>
      </c>
      <c r="B416" s="104" t="s">
        <v>471</v>
      </c>
      <c r="C416" s="371">
        <v>2020</v>
      </c>
      <c r="D416" s="373"/>
      <c r="E416" s="328">
        <v>0</v>
      </c>
      <c r="F416" s="328">
        <f t="shared" si="70"/>
        <v>0</v>
      </c>
      <c r="G416" s="373"/>
      <c r="H416" s="373"/>
      <c r="I416" s="328">
        <v>0</v>
      </c>
      <c r="J416" s="328">
        <f t="shared" si="71"/>
        <v>0</v>
      </c>
      <c r="K416" s="328">
        <f t="shared" si="72"/>
        <v>0</v>
      </c>
    </row>
    <row r="417" spans="1:11" ht="13" x14ac:dyDescent="0.3">
      <c r="A417" s="321">
        <f t="shared" si="69"/>
        <v>322</v>
      </c>
      <c r="B417" s="104" t="s">
        <v>39</v>
      </c>
      <c r="C417" s="371">
        <v>2020</v>
      </c>
      <c r="D417" s="373"/>
      <c r="E417" s="328">
        <v>0</v>
      </c>
      <c r="F417" s="328">
        <f t="shared" si="70"/>
        <v>0</v>
      </c>
      <c r="G417" s="373"/>
      <c r="H417" s="373"/>
      <c r="I417" s="328">
        <v>0</v>
      </c>
      <c r="J417" s="328">
        <f t="shared" si="71"/>
        <v>0</v>
      </c>
      <c r="K417" s="328">
        <f t="shared" si="72"/>
        <v>0</v>
      </c>
    </row>
    <row r="418" spans="1:11" ht="13" x14ac:dyDescent="0.3">
      <c r="A418" s="321">
        <f t="shared" si="69"/>
        <v>323</v>
      </c>
      <c r="B418" s="104" t="s">
        <v>40</v>
      </c>
      <c r="C418" s="371">
        <v>2020</v>
      </c>
      <c r="D418" s="373"/>
      <c r="E418" s="328">
        <v>0</v>
      </c>
      <c r="F418" s="328">
        <f t="shared" si="70"/>
        <v>0</v>
      </c>
      <c r="G418" s="373"/>
      <c r="H418" s="373"/>
      <c r="I418" s="328">
        <v>0</v>
      </c>
      <c r="J418" s="328">
        <f t="shared" si="71"/>
        <v>0</v>
      </c>
      <c r="K418" s="328">
        <f t="shared" si="72"/>
        <v>0</v>
      </c>
    </row>
    <row r="419" spans="1:11" ht="13" x14ac:dyDescent="0.3">
      <c r="A419" s="321">
        <f t="shared" si="69"/>
        <v>324</v>
      </c>
      <c r="B419" s="104" t="s">
        <v>41</v>
      </c>
      <c r="C419" s="371">
        <v>2020</v>
      </c>
      <c r="D419" s="373"/>
      <c r="E419" s="328">
        <v>0</v>
      </c>
      <c r="F419" s="328">
        <f t="shared" si="70"/>
        <v>0</v>
      </c>
      <c r="G419" s="373"/>
      <c r="H419" s="373"/>
      <c r="I419" s="328">
        <v>0</v>
      </c>
      <c r="J419" s="328">
        <f t="shared" si="71"/>
        <v>0</v>
      </c>
      <c r="K419" s="328">
        <f t="shared" si="72"/>
        <v>0</v>
      </c>
    </row>
    <row r="420" spans="1:11" ht="13" x14ac:dyDescent="0.3">
      <c r="A420" s="321">
        <f t="shared" si="69"/>
        <v>325</v>
      </c>
      <c r="B420" s="104" t="s">
        <v>42</v>
      </c>
      <c r="C420" s="371">
        <v>2020</v>
      </c>
      <c r="D420" s="373"/>
      <c r="E420" s="328">
        <v>0</v>
      </c>
      <c r="F420" s="328">
        <f t="shared" si="70"/>
        <v>0</v>
      </c>
      <c r="G420" s="373"/>
      <c r="H420" s="373"/>
      <c r="I420" s="328">
        <v>0</v>
      </c>
      <c r="J420" s="328">
        <f t="shared" si="71"/>
        <v>0</v>
      </c>
      <c r="K420" s="328">
        <f t="shared" si="72"/>
        <v>0</v>
      </c>
    </row>
    <row r="421" spans="1:11" ht="13" x14ac:dyDescent="0.3">
      <c r="A421" s="321">
        <f t="shared" si="69"/>
        <v>326</v>
      </c>
      <c r="B421" s="104" t="s">
        <v>43</v>
      </c>
      <c r="C421" s="371">
        <v>2020</v>
      </c>
      <c r="D421" s="373"/>
      <c r="E421" s="328">
        <v>0</v>
      </c>
      <c r="F421" s="328">
        <f t="shared" si="70"/>
        <v>0</v>
      </c>
      <c r="G421" s="373"/>
      <c r="H421" s="373"/>
      <c r="I421" s="328">
        <v>0</v>
      </c>
      <c r="J421" s="328">
        <f t="shared" si="71"/>
        <v>0</v>
      </c>
      <c r="K421" s="328">
        <f t="shared" si="72"/>
        <v>0</v>
      </c>
    </row>
    <row r="422" spans="1:11" ht="13" x14ac:dyDescent="0.3">
      <c r="A422" s="321">
        <f t="shared" si="69"/>
        <v>327</v>
      </c>
      <c r="B422" s="104" t="s">
        <v>27</v>
      </c>
      <c r="C422" s="371">
        <v>2020</v>
      </c>
      <c r="D422" s="373"/>
      <c r="E422" s="328">
        <v>0</v>
      </c>
      <c r="F422" s="328">
        <f t="shared" si="70"/>
        <v>0</v>
      </c>
      <c r="G422" s="373"/>
      <c r="H422" s="373"/>
      <c r="I422" s="328">
        <v>0</v>
      </c>
      <c r="J422" s="328">
        <f t="shared" si="71"/>
        <v>0</v>
      </c>
      <c r="K422" s="328">
        <f t="shared" si="72"/>
        <v>0</v>
      </c>
    </row>
    <row r="423" spans="1:11" ht="13" x14ac:dyDescent="0.3">
      <c r="A423" s="321">
        <f t="shared" si="69"/>
        <v>328</v>
      </c>
      <c r="B423" s="104" t="s">
        <v>30</v>
      </c>
      <c r="C423" s="371">
        <v>2021</v>
      </c>
      <c r="D423" s="373"/>
      <c r="E423" s="328">
        <v>0</v>
      </c>
      <c r="F423" s="328">
        <f t="shared" si="70"/>
        <v>0</v>
      </c>
      <c r="G423" s="373"/>
      <c r="H423" s="373"/>
      <c r="I423" s="328">
        <v>0</v>
      </c>
      <c r="J423" s="328">
        <f t="shared" si="71"/>
        <v>0</v>
      </c>
      <c r="K423" s="328">
        <f t="shared" si="72"/>
        <v>0</v>
      </c>
    </row>
    <row r="424" spans="1:11" ht="13" x14ac:dyDescent="0.3">
      <c r="A424" s="321">
        <f t="shared" si="69"/>
        <v>329</v>
      </c>
      <c r="B424" s="104" t="s">
        <v>32</v>
      </c>
      <c r="C424" s="371">
        <v>2021</v>
      </c>
      <c r="D424" s="373"/>
      <c r="E424" s="328">
        <v>0</v>
      </c>
      <c r="F424" s="328">
        <f t="shared" si="70"/>
        <v>0</v>
      </c>
      <c r="G424" s="373"/>
      <c r="H424" s="373"/>
      <c r="I424" s="328">
        <v>0</v>
      </c>
      <c r="J424" s="328">
        <f t="shared" si="71"/>
        <v>0</v>
      </c>
      <c r="K424" s="328">
        <f t="shared" si="72"/>
        <v>0</v>
      </c>
    </row>
    <row r="425" spans="1:11" ht="13" x14ac:dyDescent="0.3">
      <c r="A425" s="321">
        <f t="shared" si="69"/>
        <v>330</v>
      </c>
      <c r="B425" s="104" t="s">
        <v>34</v>
      </c>
      <c r="C425" s="371">
        <v>2021</v>
      </c>
      <c r="D425" s="373"/>
      <c r="E425" s="328">
        <v>0</v>
      </c>
      <c r="F425" s="328">
        <f t="shared" si="70"/>
        <v>0</v>
      </c>
      <c r="G425" s="373"/>
      <c r="H425" s="373"/>
      <c r="I425" s="328">
        <v>0</v>
      </c>
      <c r="J425" s="328">
        <f t="shared" si="71"/>
        <v>0</v>
      </c>
      <c r="K425" s="328">
        <f t="shared" si="72"/>
        <v>0</v>
      </c>
    </row>
    <row r="426" spans="1:11" ht="13" x14ac:dyDescent="0.3">
      <c r="A426" s="321">
        <f t="shared" si="69"/>
        <v>331</v>
      </c>
      <c r="B426" s="104" t="s">
        <v>36</v>
      </c>
      <c r="C426" s="371">
        <v>2021</v>
      </c>
      <c r="D426" s="373"/>
      <c r="E426" s="328">
        <v>0</v>
      </c>
      <c r="F426" s="328">
        <f t="shared" si="70"/>
        <v>0</v>
      </c>
      <c r="G426" s="373"/>
      <c r="H426" s="373"/>
      <c r="I426" s="328">
        <v>0</v>
      </c>
      <c r="J426" s="328">
        <f t="shared" si="71"/>
        <v>0</v>
      </c>
      <c r="K426" s="328">
        <f t="shared" si="72"/>
        <v>0</v>
      </c>
    </row>
    <row r="427" spans="1:11" ht="13" x14ac:dyDescent="0.3">
      <c r="A427" s="321">
        <f t="shared" si="69"/>
        <v>332</v>
      </c>
      <c r="B427" s="104" t="s">
        <v>37</v>
      </c>
      <c r="C427" s="371">
        <v>2021</v>
      </c>
      <c r="D427" s="373"/>
      <c r="E427" s="328">
        <v>0</v>
      </c>
      <c r="F427" s="328">
        <f t="shared" si="70"/>
        <v>0</v>
      </c>
      <c r="G427" s="373"/>
      <c r="H427" s="373"/>
      <c r="I427" s="328">
        <v>0</v>
      </c>
      <c r="J427" s="328">
        <f t="shared" si="71"/>
        <v>0</v>
      </c>
      <c r="K427" s="328">
        <f t="shared" si="72"/>
        <v>0</v>
      </c>
    </row>
    <row r="428" spans="1:11" ht="13" x14ac:dyDescent="0.3">
      <c r="A428" s="321">
        <f t="shared" si="69"/>
        <v>333</v>
      </c>
      <c r="B428" s="104" t="s">
        <v>471</v>
      </c>
      <c r="C428" s="371">
        <v>2021</v>
      </c>
      <c r="D428" s="373"/>
      <c r="E428" s="328">
        <v>0</v>
      </c>
      <c r="F428" s="328">
        <f t="shared" si="70"/>
        <v>0</v>
      </c>
      <c r="G428" s="373"/>
      <c r="H428" s="373"/>
      <c r="I428" s="328">
        <v>0</v>
      </c>
      <c r="J428" s="328">
        <f t="shared" si="71"/>
        <v>0</v>
      </c>
      <c r="K428" s="328">
        <f t="shared" si="72"/>
        <v>0</v>
      </c>
    </row>
    <row r="429" spans="1:11" ht="13" x14ac:dyDescent="0.3">
      <c r="A429" s="321">
        <f t="shared" si="69"/>
        <v>334</v>
      </c>
      <c r="B429" s="104" t="s">
        <v>39</v>
      </c>
      <c r="C429" s="371">
        <v>2021</v>
      </c>
      <c r="D429" s="373"/>
      <c r="E429" s="328">
        <v>0</v>
      </c>
      <c r="F429" s="328">
        <f t="shared" si="70"/>
        <v>0</v>
      </c>
      <c r="G429" s="373"/>
      <c r="H429" s="373"/>
      <c r="I429" s="328">
        <v>0</v>
      </c>
      <c r="J429" s="328">
        <f t="shared" si="71"/>
        <v>0</v>
      </c>
      <c r="K429" s="328">
        <f t="shared" si="72"/>
        <v>0</v>
      </c>
    </row>
    <row r="430" spans="1:11" ht="13" x14ac:dyDescent="0.3">
      <c r="A430" s="321">
        <f t="shared" si="69"/>
        <v>335</v>
      </c>
      <c r="B430" s="104" t="s">
        <v>40</v>
      </c>
      <c r="C430" s="371">
        <v>2021</v>
      </c>
      <c r="D430" s="373"/>
      <c r="E430" s="328">
        <v>0</v>
      </c>
      <c r="F430" s="328">
        <f t="shared" si="70"/>
        <v>0</v>
      </c>
      <c r="G430" s="373"/>
      <c r="H430" s="373"/>
      <c r="I430" s="328">
        <v>0</v>
      </c>
      <c r="J430" s="328">
        <f t="shared" si="71"/>
        <v>0</v>
      </c>
      <c r="K430" s="328">
        <f t="shared" si="72"/>
        <v>0</v>
      </c>
    </row>
    <row r="431" spans="1:11" ht="13" x14ac:dyDescent="0.3">
      <c r="A431" s="321">
        <f t="shared" si="69"/>
        <v>336</v>
      </c>
      <c r="B431" s="104" t="s">
        <v>41</v>
      </c>
      <c r="C431" s="371">
        <v>2021</v>
      </c>
      <c r="D431" s="373"/>
      <c r="E431" s="328">
        <v>0</v>
      </c>
      <c r="F431" s="328">
        <f t="shared" si="70"/>
        <v>0</v>
      </c>
      <c r="G431" s="373"/>
      <c r="H431" s="373"/>
      <c r="I431" s="328">
        <v>0</v>
      </c>
      <c r="J431" s="328">
        <f t="shared" si="71"/>
        <v>0</v>
      </c>
      <c r="K431" s="328">
        <f t="shared" si="72"/>
        <v>0</v>
      </c>
    </row>
    <row r="432" spans="1:11" ht="13" x14ac:dyDescent="0.3">
      <c r="A432" s="321">
        <f t="shared" si="69"/>
        <v>337</v>
      </c>
      <c r="B432" s="104" t="s">
        <v>42</v>
      </c>
      <c r="C432" s="371">
        <v>2021</v>
      </c>
      <c r="D432" s="373"/>
      <c r="E432" s="328">
        <v>0</v>
      </c>
      <c r="F432" s="328">
        <f t="shared" si="70"/>
        <v>0</v>
      </c>
      <c r="G432" s="373"/>
      <c r="H432" s="373"/>
      <c r="I432" s="328">
        <v>0</v>
      </c>
      <c r="J432" s="328">
        <f t="shared" si="71"/>
        <v>0</v>
      </c>
      <c r="K432" s="328">
        <f t="shared" si="72"/>
        <v>0</v>
      </c>
    </row>
    <row r="433" spans="1:11" ht="13" x14ac:dyDescent="0.3">
      <c r="A433" s="321">
        <f t="shared" si="69"/>
        <v>338</v>
      </c>
      <c r="B433" s="104" t="s">
        <v>43</v>
      </c>
      <c r="C433" s="371">
        <v>2021</v>
      </c>
      <c r="D433" s="373"/>
      <c r="E433" s="328">
        <v>0</v>
      </c>
      <c r="F433" s="328">
        <f t="shared" si="70"/>
        <v>0</v>
      </c>
      <c r="G433" s="373"/>
      <c r="H433" s="373"/>
      <c r="I433" s="328">
        <v>0</v>
      </c>
      <c r="J433" s="328">
        <f t="shared" si="71"/>
        <v>0</v>
      </c>
      <c r="K433" s="328">
        <f t="shared" si="72"/>
        <v>0</v>
      </c>
    </row>
    <row r="434" spans="1:11" ht="13" x14ac:dyDescent="0.3">
      <c r="A434" s="321">
        <f t="shared" si="69"/>
        <v>339</v>
      </c>
      <c r="B434" s="104" t="s">
        <v>27</v>
      </c>
      <c r="C434" s="371">
        <v>2021</v>
      </c>
      <c r="D434" s="373"/>
      <c r="E434" s="328">
        <v>0</v>
      </c>
      <c r="F434" s="328">
        <f t="shared" si="70"/>
        <v>0</v>
      </c>
      <c r="G434" s="373"/>
      <c r="H434" s="373"/>
      <c r="I434" s="328">
        <v>0</v>
      </c>
      <c r="J434" s="328">
        <f t="shared" si="71"/>
        <v>0</v>
      </c>
      <c r="K434" s="335">
        <f t="shared" si="72"/>
        <v>0</v>
      </c>
    </row>
    <row r="435" spans="1:11" ht="13" x14ac:dyDescent="0.3">
      <c r="A435" s="321">
        <f t="shared" si="69"/>
        <v>340</v>
      </c>
      <c r="C435" s="396" t="s">
        <v>880</v>
      </c>
      <c r="H435" s="356"/>
      <c r="I435" s="356"/>
      <c r="K435" s="397">
        <f>AVERAGE(K422:K434)</f>
        <v>0</v>
      </c>
    </row>
    <row r="437" spans="1:11" ht="13" x14ac:dyDescent="0.3">
      <c r="B437" s="391" t="s">
        <v>87</v>
      </c>
    </row>
    <row r="438" spans="1:11" x14ac:dyDescent="0.25">
      <c r="B438" s="104" t="s">
        <v>906</v>
      </c>
    </row>
    <row r="439" spans="1:11" x14ac:dyDescent="0.25">
      <c r="B439" s="104" t="s">
        <v>907</v>
      </c>
    </row>
    <row r="441" spans="1:11" ht="13" x14ac:dyDescent="0.3">
      <c r="B441" s="318" t="s">
        <v>175</v>
      </c>
    </row>
    <row r="442" spans="1:11" x14ac:dyDescent="0.25">
      <c r="B442" s="329" t="s">
        <v>908</v>
      </c>
    </row>
    <row r="443" spans="1:11" x14ac:dyDescent="0.25">
      <c r="B443" s="329" t="s">
        <v>909</v>
      </c>
    </row>
    <row r="444" spans="1:11" x14ac:dyDescent="0.25">
      <c r="B444" s="329" t="s">
        <v>910</v>
      </c>
    </row>
  </sheetData>
  <mergeCells count="11">
    <mergeCell ref="D243:E243"/>
    <mergeCell ref="D82:E82"/>
    <mergeCell ref="D115:E115"/>
    <mergeCell ref="D148:E148"/>
    <mergeCell ref="D179:E179"/>
    <mergeCell ref="D212:E212"/>
    <mergeCell ref="D276:E276"/>
    <mergeCell ref="D307:E307"/>
    <mergeCell ref="D340:E340"/>
    <mergeCell ref="D371:E371"/>
    <mergeCell ref="F371:G371"/>
  </mergeCells>
  <pageMargins left="0.7" right="0.7" top="0.75" bottom="0.75" header="0.3" footer="0.3"/>
  <pageSetup scale="50" fitToHeight="0" orientation="landscape" cellComments="asDisplayed" r:id="rId1"/>
  <headerFooter>
    <oddHeader xml:space="preserve">&amp;C&amp;"Arial,Regular"Schedule 10
CWIP
(TO2018 Wildfire Adj)
&amp;R&amp;"Arial,Regular"TO2021 Annual Update
Attachment 4
WP-Schedule 3-One Time Adjustment Transition
Page &amp;P of &amp;N
</oddHeader>
    <oddFooter>&amp;R&amp;A</oddFooter>
  </headerFooter>
  <rowBreaks count="6" manualBreakCount="6">
    <brk id="47" max="16383" man="1"/>
    <brk id="113" max="10" man="1"/>
    <brk id="177" max="10" man="1"/>
    <brk id="241" max="10" man="1"/>
    <brk id="305" max="10" man="1"/>
    <brk id="369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81A9C-98DC-44E8-832A-BB99E56A22EB}">
  <sheetPr codeName="Sheet8">
    <tabColor rgb="FFCCECFF"/>
  </sheetPr>
  <dimension ref="A1:X105"/>
  <sheetViews>
    <sheetView zoomScaleNormal="100" workbookViewId="0"/>
  </sheetViews>
  <sheetFormatPr defaultRowHeight="12.5" x14ac:dyDescent="0.25"/>
  <cols>
    <col min="1" max="1" width="4.54296875" style="238" customWidth="1"/>
    <col min="2" max="2" width="2.54296875" style="238" customWidth="1"/>
    <col min="3" max="3" width="8.54296875" style="238" customWidth="1"/>
    <col min="4" max="4" width="32.54296875" style="238" customWidth="1"/>
    <col min="5" max="5" width="14.54296875" style="238" customWidth="1"/>
    <col min="6" max="6" width="15.54296875" style="238" customWidth="1"/>
    <col min="7" max="8" width="14.54296875" style="238" customWidth="1"/>
    <col min="9" max="9" width="20" style="238" customWidth="1"/>
    <col min="10" max="10" width="15.54296875" style="238" customWidth="1"/>
    <col min="11" max="11" width="11" style="238" bestFit="1" customWidth="1"/>
    <col min="12" max="16384" width="8.7265625" style="238"/>
  </cols>
  <sheetData>
    <row r="1" spans="1:24" ht="13" x14ac:dyDescent="0.3">
      <c r="A1" s="237" t="s">
        <v>508</v>
      </c>
      <c r="F1" s="239" t="s">
        <v>509</v>
      </c>
      <c r="G1" s="73"/>
      <c r="H1" s="240"/>
      <c r="I1" s="240"/>
    </row>
    <row r="2" spans="1:24" ht="13" x14ac:dyDescent="0.3">
      <c r="E2" s="241" t="s">
        <v>12</v>
      </c>
      <c r="F2" s="241" t="s">
        <v>343</v>
      </c>
      <c r="G2" s="241" t="s">
        <v>361</v>
      </c>
      <c r="H2" s="241" t="s">
        <v>13</v>
      </c>
      <c r="I2" s="240"/>
    </row>
    <row r="3" spans="1:24" x14ac:dyDescent="0.25">
      <c r="G3" s="240" t="s">
        <v>452</v>
      </c>
    </row>
    <row r="4" spans="1:24" ht="13" x14ac:dyDescent="0.3">
      <c r="E4" s="242" t="s">
        <v>510</v>
      </c>
      <c r="F4" s="43" t="s">
        <v>511</v>
      </c>
      <c r="G4" s="242" t="s">
        <v>512</v>
      </c>
      <c r="I4" s="242"/>
    </row>
    <row r="5" spans="1:24" ht="13" x14ac:dyDescent="0.3">
      <c r="A5" s="243" t="s">
        <v>104</v>
      </c>
      <c r="B5" s="244"/>
      <c r="C5" s="244" t="s">
        <v>513</v>
      </c>
      <c r="D5" s="244" t="s">
        <v>95</v>
      </c>
      <c r="E5" s="244" t="s">
        <v>96</v>
      </c>
      <c r="F5" s="44" t="s">
        <v>98</v>
      </c>
      <c r="G5" s="244" t="s">
        <v>514</v>
      </c>
      <c r="H5" s="244" t="s">
        <v>148</v>
      </c>
      <c r="I5" s="244" t="s">
        <v>107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</row>
    <row r="6" spans="1:24" ht="13" x14ac:dyDescent="0.3">
      <c r="A6" s="242">
        <v>1</v>
      </c>
      <c r="C6" s="240">
        <v>920</v>
      </c>
      <c r="D6" s="238" t="s">
        <v>515</v>
      </c>
      <c r="E6" s="245">
        <v>413850310</v>
      </c>
      <c r="F6" s="240" t="s">
        <v>516</v>
      </c>
      <c r="G6" s="246">
        <f>D37</f>
        <v>213480967.18284771</v>
      </c>
      <c r="H6" s="246">
        <f t="shared" ref="H6:H19" si="0">E6-G6</f>
        <v>200369342.81715229</v>
      </c>
    </row>
    <row r="7" spans="1:24" ht="13" x14ac:dyDescent="0.3">
      <c r="A7" s="242">
        <f>A6+1</f>
        <v>2</v>
      </c>
      <c r="C7" s="240">
        <v>921</v>
      </c>
      <c r="D7" s="238" t="s">
        <v>517</v>
      </c>
      <c r="E7" s="245">
        <v>250234425</v>
      </c>
      <c r="F7" s="240" t="s">
        <v>518</v>
      </c>
      <c r="G7" s="247">
        <f t="shared" ref="G7:G19" si="1">D38</f>
        <v>2351967.084740696</v>
      </c>
      <c r="H7" s="247">
        <f t="shared" si="0"/>
        <v>247882457.9152593</v>
      </c>
    </row>
    <row r="8" spans="1:24" ht="13" x14ac:dyDescent="0.3">
      <c r="A8" s="242">
        <f>A7+1</f>
        <v>3</v>
      </c>
      <c r="C8" s="240">
        <v>922</v>
      </c>
      <c r="D8" s="238" t="s">
        <v>519</v>
      </c>
      <c r="E8" s="245">
        <v>-225318190</v>
      </c>
      <c r="F8" s="240" t="s">
        <v>520</v>
      </c>
      <c r="G8" s="247">
        <f t="shared" si="1"/>
        <v>-77722052.712449998</v>
      </c>
      <c r="H8" s="247">
        <f>E8-G8</f>
        <v>-147596137.28755</v>
      </c>
      <c r="I8" s="248" t="s">
        <v>521</v>
      </c>
    </row>
    <row r="9" spans="1:24" ht="13" x14ac:dyDescent="0.3">
      <c r="A9" s="242">
        <f t="shared" ref="A9:A20" si="2">A8+1</f>
        <v>4</v>
      </c>
      <c r="B9" s="242"/>
      <c r="C9" s="240">
        <v>923</v>
      </c>
      <c r="D9" s="238" t="s">
        <v>522</v>
      </c>
      <c r="E9" s="245">
        <v>59887693</v>
      </c>
      <c r="F9" s="240" t="s">
        <v>523</v>
      </c>
      <c r="G9" s="246">
        <f t="shared" si="1"/>
        <v>8247856.2878677836</v>
      </c>
      <c r="H9" s="246">
        <f t="shared" si="0"/>
        <v>51639836.712132215</v>
      </c>
    </row>
    <row r="10" spans="1:24" ht="13" x14ac:dyDescent="0.3">
      <c r="A10" s="242">
        <f t="shared" si="2"/>
        <v>5</v>
      </c>
      <c r="B10" s="242"/>
      <c r="C10" s="240">
        <v>924</v>
      </c>
      <c r="D10" s="238" t="s">
        <v>524</v>
      </c>
      <c r="E10" s="245">
        <v>15607270</v>
      </c>
      <c r="F10" s="240" t="s">
        <v>525</v>
      </c>
      <c r="G10" s="247">
        <f t="shared" si="1"/>
        <v>0</v>
      </c>
      <c r="H10" s="247">
        <f t="shared" si="0"/>
        <v>15607270</v>
      </c>
    </row>
    <row r="11" spans="1:24" ht="13" x14ac:dyDescent="0.3">
      <c r="A11" s="242">
        <f t="shared" si="2"/>
        <v>6</v>
      </c>
      <c r="B11" s="242"/>
      <c r="C11" s="240">
        <v>925</v>
      </c>
      <c r="D11" s="238" t="s">
        <v>526</v>
      </c>
      <c r="E11" s="245">
        <v>902073996</v>
      </c>
      <c r="F11" s="240" t="s">
        <v>527</v>
      </c>
      <c r="G11" s="247">
        <f t="shared" si="1"/>
        <v>168752277.52000001</v>
      </c>
      <c r="H11" s="247">
        <f t="shared" si="0"/>
        <v>733321718.48000002</v>
      </c>
    </row>
    <row r="12" spans="1:24" ht="13" x14ac:dyDescent="0.3">
      <c r="A12" s="242">
        <f t="shared" si="2"/>
        <v>7</v>
      </c>
      <c r="B12" s="242"/>
      <c r="C12" s="240">
        <v>926</v>
      </c>
      <c r="D12" s="238" t="s">
        <v>528</v>
      </c>
      <c r="E12" s="245">
        <v>82906034</v>
      </c>
      <c r="F12" s="240" t="s">
        <v>529</v>
      </c>
      <c r="G12" s="247">
        <f t="shared" si="1"/>
        <v>3580760.4670550358</v>
      </c>
      <c r="H12" s="247">
        <f t="shared" si="0"/>
        <v>79325273.532944962</v>
      </c>
    </row>
    <row r="13" spans="1:24" ht="13" x14ac:dyDescent="0.3">
      <c r="A13" s="242">
        <f t="shared" si="2"/>
        <v>8</v>
      </c>
      <c r="B13" s="242"/>
      <c r="C13" s="240">
        <v>927</v>
      </c>
      <c r="D13" s="238" t="s">
        <v>530</v>
      </c>
      <c r="E13" s="245">
        <v>104335318</v>
      </c>
      <c r="F13" s="240" t="s">
        <v>531</v>
      </c>
      <c r="G13" s="247">
        <f t="shared" si="1"/>
        <v>104335318</v>
      </c>
      <c r="H13" s="247">
        <f t="shared" si="0"/>
        <v>0</v>
      </c>
    </row>
    <row r="14" spans="1:24" ht="13" x14ac:dyDescent="0.3">
      <c r="A14" s="242">
        <f t="shared" si="2"/>
        <v>9</v>
      </c>
      <c r="B14" s="242"/>
      <c r="C14" s="240">
        <v>928</v>
      </c>
      <c r="D14" s="238" t="s">
        <v>532</v>
      </c>
      <c r="E14" s="245">
        <v>11713250</v>
      </c>
      <c r="F14" s="240" t="s">
        <v>533</v>
      </c>
      <c r="G14" s="247">
        <f t="shared" si="1"/>
        <v>9979027.6099999994</v>
      </c>
      <c r="H14" s="247">
        <f t="shared" si="0"/>
        <v>1734222.3900000006</v>
      </c>
    </row>
    <row r="15" spans="1:24" ht="13" x14ac:dyDescent="0.3">
      <c r="A15" s="242">
        <f t="shared" si="2"/>
        <v>10</v>
      </c>
      <c r="B15" s="242"/>
      <c r="C15" s="240">
        <v>929</v>
      </c>
      <c r="D15" s="238" t="s">
        <v>534</v>
      </c>
      <c r="E15" s="245">
        <v>0</v>
      </c>
      <c r="F15" s="240" t="s">
        <v>535</v>
      </c>
      <c r="G15" s="247">
        <f t="shared" si="1"/>
        <v>0</v>
      </c>
      <c r="H15" s="247">
        <f t="shared" si="0"/>
        <v>0</v>
      </c>
    </row>
    <row r="16" spans="1:24" ht="13" x14ac:dyDescent="0.3">
      <c r="A16" s="242">
        <f t="shared" si="2"/>
        <v>11</v>
      </c>
      <c r="B16" s="242"/>
      <c r="C16" s="240">
        <v>930.1</v>
      </c>
      <c r="D16" s="238" t="s">
        <v>536</v>
      </c>
      <c r="E16" s="245">
        <v>11245961</v>
      </c>
      <c r="F16" s="240" t="s">
        <v>537</v>
      </c>
      <c r="G16" s="247">
        <f t="shared" si="1"/>
        <v>4498348</v>
      </c>
      <c r="H16" s="247">
        <f t="shared" si="0"/>
        <v>6747613</v>
      </c>
    </row>
    <row r="17" spans="1:8" ht="13" x14ac:dyDescent="0.3">
      <c r="A17" s="242">
        <f t="shared" si="2"/>
        <v>12</v>
      </c>
      <c r="B17" s="242"/>
      <c r="C17" s="240">
        <v>930.2</v>
      </c>
      <c r="D17" s="238" t="s">
        <v>538</v>
      </c>
      <c r="E17" s="245">
        <v>14071912</v>
      </c>
      <c r="F17" s="240" t="s">
        <v>539</v>
      </c>
      <c r="G17" s="247">
        <f t="shared" si="1"/>
        <v>5984741</v>
      </c>
      <c r="H17" s="247">
        <f t="shared" si="0"/>
        <v>8087171</v>
      </c>
    </row>
    <row r="18" spans="1:8" ht="13" x14ac:dyDescent="0.3">
      <c r="A18" s="242">
        <f t="shared" si="2"/>
        <v>13</v>
      </c>
      <c r="B18" s="242"/>
      <c r="C18" s="240">
        <v>931</v>
      </c>
      <c r="D18" s="238" t="s">
        <v>540</v>
      </c>
      <c r="E18" s="245">
        <v>8581490</v>
      </c>
      <c r="F18" s="240" t="s">
        <v>541</v>
      </c>
      <c r="G18" s="247">
        <f t="shared" si="1"/>
        <v>12016812.699999999</v>
      </c>
      <c r="H18" s="247">
        <f t="shared" si="0"/>
        <v>-3435322.6999999993</v>
      </c>
    </row>
    <row r="19" spans="1:8" ht="13" x14ac:dyDescent="0.3">
      <c r="A19" s="242">
        <f t="shared" si="2"/>
        <v>14</v>
      </c>
      <c r="B19" s="242"/>
      <c r="C19" s="240">
        <v>935</v>
      </c>
      <c r="D19" s="238" t="s">
        <v>542</v>
      </c>
      <c r="E19" s="249">
        <v>26158179</v>
      </c>
      <c r="F19" s="240" t="s">
        <v>543</v>
      </c>
      <c r="G19" s="247">
        <f t="shared" si="1"/>
        <v>811671.73</v>
      </c>
      <c r="H19" s="250">
        <f t="shared" si="0"/>
        <v>25346507.27</v>
      </c>
    </row>
    <row r="20" spans="1:8" ht="13" x14ac:dyDescent="0.3">
      <c r="A20" s="242">
        <f t="shared" si="2"/>
        <v>15</v>
      </c>
      <c r="E20" s="247">
        <f>SUM(E6:E19)</f>
        <v>1675347648</v>
      </c>
      <c r="G20" s="251" t="s">
        <v>544</v>
      </c>
      <c r="H20" s="246">
        <f>SUM(H6:H19)</f>
        <v>1219029953.1299388</v>
      </c>
    </row>
    <row r="22" spans="1:8" ht="13" x14ac:dyDescent="0.3">
      <c r="F22" s="244" t="s">
        <v>96</v>
      </c>
      <c r="G22" s="244" t="s">
        <v>98</v>
      </c>
    </row>
    <row r="23" spans="1:8" ht="13" x14ac:dyDescent="0.3">
      <c r="A23" s="242">
        <f>A20+1</f>
        <v>16</v>
      </c>
      <c r="E23" s="251" t="s">
        <v>545</v>
      </c>
      <c r="F23" s="246">
        <f>H20</f>
        <v>1219029953.1299388</v>
      </c>
      <c r="G23" s="248" t="str">
        <f>"Line "&amp;A20&amp;""</f>
        <v>Line 15</v>
      </c>
    </row>
    <row r="24" spans="1:8" ht="13" x14ac:dyDescent="0.3">
      <c r="A24" s="242">
        <f t="shared" ref="A24:A30" si="3">A23+1</f>
        <v>17</v>
      </c>
      <c r="E24" s="251" t="s">
        <v>546</v>
      </c>
      <c r="F24" s="250">
        <f>E10</f>
        <v>15607270</v>
      </c>
      <c r="G24" s="248" t="str">
        <f>"Line "&amp;A10&amp;""</f>
        <v>Line 5</v>
      </c>
    </row>
    <row r="25" spans="1:8" ht="13" x14ac:dyDescent="0.3">
      <c r="A25" s="242">
        <f t="shared" si="3"/>
        <v>18</v>
      </c>
      <c r="E25" s="251" t="s">
        <v>547</v>
      </c>
      <c r="F25" s="246">
        <f>F23-F24</f>
        <v>1203422683.1299388</v>
      </c>
      <c r="G25" s="248" t="str">
        <f>"Line "&amp;A23&amp;" - Line "&amp;A24&amp;""</f>
        <v>Line 16 - Line 17</v>
      </c>
    </row>
    <row r="26" spans="1:8" ht="13" x14ac:dyDescent="0.3">
      <c r="A26" s="242">
        <f t="shared" si="3"/>
        <v>19</v>
      </c>
      <c r="E26" s="251" t="s">
        <v>548</v>
      </c>
      <c r="F26" s="252">
        <v>6.5693761162178274E-2</v>
      </c>
      <c r="G26" s="248" t="s">
        <v>549</v>
      </c>
    </row>
    <row r="27" spans="1:8" ht="13" x14ac:dyDescent="0.3">
      <c r="A27" s="242">
        <f t="shared" si="3"/>
        <v>20</v>
      </c>
      <c r="E27" s="251" t="s">
        <v>550</v>
      </c>
      <c r="F27" s="246">
        <f>F25*F26</f>
        <v>79057362.322685942</v>
      </c>
      <c r="G27" s="248" t="str">
        <f>"Line "&amp;A25&amp;" * Line "&amp;A26&amp;""</f>
        <v>Line 18 * Line 19</v>
      </c>
    </row>
    <row r="28" spans="1:8" ht="13" x14ac:dyDescent="0.3">
      <c r="A28" s="242">
        <f t="shared" si="3"/>
        <v>21</v>
      </c>
      <c r="E28" s="251" t="s">
        <v>551</v>
      </c>
      <c r="F28" s="253">
        <v>0.18668153702052509</v>
      </c>
      <c r="G28" s="248" t="s">
        <v>552</v>
      </c>
    </row>
    <row r="29" spans="1:8" ht="13" x14ac:dyDescent="0.3">
      <c r="A29" s="242">
        <f t="shared" si="3"/>
        <v>22</v>
      </c>
      <c r="E29" s="251" t="s">
        <v>553</v>
      </c>
      <c r="F29" s="250">
        <f>H10*F28</f>
        <v>2913589.1522943308</v>
      </c>
      <c r="G29" s="248" t="str">
        <f>"Line "&amp;A10&amp;" Col 4 * Line "&amp;A28&amp;""</f>
        <v>Line 5 Col 4 * Line 21</v>
      </c>
    </row>
    <row r="30" spans="1:8" ht="13" x14ac:dyDescent="0.3">
      <c r="A30" s="242">
        <f t="shared" si="3"/>
        <v>23</v>
      </c>
      <c r="E30" s="251" t="s">
        <v>554</v>
      </c>
      <c r="F30" s="246">
        <f>F27+F29</f>
        <v>81970951.47498028</v>
      </c>
      <c r="G30" s="248" t="str">
        <f>"Line "&amp;A27&amp;" + Line "&amp;A29&amp;""</f>
        <v>Line 20 + Line 22</v>
      </c>
    </row>
    <row r="32" spans="1:8" ht="13" x14ac:dyDescent="0.3">
      <c r="B32" s="237" t="s">
        <v>555</v>
      </c>
      <c r="E32" s="241" t="s">
        <v>12</v>
      </c>
      <c r="F32" s="241" t="s">
        <v>343</v>
      </c>
      <c r="G32" s="241" t="s">
        <v>361</v>
      </c>
      <c r="H32" s="241" t="s">
        <v>13</v>
      </c>
    </row>
    <row r="33" spans="1:11" ht="13" x14ac:dyDescent="0.3">
      <c r="B33" s="237"/>
      <c r="E33" s="242" t="s">
        <v>556</v>
      </c>
      <c r="F33" s="241"/>
      <c r="G33" s="241"/>
      <c r="H33" s="241"/>
    </row>
    <row r="34" spans="1:11" ht="13" x14ac:dyDescent="0.3">
      <c r="E34" s="242" t="s">
        <v>557</v>
      </c>
    </row>
    <row r="35" spans="1:11" ht="13" x14ac:dyDescent="0.3">
      <c r="D35" s="242" t="s">
        <v>558</v>
      </c>
      <c r="E35" s="242" t="s">
        <v>559</v>
      </c>
      <c r="F35" s="242" t="s">
        <v>560</v>
      </c>
      <c r="G35" s="242"/>
      <c r="H35" s="242"/>
    </row>
    <row r="36" spans="1:11" ht="13.5" thickBot="1" x14ac:dyDescent="0.35">
      <c r="C36" s="244" t="s">
        <v>513</v>
      </c>
      <c r="D36" s="241" t="s">
        <v>561</v>
      </c>
      <c r="E36" s="244" t="s">
        <v>562</v>
      </c>
      <c r="F36" s="244" t="s">
        <v>563</v>
      </c>
      <c r="G36" s="244" t="s">
        <v>564</v>
      </c>
      <c r="H36" s="244" t="s">
        <v>565</v>
      </c>
      <c r="I36" s="244" t="s">
        <v>107</v>
      </c>
    </row>
    <row r="37" spans="1:11" ht="13.5" thickBot="1" x14ac:dyDescent="0.35">
      <c r="A37" s="242">
        <f>A30+1</f>
        <v>24</v>
      </c>
      <c r="C37" s="240">
        <v>920</v>
      </c>
      <c r="D37" s="254">
        <f>SUM(E37:H37)</f>
        <v>213480967.18284771</v>
      </c>
      <c r="E37" s="255">
        <v>79510926.055259317</v>
      </c>
      <c r="F37" s="57"/>
      <c r="G37" s="247">
        <f>G59</f>
        <v>133970041.12758839</v>
      </c>
      <c r="H37" s="57"/>
      <c r="I37" s="248" t="s">
        <v>566</v>
      </c>
    </row>
    <row r="38" spans="1:11" ht="13" x14ac:dyDescent="0.3">
      <c r="A38" s="242">
        <f>A37+1</f>
        <v>25</v>
      </c>
      <c r="C38" s="240">
        <v>921</v>
      </c>
      <c r="D38" s="256">
        <f t="shared" ref="D38:D50" si="4">SUM(E38:H38)</f>
        <v>2351967.084740696</v>
      </c>
      <c r="E38" s="57">
        <v>2351967.084740696</v>
      </c>
      <c r="F38" s="57"/>
      <c r="G38" s="57">
        <v>0</v>
      </c>
      <c r="H38" s="57"/>
      <c r="I38" s="248"/>
    </row>
    <row r="39" spans="1:11" ht="13.5" thickBot="1" x14ac:dyDescent="0.35">
      <c r="A39" s="242">
        <f t="shared" ref="A39:A50" si="5">A38+1</f>
        <v>26</v>
      </c>
      <c r="C39" s="240">
        <v>922</v>
      </c>
      <c r="D39" s="256">
        <f t="shared" si="4"/>
        <v>-77722052.712449998</v>
      </c>
      <c r="E39" s="57">
        <v>-10359095.712450001</v>
      </c>
      <c r="F39" s="57"/>
      <c r="G39" s="66">
        <v>-67362957</v>
      </c>
      <c r="H39" s="57"/>
      <c r="I39" s="248"/>
    </row>
    <row r="40" spans="1:11" ht="13.5" thickBot="1" x14ac:dyDescent="0.35">
      <c r="A40" s="242">
        <f t="shared" si="5"/>
        <v>27</v>
      </c>
      <c r="C40" s="240">
        <v>923</v>
      </c>
      <c r="D40" s="254">
        <f t="shared" si="4"/>
        <v>8247856.2878677836</v>
      </c>
      <c r="E40" s="255">
        <v>8247856.2878677836</v>
      </c>
      <c r="F40" s="57"/>
      <c r="G40" s="57">
        <v>0</v>
      </c>
      <c r="H40" s="57"/>
      <c r="I40" s="248"/>
      <c r="J40" s="244"/>
      <c r="K40" s="244"/>
    </row>
    <row r="41" spans="1:11" ht="13.5" thickBot="1" x14ac:dyDescent="0.35">
      <c r="A41" s="242">
        <f t="shared" si="5"/>
        <v>28</v>
      </c>
      <c r="C41" s="240">
        <v>924</v>
      </c>
      <c r="D41" s="256">
        <f t="shared" si="4"/>
        <v>0</v>
      </c>
      <c r="E41" s="57">
        <v>0</v>
      </c>
      <c r="F41" s="57"/>
      <c r="G41" s="57">
        <v>0</v>
      </c>
      <c r="H41" s="57"/>
      <c r="I41" s="248"/>
      <c r="K41" s="247"/>
    </row>
    <row r="42" spans="1:11" ht="13.5" thickBot="1" x14ac:dyDescent="0.35">
      <c r="A42" s="242">
        <f t="shared" si="5"/>
        <v>29</v>
      </c>
      <c r="C42" s="240">
        <v>925</v>
      </c>
      <c r="D42" s="254">
        <f t="shared" si="4"/>
        <v>168752277.52000001</v>
      </c>
      <c r="E42" s="255">
        <v>168752277.52000001</v>
      </c>
      <c r="F42" s="57"/>
      <c r="G42" s="57">
        <v>0</v>
      </c>
      <c r="H42" s="57"/>
      <c r="I42" s="248"/>
      <c r="K42" s="247"/>
    </row>
    <row r="43" spans="1:11" ht="13" x14ac:dyDescent="0.3">
      <c r="A43" s="242">
        <f t="shared" si="5"/>
        <v>30</v>
      </c>
      <c r="C43" s="240">
        <v>926</v>
      </c>
      <c r="D43" s="256">
        <f t="shared" si="4"/>
        <v>3580760.4670550358</v>
      </c>
      <c r="E43" s="57">
        <v>15470760.467055036</v>
      </c>
      <c r="F43" s="57"/>
      <c r="G43" s="57">
        <v>0</v>
      </c>
      <c r="H43" s="247">
        <f>E72</f>
        <v>-11890000</v>
      </c>
      <c r="I43" s="248" t="s">
        <v>455</v>
      </c>
      <c r="K43" s="247"/>
    </row>
    <row r="44" spans="1:11" ht="13" x14ac:dyDescent="0.3">
      <c r="A44" s="242">
        <f t="shared" si="5"/>
        <v>31</v>
      </c>
      <c r="C44" s="240">
        <v>927</v>
      </c>
      <c r="D44" s="256">
        <f t="shared" si="4"/>
        <v>104335318</v>
      </c>
      <c r="E44" s="247">
        <v>0</v>
      </c>
      <c r="F44" s="247">
        <f>E13</f>
        <v>104335318</v>
      </c>
      <c r="G44" s="247">
        <v>0</v>
      </c>
      <c r="H44" s="247">
        <v>0</v>
      </c>
      <c r="I44" s="248" t="s">
        <v>14</v>
      </c>
      <c r="K44" s="247"/>
    </row>
    <row r="45" spans="1:11" ht="13" x14ac:dyDescent="0.3">
      <c r="A45" s="242">
        <f t="shared" si="5"/>
        <v>32</v>
      </c>
      <c r="C45" s="240">
        <v>928</v>
      </c>
      <c r="D45" s="256">
        <f t="shared" si="4"/>
        <v>9979027.6099999994</v>
      </c>
      <c r="E45" s="57">
        <v>9979027.6099999994</v>
      </c>
      <c r="F45" s="57"/>
      <c r="G45" s="57">
        <v>0</v>
      </c>
      <c r="H45" s="57"/>
      <c r="I45" s="248"/>
      <c r="K45" s="247"/>
    </row>
    <row r="46" spans="1:11" ht="13" x14ac:dyDescent="0.3">
      <c r="A46" s="242">
        <f t="shared" si="5"/>
        <v>33</v>
      </c>
      <c r="C46" s="240">
        <v>929</v>
      </c>
      <c r="D46" s="256">
        <f t="shared" si="4"/>
        <v>0</v>
      </c>
      <c r="E46" s="57">
        <v>0</v>
      </c>
      <c r="F46" s="57"/>
      <c r="G46" s="57">
        <v>0</v>
      </c>
      <c r="H46" s="57"/>
      <c r="I46" s="248"/>
      <c r="K46" s="247"/>
    </row>
    <row r="47" spans="1:11" ht="13" x14ac:dyDescent="0.3">
      <c r="A47" s="242">
        <f t="shared" si="5"/>
        <v>34</v>
      </c>
      <c r="C47" s="240">
        <v>930.1</v>
      </c>
      <c r="D47" s="256">
        <f t="shared" si="4"/>
        <v>4498348</v>
      </c>
      <c r="E47" s="57">
        <v>4498348</v>
      </c>
      <c r="F47" s="57"/>
      <c r="G47" s="57">
        <v>0</v>
      </c>
      <c r="H47" s="57"/>
      <c r="I47" s="248"/>
      <c r="K47" s="247"/>
    </row>
    <row r="48" spans="1:11" ht="13" x14ac:dyDescent="0.3">
      <c r="A48" s="242">
        <f t="shared" si="5"/>
        <v>35</v>
      </c>
      <c r="C48" s="240">
        <v>930.2</v>
      </c>
      <c r="D48" s="256">
        <f t="shared" si="4"/>
        <v>5984741</v>
      </c>
      <c r="E48" s="57">
        <v>5984741</v>
      </c>
      <c r="F48" s="57"/>
      <c r="G48" s="57">
        <v>0</v>
      </c>
      <c r="H48" s="57"/>
      <c r="I48" s="248"/>
      <c r="J48" s="247"/>
    </row>
    <row r="49" spans="1:10" ht="13" x14ac:dyDescent="0.3">
      <c r="A49" s="242">
        <f t="shared" si="5"/>
        <v>36</v>
      </c>
      <c r="C49" s="240">
        <v>931</v>
      </c>
      <c r="D49" s="256">
        <f t="shared" si="4"/>
        <v>12016812.699999999</v>
      </c>
      <c r="E49" s="57">
        <v>12016812.699999999</v>
      </c>
      <c r="F49" s="57"/>
      <c r="G49" s="57">
        <v>0</v>
      </c>
      <c r="H49" s="57"/>
      <c r="I49" s="248"/>
      <c r="J49" s="247"/>
    </row>
    <row r="50" spans="1:10" ht="13" x14ac:dyDescent="0.3">
      <c r="A50" s="242">
        <f t="shared" si="5"/>
        <v>37</v>
      </c>
      <c r="C50" s="240">
        <v>935</v>
      </c>
      <c r="D50" s="256">
        <f t="shared" si="4"/>
        <v>811671.73</v>
      </c>
      <c r="E50" s="57">
        <v>811671.73</v>
      </c>
      <c r="F50" s="57"/>
      <c r="G50" s="57">
        <v>0</v>
      </c>
      <c r="H50" s="57"/>
      <c r="I50" s="248"/>
    </row>
    <row r="51" spans="1:10" ht="13" x14ac:dyDescent="0.3">
      <c r="A51" s="242"/>
      <c r="C51" s="240"/>
      <c r="D51" s="256"/>
      <c r="E51" s="57"/>
      <c r="F51" s="57"/>
      <c r="G51" s="57"/>
      <c r="H51" s="57"/>
      <c r="I51" s="248"/>
    </row>
    <row r="52" spans="1:10" ht="13" x14ac:dyDescent="0.3">
      <c r="A52" s="242"/>
      <c r="C52" s="240"/>
      <c r="D52" s="256"/>
      <c r="E52" s="247"/>
      <c r="F52" s="247"/>
      <c r="G52" s="247"/>
      <c r="H52" s="247"/>
      <c r="I52" s="248"/>
    </row>
    <row r="53" spans="1:10" ht="13" x14ac:dyDescent="0.3">
      <c r="B53" s="237" t="s">
        <v>567</v>
      </c>
    </row>
    <row r="54" spans="1:10" ht="13" x14ac:dyDescent="0.3">
      <c r="B54" s="237"/>
      <c r="C54" s="238" t="s">
        <v>568</v>
      </c>
      <c r="G54" s="242"/>
      <c r="H54" s="242"/>
    </row>
    <row r="55" spans="1:10" ht="13" x14ac:dyDescent="0.3">
      <c r="B55" s="237"/>
      <c r="C55" s="50" t="s">
        <v>569</v>
      </c>
      <c r="D55" s="50"/>
      <c r="E55" s="50"/>
      <c r="G55" s="242"/>
      <c r="H55" s="242"/>
    </row>
    <row r="56" spans="1:10" ht="13" x14ac:dyDescent="0.3">
      <c r="B56" s="237"/>
      <c r="G56" s="244" t="s">
        <v>96</v>
      </c>
      <c r="H56" s="244" t="s">
        <v>98</v>
      </c>
    </row>
    <row r="57" spans="1:10" ht="13" x14ac:dyDescent="0.3">
      <c r="A57" s="242"/>
      <c r="B57" s="242" t="s">
        <v>187</v>
      </c>
      <c r="F57" s="251" t="s">
        <v>570</v>
      </c>
      <c r="G57" s="57">
        <v>148050456</v>
      </c>
      <c r="H57" s="248" t="s">
        <v>300</v>
      </c>
    </row>
    <row r="58" spans="1:10" ht="13" x14ac:dyDescent="0.3">
      <c r="A58" s="242"/>
      <c r="B58" s="242" t="s">
        <v>190</v>
      </c>
      <c r="F58" s="251" t="s">
        <v>571</v>
      </c>
      <c r="G58" s="250">
        <f>E62</f>
        <v>14080414.872411605</v>
      </c>
      <c r="H58" s="248" t="str">
        <f>"Note 2, "&amp;B62&amp;""</f>
        <v>Note 2, d</v>
      </c>
    </row>
    <row r="59" spans="1:10" ht="13" x14ac:dyDescent="0.3">
      <c r="A59" s="242"/>
      <c r="B59" s="242" t="s">
        <v>193</v>
      </c>
      <c r="F59" s="251" t="s">
        <v>572</v>
      </c>
      <c r="G59" s="247">
        <f>G57-G58</f>
        <v>133970041.12758839</v>
      </c>
    </row>
    <row r="60" spans="1:10" ht="13" x14ac:dyDescent="0.3">
      <c r="A60" s="242"/>
      <c r="C60" s="50" t="s">
        <v>573</v>
      </c>
      <c r="D60" s="50"/>
      <c r="E60" s="50"/>
      <c r="G60" s="247"/>
    </row>
    <row r="61" spans="1:10" ht="13" x14ac:dyDescent="0.3">
      <c r="A61" s="242"/>
      <c r="D61" s="257" t="s">
        <v>574</v>
      </c>
      <c r="E61" s="244" t="s">
        <v>96</v>
      </c>
      <c r="F61" s="244" t="s">
        <v>98</v>
      </c>
      <c r="G61" s="247"/>
    </row>
    <row r="62" spans="1:10" ht="13" x14ac:dyDescent="0.3">
      <c r="A62" s="242"/>
      <c r="B62" s="242" t="s">
        <v>195</v>
      </c>
      <c r="D62" s="238" t="s">
        <v>575</v>
      </c>
      <c r="E62" s="66">
        <v>14080414.872411605</v>
      </c>
      <c r="F62" s="248" t="s">
        <v>576</v>
      </c>
      <c r="G62" s="247"/>
    </row>
    <row r="63" spans="1:10" ht="13" x14ac:dyDescent="0.3">
      <c r="A63" s="242"/>
      <c r="B63" s="242" t="s">
        <v>199</v>
      </c>
      <c r="D63" s="238" t="s">
        <v>577</v>
      </c>
      <c r="E63" s="66">
        <v>6519087.5034648124</v>
      </c>
      <c r="F63" s="248" t="s">
        <v>576</v>
      </c>
      <c r="G63" s="247"/>
      <c r="I63" s="102"/>
    </row>
    <row r="64" spans="1:10" ht="13" x14ac:dyDescent="0.3">
      <c r="A64" s="242"/>
      <c r="B64" s="242" t="s">
        <v>202</v>
      </c>
      <c r="D64" s="238" t="s">
        <v>578</v>
      </c>
      <c r="E64" s="103">
        <v>22710657.624123573</v>
      </c>
      <c r="F64" s="248" t="s">
        <v>576</v>
      </c>
      <c r="G64" s="247"/>
      <c r="I64" s="247"/>
    </row>
    <row r="65" spans="1:7" ht="13" x14ac:dyDescent="0.3">
      <c r="A65" s="242"/>
      <c r="B65" s="242" t="s">
        <v>205</v>
      </c>
      <c r="D65" s="251" t="s">
        <v>84</v>
      </c>
      <c r="E65" s="247">
        <f>SUM(E62:E64)</f>
        <v>43310159.999999993</v>
      </c>
      <c r="F65" s="248" t="str">
        <f>"Sum of "&amp;B62&amp;" to "&amp;B64&amp;""</f>
        <v>Sum of d to f</v>
      </c>
      <c r="G65" s="247"/>
    </row>
    <row r="67" spans="1:7" ht="13" x14ac:dyDescent="0.3">
      <c r="B67" s="237" t="s">
        <v>579</v>
      </c>
    </row>
    <row r="68" spans="1:7" ht="13" x14ac:dyDescent="0.3">
      <c r="E68" s="244" t="s">
        <v>96</v>
      </c>
      <c r="F68" s="257" t="s">
        <v>580</v>
      </c>
    </row>
    <row r="69" spans="1:7" ht="13" x14ac:dyDescent="0.3">
      <c r="A69" s="242"/>
      <c r="B69" s="242" t="s">
        <v>187</v>
      </c>
      <c r="D69" s="251" t="s">
        <v>581</v>
      </c>
      <c r="E69" s="247">
        <v>6329000</v>
      </c>
      <c r="F69" s="248" t="s">
        <v>582</v>
      </c>
      <c r="G69" s="258"/>
    </row>
    <row r="70" spans="1:7" ht="13" x14ac:dyDescent="0.3">
      <c r="A70" s="242"/>
      <c r="B70" s="242" t="s">
        <v>190</v>
      </c>
      <c r="D70" s="251" t="s">
        <v>583</v>
      </c>
      <c r="E70" s="259">
        <v>18219000</v>
      </c>
      <c r="F70" s="248" t="s">
        <v>584</v>
      </c>
    </row>
    <row r="71" spans="1:7" ht="13" x14ac:dyDescent="0.3">
      <c r="A71" s="242"/>
      <c r="B71" s="242" t="s">
        <v>193</v>
      </c>
      <c r="D71" s="251" t="s">
        <v>585</v>
      </c>
      <c r="E71" s="260">
        <v>6329000</v>
      </c>
      <c r="F71" s="248" t="s">
        <v>300</v>
      </c>
    </row>
    <row r="72" spans="1:7" ht="13" x14ac:dyDescent="0.3">
      <c r="A72" s="242"/>
      <c r="B72" s="242" t="s">
        <v>195</v>
      </c>
      <c r="D72" s="251" t="s">
        <v>586</v>
      </c>
      <c r="E72" s="247">
        <f>E71-E70</f>
        <v>-11890000</v>
      </c>
      <c r="F72" s="248" t="str">
        <f>""&amp;B71&amp;" - "&amp;B70&amp;""</f>
        <v>c - b</v>
      </c>
    </row>
    <row r="73" spans="1:7" ht="13" x14ac:dyDescent="0.3">
      <c r="A73" s="242"/>
      <c r="B73" s="237" t="s">
        <v>587</v>
      </c>
      <c r="D73" s="251"/>
      <c r="E73" s="247"/>
      <c r="F73" s="248"/>
    </row>
    <row r="74" spans="1:7" ht="13" x14ac:dyDescent="0.3">
      <c r="A74" s="242"/>
      <c r="B74" s="237"/>
      <c r="C74" s="238" t="str">
        <f>"Amount in Line "&amp;A44&amp;",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4" s="251"/>
      <c r="E74" s="247"/>
      <c r="F74" s="248"/>
    </row>
    <row r="75" spans="1:7" ht="13" x14ac:dyDescent="0.3">
      <c r="A75" s="242"/>
      <c r="B75" s="237"/>
      <c r="C75" s="238" t="s">
        <v>588</v>
      </c>
      <c r="D75" s="251"/>
      <c r="E75" s="247"/>
      <c r="F75" s="248"/>
    </row>
    <row r="77" spans="1:7" ht="13" x14ac:dyDescent="0.3">
      <c r="B77" s="237" t="s">
        <v>175</v>
      </c>
    </row>
    <row r="78" spans="1:7" x14ac:dyDescent="0.25">
      <c r="C78" s="238" t="str">
        <f>"1) Enter amounts of A&amp;G expenses from FERC Form 1 in Lines "&amp;A6&amp;" to "&amp;A19&amp;"."</f>
        <v>1) Enter amounts of A&amp;G expenses from FERC Form 1 in Lines 1 to 14.</v>
      </c>
    </row>
    <row r="79" spans="1:7" x14ac:dyDescent="0.25">
      <c r="C79" s="238" t="s">
        <v>589</v>
      </c>
      <c r="G79" s="238" t="str">
        <f>"Column 3, Line "&amp;A37&amp;""</f>
        <v>Column 3, Line 24</v>
      </c>
    </row>
    <row r="80" spans="1:7" x14ac:dyDescent="0.25">
      <c r="C80" s="248" t="str">
        <f>"is calculated in Note 2.  The PBOPs exclusion in Column 4, Line "&amp;A43&amp;" is calculated in Note 3."</f>
        <v>is calculated in Note 2.  The PBOPs exclusion in Column 4, Line 30 is calculated in Note 3.</v>
      </c>
    </row>
    <row r="81" spans="3:7" x14ac:dyDescent="0.25">
      <c r="C81" s="248" t="s">
        <v>590</v>
      </c>
    </row>
    <row r="82" spans="3:7" x14ac:dyDescent="0.25">
      <c r="C82" s="248" t="s">
        <v>591</v>
      </c>
      <c r="D82" s="251"/>
      <c r="E82" s="247"/>
      <c r="F82" s="248"/>
    </row>
    <row r="83" spans="3:7" x14ac:dyDescent="0.25">
      <c r="C83" s="248" t="s">
        <v>592</v>
      </c>
      <c r="D83" s="251"/>
      <c r="E83" s="247"/>
      <c r="F83" s="248"/>
    </row>
    <row r="84" spans="3:7" x14ac:dyDescent="0.25">
      <c r="C84" s="248" t="s">
        <v>593</v>
      </c>
    </row>
    <row r="85" spans="3:7" x14ac:dyDescent="0.25">
      <c r="C85" s="248" t="s">
        <v>594</v>
      </c>
    </row>
    <row r="86" spans="3:7" x14ac:dyDescent="0.25">
      <c r="C86" s="248" t="s">
        <v>595</v>
      </c>
    </row>
    <row r="87" spans="3:7" x14ac:dyDescent="0.25">
      <c r="C87" s="248" t="s">
        <v>596</v>
      </c>
    </row>
    <row r="88" spans="3:7" x14ac:dyDescent="0.25">
      <c r="C88" s="248" t="s">
        <v>597</v>
      </c>
    </row>
    <row r="89" spans="3:7" x14ac:dyDescent="0.25">
      <c r="C89" s="248" t="s">
        <v>598</v>
      </c>
      <c r="E89" s="261"/>
      <c r="F89" s="261"/>
      <c r="G89" s="261"/>
    </row>
    <row r="90" spans="3:7" x14ac:dyDescent="0.25">
      <c r="C90" s="262" t="s">
        <v>599</v>
      </c>
      <c r="E90" s="261"/>
      <c r="F90" s="261"/>
      <c r="G90" s="261"/>
    </row>
    <row r="91" spans="3:7" x14ac:dyDescent="0.25">
      <c r="C91" s="262" t="s">
        <v>600</v>
      </c>
      <c r="E91" s="261"/>
      <c r="F91" s="261"/>
      <c r="G91" s="261"/>
    </row>
    <row r="92" spans="3:7" x14ac:dyDescent="0.25">
      <c r="C92" s="262" t="s">
        <v>601</v>
      </c>
      <c r="E92" s="261"/>
      <c r="F92" s="261"/>
      <c r="G92" s="261"/>
    </row>
    <row r="93" spans="3:7" x14ac:dyDescent="0.25">
      <c r="C93" s="248" t="s">
        <v>602</v>
      </c>
      <c r="E93" s="261"/>
      <c r="F93" s="261"/>
      <c r="G93" s="261"/>
    </row>
    <row r="94" spans="3:7" x14ac:dyDescent="0.25">
      <c r="C94" s="262" t="s">
        <v>603</v>
      </c>
      <c r="E94" s="261"/>
      <c r="F94" s="261"/>
      <c r="G94" s="261"/>
    </row>
    <row r="95" spans="3:7" x14ac:dyDescent="0.25">
      <c r="C95" s="262" t="s">
        <v>604</v>
      </c>
      <c r="E95" s="261"/>
      <c r="F95" s="261"/>
      <c r="G95" s="261"/>
    </row>
    <row r="96" spans="3:7" x14ac:dyDescent="0.25">
      <c r="C96" s="262" t="s">
        <v>605</v>
      </c>
      <c r="E96" s="261"/>
      <c r="F96" s="261"/>
      <c r="G96" s="261"/>
    </row>
    <row r="97" spans="3:10" x14ac:dyDescent="0.25">
      <c r="C97" s="262" t="s">
        <v>606</v>
      </c>
      <c r="E97" s="261"/>
      <c r="F97" s="261"/>
      <c r="G97" s="261"/>
    </row>
    <row r="98" spans="3:10" ht="13" x14ac:dyDescent="0.3">
      <c r="C98" s="104" t="s">
        <v>607</v>
      </c>
      <c r="D98" s="50"/>
      <c r="E98" s="50"/>
      <c r="F98" s="50"/>
      <c r="G98" s="50"/>
      <c r="H98" s="50"/>
      <c r="I98" s="50"/>
      <c r="J98" s="50"/>
    </row>
    <row r="99" spans="3:10" x14ac:dyDescent="0.25">
      <c r="C99" s="238" t="s">
        <v>608</v>
      </c>
    </row>
    <row r="100" spans="3:10" x14ac:dyDescent="0.25">
      <c r="C100" s="104" t="s">
        <v>609</v>
      </c>
      <c r="D100" s="50"/>
      <c r="E100" s="50"/>
      <c r="F100" s="50"/>
      <c r="G100" s="50"/>
      <c r="H100" s="50"/>
      <c r="I100" s="50"/>
    </row>
    <row r="101" spans="3:10" x14ac:dyDescent="0.25">
      <c r="C101" s="238" t="str">
        <f>"4) Determine the PBOPs exclusion.  The authorized amount of PBOPs expense (line "&amp;B69&amp;") may only be revised"</f>
        <v>4) Determine the PBOPs exclusion.  The authorized amount of PBOPs expense (line a) may only be revised</v>
      </c>
    </row>
    <row r="102" spans="3:10" x14ac:dyDescent="0.25">
      <c r="C102" s="238" t="s">
        <v>610</v>
      </c>
    </row>
    <row r="103" spans="3:10" x14ac:dyDescent="0.25">
      <c r="C103" s="238" t="s">
        <v>611</v>
      </c>
    </row>
    <row r="104" spans="3:10" x14ac:dyDescent="0.25">
      <c r="C104" s="238" t="s">
        <v>612</v>
      </c>
      <c r="I104" s="73" t="s">
        <v>613</v>
      </c>
      <c r="J104" s="73"/>
    </row>
    <row r="105" spans="3:10" x14ac:dyDescent="0.25">
      <c r="C105" s="238" t="s">
        <v>614</v>
      </c>
    </row>
  </sheetData>
  <pageMargins left="0.75" right="0.75" top="1" bottom="1" header="0.5" footer="0.5"/>
  <pageSetup scale="68" orientation="landscape" cellComments="asDisplayed" r:id="rId1"/>
  <headerFooter alignWithMargins="0">
    <oddHeader xml:space="preserve">&amp;CSchedule 20
Administrative and General Expenses
(TO2018 Wildfire Adj)
&amp;RTO2021 Annual Update
Attachment 4
WP-Schedule 3-One Time Adjustment Transition
Page &amp;P of &amp;N
</oddHeader>
    <oddFooter>&amp;R&amp;A</oddFooter>
  </headerFooter>
  <rowBreaks count="2" manualBreakCount="2">
    <brk id="52" max="9" man="1"/>
    <brk id="76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89931-F329-4685-8463-FC35D4ED9E2D}">
  <sheetPr codeName="Sheet9">
    <tabColor rgb="FFCCECFF"/>
  </sheetPr>
  <dimension ref="A1:N40"/>
  <sheetViews>
    <sheetView zoomScaleNormal="100" workbookViewId="0"/>
  </sheetViews>
  <sheetFormatPr defaultRowHeight="12.5" x14ac:dyDescent="0.25"/>
  <cols>
    <col min="1" max="1" width="4.54296875" style="160" customWidth="1"/>
    <col min="2" max="2" width="1.54296875" style="160" customWidth="1"/>
    <col min="3" max="3" width="46" style="160" customWidth="1"/>
    <col min="4" max="4" width="1.54296875" style="160" customWidth="1"/>
    <col min="5" max="5" width="34" style="160" customWidth="1"/>
    <col min="6" max="6" width="1.54296875" style="160" customWidth="1"/>
    <col min="7" max="7" width="16.54296875" style="160" customWidth="1"/>
    <col min="8" max="8" width="1.54296875" style="160" customWidth="1"/>
    <col min="9" max="9" width="16.54296875" style="160" customWidth="1"/>
    <col min="10" max="10" width="1.54296875" style="160" customWidth="1"/>
    <col min="11" max="11" width="16.54296875" style="160" customWidth="1"/>
    <col min="12" max="12" width="2.54296875" style="160" customWidth="1"/>
    <col min="13" max="13" width="35.453125" style="160" bestFit="1" customWidth="1"/>
    <col min="14" max="14" width="20.453125" style="160" customWidth="1"/>
    <col min="15" max="256" width="8.7265625" style="160"/>
    <col min="257" max="257" width="4.54296875" style="160" customWidth="1"/>
    <col min="258" max="258" width="1.54296875" style="160" customWidth="1"/>
    <col min="259" max="259" width="46" style="160" customWidth="1"/>
    <col min="260" max="260" width="1.54296875" style="160" customWidth="1"/>
    <col min="261" max="261" width="34" style="160" customWidth="1"/>
    <col min="262" max="262" width="1.54296875" style="160" customWidth="1"/>
    <col min="263" max="263" width="16" style="160" customWidth="1"/>
    <col min="264" max="264" width="1.54296875" style="160" customWidth="1"/>
    <col min="265" max="265" width="14" style="160" customWidth="1"/>
    <col min="266" max="266" width="1.54296875" style="160" customWidth="1"/>
    <col min="267" max="267" width="11.54296875" style="160" customWidth="1"/>
    <col min="268" max="268" width="2.54296875" style="160" customWidth="1"/>
    <col min="269" max="269" width="35.453125" style="160" bestFit="1" customWidth="1"/>
    <col min="270" max="270" width="20.453125" style="160" customWidth="1"/>
    <col min="271" max="512" width="8.7265625" style="160"/>
    <col min="513" max="513" width="4.54296875" style="160" customWidth="1"/>
    <col min="514" max="514" width="1.54296875" style="160" customWidth="1"/>
    <col min="515" max="515" width="46" style="160" customWidth="1"/>
    <col min="516" max="516" width="1.54296875" style="160" customWidth="1"/>
    <col min="517" max="517" width="34" style="160" customWidth="1"/>
    <col min="518" max="518" width="1.54296875" style="160" customWidth="1"/>
    <col min="519" max="519" width="16" style="160" customWidth="1"/>
    <col min="520" max="520" width="1.54296875" style="160" customWidth="1"/>
    <col min="521" max="521" width="14" style="160" customWidth="1"/>
    <col min="522" max="522" width="1.54296875" style="160" customWidth="1"/>
    <col min="523" max="523" width="11.54296875" style="160" customWidth="1"/>
    <col min="524" max="524" width="2.54296875" style="160" customWidth="1"/>
    <col min="525" max="525" width="35.453125" style="160" bestFit="1" customWidth="1"/>
    <col min="526" max="526" width="20.453125" style="160" customWidth="1"/>
    <col min="527" max="768" width="8.7265625" style="160"/>
    <col min="769" max="769" width="4.54296875" style="160" customWidth="1"/>
    <col min="770" max="770" width="1.54296875" style="160" customWidth="1"/>
    <col min="771" max="771" width="46" style="160" customWidth="1"/>
    <col min="772" max="772" width="1.54296875" style="160" customWidth="1"/>
    <col min="773" max="773" width="34" style="160" customWidth="1"/>
    <col min="774" max="774" width="1.54296875" style="160" customWidth="1"/>
    <col min="775" max="775" width="16" style="160" customWidth="1"/>
    <col min="776" max="776" width="1.54296875" style="160" customWidth="1"/>
    <col min="777" max="777" width="14" style="160" customWidth="1"/>
    <col min="778" max="778" width="1.54296875" style="160" customWidth="1"/>
    <col min="779" max="779" width="11.54296875" style="160" customWidth="1"/>
    <col min="780" max="780" width="2.54296875" style="160" customWidth="1"/>
    <col min="781" max="781" width="35.453125" style="160" bestFit="1" customWidth="1"/>
    <col min="782" max="782" width="20.453125" style="160" customWidth="1"/>
    <col min="783" max="1024" width="8.7265625" style="160"/>
    <col min="1025" max="1025" width="4.54296875" style="160" customWidth="1"/>
    <col min="1026" max="1026" width="1.54296875" style="160" customWidth="1"/>
    <col min="1027" max="1027" width="46" style="160" customWidth="1"/>
    <col min="1028" max="1028" width="1.54296875" style="160" customWidth="1"/>
    <col min="1029" max="1029" width="34" style="160" customWidth="1"/>
    <col min="1030" max="1030" width="1.54296875" style="160" customWidth="1"/>
    <col min="1031" max="1031" width="16" style="160" customWidth="1"/>
    <col min="1032" max="1032" width="1.54296875" style="160" customWidth="1"/>
    <col min="1033" max="1033" width="14" style="160" customWidth="1"/>
    <col min="1034" max="1034" width="1.54296875" style="160" customWidth="1"/>
    <col min="1035" max="1035" width="11.54296875" style="160" customWidth="1"/>
    <col min="1036" max="1036" width="2.54296875" style="160" customWidth="1"/>
    <col min="1037" max="1037" width="35.453125" style="160" bestFit="1" customWidth="1"/>
    <col min="1038" max="1038" width="20.453125" style="160" customWidth="1"/>
    <col min="1039" max="1280" width="8.7265625" style="160"/>
    <col min="1281" max="1281" width="4.54296875" style="160" customWidth="1"/>
    <col min="1282" max="1282" width="1.54296875" style="160" customWidth="1"/>
    <col min="1283" max="1283" width="46" style="160" customWidth="1"/>
    <col min="1284" max="1284" width="1.54296875" style="160" customWidth="1"/>
    <col min="1285" max="1285" width="34" style="160" customWidth="1"/>
    <col min="1286" max="1286" width="1.54296875" style="160" customWidth="1"/>
    <col min="1287" max="1287" width="16" style="160" customWidth="1"/>
    <col min="1288" max="1288" width="1.54296875" style="160" customWidth="1"/>
    <col min="1289" max="1289" width="14" style="160" customWidth="1"/>
    <col min="1290" max="1290" width="1.54296875" style="160" customWidth="1"/>
    <col min="1291" max="1291" width="11.54296875" style="160" customWidth="1"/>
    <col min="1292" max="1292" width="2.54296875" style="160" customWidth="1"/>
    <col min="1293" max="1293" width="35.453125" style="160" bestFit="1" customWidth="1"/>
    <col min="1294" max="1294" width="20.453125" style="160" customWidth="1"/>
    <col min="1295" max="1536" width="8.7265625" style="160"/>
    <col min="1537" max="1537" width="4.54296875" style="160" customWidth="1"/>
    <col min="1538" max="1538" width="1.54296875" style="160" customWidth="1"/>
    <col min="1539" max="1539" width="46" style="160" customWidth="1"/>
    <col min="1540" max="1540" width="1.54296875" style="160" customWidth="1"/>
    <col min="1541" max="1541" width="34" style="160" customWidth="1"/>
    <col min="1542" max="1542" width="1.54296875" style="160" customWidth="1"/>
    <col min="1543" max="1543" width="16" style="160" customWidth="1"/>
    <col min="1544" max="1544" width="1.54296875" style="160" customWidth="1"/>
    <col min="1545" max="1545" width="14" style="160" customWidth="1"/>
    <col min="1546" max="1546" width="1.54296875" style="160" customWidth="1"/>
    <col min="1547" max="1547" width="11.54296875" style="160" customWidth="1"/>
    <col min="1548" max="1548" width="2.54296875" style="160" customWidth="1"/>
    <col min="1549" max="1549" width="35.453125" style="160" bestFit="1" customWidth="1"/>
    <col min="1550" max="1550" width="20.453125" style="160" customWidth="1"/>
    <col min="1551" max="1792" width="8.7265625" style="160"/>
    <col min="1793" max="1793" width="4.54296875" style="160" customWidth="1"/>
    <col min="1794" max="1794" width="1.54296875" style="160" customWidth="1"/>
    <col min="1795" max="1795" width="46" style="160" customWidth="1"/>
    <col min="1796" max="1796" width="1.54296875" style="160" customWidth="1"/>
    <col min="1797" max="1797" width="34" style="160" customWidth="1"/>
    <col min="1798" max="1798" width="1.54296875" style="160" customWidth="1"/>
    <col min="1799" max="1799" width="16" style="160" customWidth="1"/>
    <col min="1800" max="1800" width="1.54296875" style="160" customWidth="1"/>
    <col min="1801" max="1801" width="14" style="160" customWidth="1"/>
    <col min="1802" max="1802" width="1.54296875" style="160" customWidth="1"/>
    <col min="1803" max="1803" width="11.54296875" style="160" customWidth="1"/>
    <col min="1804" max="1804" width="2.54296875" style="160" customWidth="1"/>
    <col min="1805" max="1805" width="35.453125" style="160" bestFit="1" customWidth="1"/>
    <col min="1806" max="1806" width="20.453125" style="160" customWidth="1"/>
    <col min="1807" max="2048" width="8.7265625" style="160"/>
    <col min="2049" max="2049" width="4.54296875" style="160" customWidth="1"/>
    <col min="2050" max="2050" width="1.54296875" style="160" customWidth="1"/>
    <col min="2051" max="2051" width="46" style="160" customWidth="1"/>
    <col min="2052" max="2052" width="1.54296875" style="160" customWidth="1"/>
    <col min="2053" max="2053" width="34" style="160" customWidth="1"/>
    <col min="2054" max="2054" width="1.54296875" style="160" customWidth="1"/>
    <col min="2055" max="2055" width="16" style="160" customWidth="1"/>
    <col min="2056" max="2056" width="1.54296875" style="160" customWidth="1"/>
    <col min="2057" max="2057" width="14" style="160" customWidth="1"/>
    <col min="2058" max="2058" width="1.54296875" style="160" customWidth="1"/>
    <col min="2059" max="2059" width="11.54296875" style="160" customWidth="1"/>
    <col min="2060" max="2060" width="2.54296875" style="160" customWidth="1"/>
    <col min="2061" max="2061" width="35.453125" style="160" bestFit="1" customWidth="1"/>
    <col min="2062" max="2062" width="20.453125" style="160" customWidth="1"/>
    <col min="2063" max="2304" width="8.7265625" style="160"/>
    <col min="2305" max="2305" width="4.54296875" style="160" customWidth="1"/>
    <col min="2306" max="2306" width="1.54296875" style="160" customWidth="1"/>
    <col min="2307" max="2307" width="46" style="160" customWidth="1"/>
    <col min="2308" max="2308" width="1.54296875" style="160" customWidth="1"/>
    <col min="2309" max="2309" width="34" style="160" customWidth="1"/>
    <col min="2310" max="2310" width="1.54296875" style="160" customWidth="1"/>
    <col min="2311" max="2311" width="16" style="160" customWidth="1"/>
    <col min="2312" max="2312" width="1.54296875" style="160" customWidth="1"/>
    <col min="2313" max="2313" width="14" style="160" customWidth="1"/>
    <col min="2314" max="2314" width="1.54296875" style="160" customWidth="1"/>
    <col min="2315" max="2315" width="11.54296875" style="160" customWidth="1"/>
    <col min="2316" max="2316" width="2.54296875" style="160" customWidth="1"/>
    <col min="2317" max="2317" width="35.453125" style="160" bestFit="1" customWidth="1"/>
    <col min="2318" max="2318" width="20.453125" style="160" customWidth="1"/>
    <col min="2319" max="2560" width="8.7265625" style="160"/>
    <col min="2561" max="2561" width="4.54296875" style="160" customWidth="1"/>
    <col min="2562" max="2562" width="1.54296875" style="160" customWidth="1"/>
    <col min="2563" max="2563" width="46" style="160" customWidth="1"/>
    <col min="2564" max="2564" width="1.54296875" style="160" customWidth="1"/>
    <col min="2565" max="2565" width="34" style="160" customWidth="1"/>
    <col min="2566" max="2566" width="1.54296875" style="160" customWidth="1"/>
    <col min="2567" max="2567" width="16" style="160" customWidth="1"/>
    <col min="2568" max="2568" width="1.54296875" style="160" customWidth="1"/>
    <col min="2569" max="2569" width="14" style="160" customWidth="1"/>
    <col min="2570" max="2570" width="1.54296875" style="160" customWidth="1"/>
    <col min="2571" max="2571" width="11.54296875" style="160" customWidth="1"/>
    <col min="2572" max="2572" width="2.54296875" style="160" customWidth="1"/>
    <col min="2573" max="2573" width="35.453125" style="160" bestFit="1" customWidth="1"/>
    <col min="2574" max="2574" width="20.453125" style="160" customWidth="1"/>
    <col min="2575" max="2816" width="8.7265625" style="160"/>
    <col min="2817" max="2817" width="4.54296875" style="160" customWidth="1"/>
    <col min="2818" max="2818" width="1.54296875" style="160" customWidth="1"/>
    <col min="2819" max="2819" width="46" style="160" customWidth="1"/>
    <col min="2820" max="2820" width="1.54296875" style="160" customWidth="1"/>
    <col min="2821" max="2821" width="34" style="160" customWidth="1"/>
    <col min="2822" max="2822" width="1.54296875" style="160" customWidth="1"/>
    <col min="2823" max="2823" width="16" style="160" customWidth="1"/>
    <col min="2824" max="2824" width="1.54296875" style="160" customWidth="1"/>
    <col min="2825" max="2825" width="14" style="160" customWidth="1"/>
    <col min="2826" max="2826" width="1.54296875" style="160" customWidth="1"/>
    <col min="2827" max="2827" width="11.54296875" style="160" customWidth="1"/>
    <col min="2828" max="2828" width="2.54296875" style="160" customWidth="1"/>
    <col min="2829" max="2829" width="35.453125" style="160" bestFit="1" customWidth="1"/>
    <col min="2830" max="2830" width="20.453125" style="160" customWidth="1"/>
    <col min="2831" max="3072" width="8.7265625" style="160"/>
    <col min="3073" max="3073" width="4.54296875" style="160" customWidth="1"/>
    <col min="3074" max="3074" width="1.54296875" style="160" customWidth="1"/>
    <col min="3075" max="3075" width="46" style="160" customWidth="1"/>
    <col min="3076" max="3076" width="1.54296875" style="160" customWidth="1"/>
    <col min="3077" max="3077" width="34" style="160" customWidth="1"/>
    <col min="3078" max="3078" width="1.54296875" style="160" customWidth="1"/>
    <col min="3079" max="3079" width="16" style="160" customWidth="1"/>
    <col min="3080" max="3080" width="1.54296875" style="160" customWidth="1"/>
    <col min="3081" max="3081" width="14" style="160" customWidth="1"/>
    <col min="3082" max="3082" width="1.54296875" style="160" customWidth="1"/>
    <col min="3083" max="3083" width="11.54296875" style="160" customWidth="1"/>
    <col min="3084" max="3084" width="2.54296875" style="160" customWidth="1"/>
    <col min="3085" max="3085" width="35.453125" style="160" bestFit="1" customWidth="1"/>
    <col min="3086" max="3086" width="20.453125" style="160" customWidth="1"/>
    <col min="3087" max="3328" width="8.7265625" style="160"/>
    <col min="3329" max="3329" width="4.54296875" style="160" customWidth="1"/>
    <col min="3330" max="3330" width="1.54296875" style="160" customWidth="1"/>
    <col min="3331" max="3331" width="46" style="160" customWidth="1"/>
    <col min="3332" max="3332" width="1.54296875" style="160" customWidth="1"/>
    <col min="3333" max="3333" width="34" style="160" customWidth="1"/>
    <col min="3334" max="3334" width="1.54296875" style="160" customWidth="1"/>
    <col min="3335" max="3335" width="16" style="160" customWidth="1"/>
    <col min="3336" max="3336" width="1.54296875" style="160" customWidth="1"/>
    <col min="3337" max="3337" width="14" style="160" customWidth="1"/>
    <col min="3338" max="3338" width="1.54296875" style="160" customWidth="1"/>
    <col min="3339" max="3339" width="11.54296875" style="160" customWidth="1"/>
    <col min="3340" max="3340" width="2.54296875" style="160" customWidth="1"/>
    <col min="3341" max="3341" width="35.453125" style="160" bestFit="1" customWidth="1"/>
    <col min="3342" max="3342" width="20.453125" style="160" customWidth="1"/>
    <col min="3343" max="3584" width="8.7265625" style="160"/>
    <col min="3585" max="3585" width="4.54296875" style="160" customWidth="1"/>
    <col min="3586" max="3586" width="1.54296875" style="160" customWidth="1"/>
    <col min="3587" max="3587" width="46" style="160" customWidth="1"/>
    <col min="3588" max="3588" width="1.54296875" style="160" customWidth="1"/>
    <col min="3589" max="3589" width="34" style="160" customWidth="1"/>
    <col min="3590" max="3590" width="1.54296875" style="160" customWidth="1"/>
    <col min="3591" max="3591" width="16" style="160" customWidth="1"/>
    <col min="3592" max="3592" width="1.54296875" style="160" customWidth="1"/>
    <col min="3593" max="3593" width="14" style="160" customWidth="1"/>
    <col min="3594" max="3594" width="1.54296875" style="160" customWidth="1"/>
    <col min="3595" max="3595" width="11.54296875" style="160" customWidth="1"/>
    <col min="3596" max="3596" width="2.54296875" style="160" customWidth="1"/>
    <col min="3597" max="3597" width="35.453125" style="160" bestFit="1" customWidth="1"/>
    <col min="3598" max="3598" width="20.453125" style="160" customWidth="1"/>
    <col min="3599" max="3840" width="8.7265625" style="160"/>
    <col min="3841" max="3841" width="4.54296875" style="160" customWidth="1"/>
    <col min="3842" max="3842" width="1.54296875" style="160" customWidth="1"/>
    <col min="3843" max="3843" width="46" style="160" customWidth="1"/>
    <col min="3844" max="3844" width="1.54296875" style="160" customWidth="1"/>
    <col min="3845" max="3845" width="34" style="160" customWidth="1"/>
    <col min="3846" max="3846" width="1.54296875" style="160" customWidth="1"/>
    <col min="3847" max="3847" width="16" style="160" customWidth="1"/>
    <col min="3848" max="3848" width="1.54296875" style="160" customWidth="1"/>
    <col min="3849" max="3849" width="14" style="160" customWidth="1"/>
    <col min="3850" max="3850" width="1.54296875" style="160" customWidth="1"/>
    <col min="3851" max="3851" width="11.54296875" style="160" customWidth="1"/>
    <col min="3852" max="3852" width="2.54296875" style="160" customWidth="1"/>
    <col min="3853" max="3853" width="35.453125" style="160" bestFit="1" customWidth="1"/>
    <col min="3854" max="3854" width="20.453125" style="160" customWidth="1"/>
    <col min="3855" max="4096" width="8.7265625" style="160"/>
    <col min="4097" max="4097" width="4.54296875" style="160" customWidth="1"/>
    <col min="4098" max="4098" width="1.54296875" style="160" customWidth="1"/>
    <col min="4099" max="4099" width="46" style="160" customWidth="1"/>
    <col min="4100" max="4100" width="1.54296875" style="160" customWidth="1"/>
    <col min="4101" max="4101" width="34" style="160" customWidth="1"/>
    <col min="4102" max="4102" width="1.54296875" style="160" customWidth="1"/>
    <col min="4103" max="4103" width="16" style="160" customWidth="1"/>
    <col min="4104" max="4104" width="1.54296875" style="160" customWidth="1"/>
    <col min="4105" max="4105" width="14" style="160" customWidth="1"/>
    <col min="4106" max="4106" width="1.54296875" style="160" customWidth="1"/>
    <col min="4107" max="4107" width="11.54296875" style="160" customWidth="1"/>
    <col min="4108" max="4108" width="2.54296875" style="160" customWidth="1"/>
    <col min="4109" max="4109" width="35.453125" style="160" bestFit="1" customWidth="1"/>
    <col min="4110" max="4110" width="20.453125" style="160" customWidth="1"/>
    <col min="4111" max="4352" width="8.7265625" style="160"/>
    <col min="4353" max="4353" width="4.54296875" style="160" customWidth="1"/>
    <col min="4354" max="4354" width="1.54296875" style="160" customWidth="1"/>
    <col min="4355" max="4355" width="46" style="160" customWidth="1"/>
    <col min="4356" max="4356" width="1.54296875" style="160" customWidth="1"/>
    <col min="4357" max="4357" width="34" style="160" customWidth="1"/>
    <col min="4358" max="4358" width="1.54296875" style="160" customWidth="1"/>
    <col min="4359" max="4359" width="16" style="160" customWidth="1"/>
    <col min="4360" max="4360" width="1.54296875" style="160" customWidth="1"/>
    <col min="4361" max="4361" width="14" style="160" customWidth="1"/>
    <col min="4362" max="4362" width="1.54296875" style="160" customWidth="1"/>
    <col min="4363" max="4363" width="11.54296875" style="160" customWidth="1"/>
    <col min="4364" max="4364" width="2.54296875" style="160" customWidth="1"/>
    <col min="4365" max="4365" width="35.453125" style="160" bestFit="1" customWidth="1"/>
    <col min="4366" max="4366" width="20.453125" style="160" customWidth="1"/>
    <col min="4367" max="4608" width="8.7265625" style="160"/>
    <col min="4609" max="4609" width="4.54296875" style="160" customWidth="1"/>
    <col min="4610" max="4610" width="1.54296875" style="160" customWidth="1"/>
    <col min="4611" max="4611" width="46" style="160" customWidth="1"/>
    <col min="4612" max="4612" width="1.54296875" style="160" customWidth="1"/>
    <col min="4613" max="4613" width="34" style="160" customWidth="1"/>
    <col min="4614" max="4614" width="1.54296875" style="160" customWidth="1"/>
    <col min="4615" max="4615" width="16" style="160" customWidth="1"/>
    <col min="4616" max="4616" width="1.54296875" style="160" customWidth="1"/>
    <col min="4617" max="4617" width="14" style="160" customWidth="1"/>
    <col min="4618" max="4618" width="1.54296875" style="160" customWidth="1"/>
    <col min="4619" max="4619" width="11.54296875" style="160" customWidth="1"/>
    <col min="4620" max="4620" width="2.54296875" style="160" customWidth="1"/>
    <col min="4621" max="4621" width="35.453125" style="160" bestFit="1" customWidth="1"/>
    <col min="4622" max="4622" width="20.453125" style="160" customWidth="1"/>
    <col min="4623" max="4864" width="8.7265625" style="160"/>
    <col min="4865" max="4865" width="4.54296875" style="160" customWidth="1"/>
    <col min="4866" max="4866" width="1.54296875" style="160" customWidth="1"/>
    <col min="4867" max="4867" width="46" style="160" customWidth="1"/>
    <col min="4868" max="4868" width="1.54296875" style="160" customWidth="1"/>
    <col min="4869" max="4869" width="34" style="160" customWidth="1"/>
    <col min="4870" max="4870" width="1.54296875" style="160" customWidth="1"/>
    <col min="4871" max="4871" width="16" style="160" customWidth="1"/>
    <col min="4872" max="4872" width="1.54296875" style="160" customWidth="1"/>
    <col min="4873" max="4873" width="14" style="160" customWidth="1"/>
    <col min="4874" max="4874" width="1.54296875" style="160" customWidth="1"/>
    <col min="4875" max="4875" width="11.54296875" style="160" customWidth="1"/>
    <col min="4876" max="4876" width="2.54296875" style="160" customWidth="1"/>
    <col min="4877" max="4877" width="35.453125" style="160" bestFit="1" customWidth="1"/>
    <col min="4878" max="4878" width="20.453125" style="160" customWidth="1"/>
    <col min="4879" max="5120" width="8.7265625" style="160"/>
    <col min="5121" max="5121" width="4.54296875" style="160" customWidth="1"/>
    <col min="5122" max="5122" width="1.54296875" style="160" customWidth="1"/>
    <col min="5123" max="5123" width="46" style="160" customWidth="1"/>
    <col min="5124" max="5124" width="1.54296875" style="160" customWidth="1"/>
    <col min="5125" max="5125" width="34" style="160" customWidth="1"/>
    <col min="5126" max="5126" width="1.54296875" style="160" customWidth="1"/>
    <col min="5127" max="5127" width="16" style="160" customWidth="1"/>
    <col min="5128" max="5128" width="1.54296875" style="160" customWidth="1"/>
    <col min="5129" max="5129" width="14" style="160" customWidth="1"/>
    <col min="5130" max="5130" width="1.54296875" style="160" customWidth="1"/>
    <col min="5131" max="5131" width="11.54296875" style="160" customWidth="1"/>
    <col min="5132" max="5132" width="2.54296875" style="160" customWidth="1"/>
    <col min="5133" max="5133" width="35.453125" style="160" bestFit="1" customWidth="1"/>
    <col min="5134" max="5134" width="20.453125" style="160" customWidth="1"/>
    <col min="5135" max="5376" width="8.7265625" style="160"/>
    <col min="5377" max="5377" width="4.54296875" style="160" customWidth="1"/>
    <col min="5378" max="5378" width="1.54296875" style="160" customWidth="1"/>
    <col min="5379" max="5379" width="46" style="160" customWidth="1"/>
    <col min="5380" max="5380" width="1.54296875" style="160" customWidth="1"/>
    <col min="5381" max="5381" width="34" style="160" customWidth="1"/>
    <col min="5382" max="5382" width="1.54296875" style="160" customWidth="1"/>
    <col min="5383" max="5383" width="16" style="160" customWidth="1"/>
    <col min="5384" max="5384" width="1.54296875" style="160" customWidth="1"/>
    <col min="5385" max="5385" width="14" style="160" customWidth="1"/>
    <col min="5386" max="5386" width="1.54296875" style="160" customWidth="1"/>
    <col min="5387" max="5387" width="11.54296875" style="160" customWidth="1"/>
    <col min="5388" max="5388" width="2.54296875" style="160" customWidth="1"/>
    <col min="5389" max="5389" width="35.453125" style="160" bestFit="1" customWidth="1"/>
    <col min="5390" max="5390" width="20.453125" style="160" customWidth="1"/>
    <col min="5391" max="5632" width="8.7265625" style="160"/>
    <col min="5633" max="5633" width="4.54296875" style="160" customWidth="1"/>
    <col min="5634" max="5634" width="1.54296875" style="160" customWidth="1"/>
    <col min="5635" max="5635" width="46" style="160" customWidth="1"/>
    <col min="5636" max="5636" width="1.54296875" style="160" customWidth="1"/>
    <col min="5637" max="5637" width="34" style="160" customWidth="1"/>
    <col min="5638" max="5638" width="1.54296875" style="160" customWidth="1"/>
    <col min="5639" max="5639" width="16" style="160" customWidth="1"/>
    <col min="5640" max="5640" width="1.54296875" style="160" customWidth="1"/>
    <col min="5641" max="5641" width="14" style="160" customWidth="1"/>
    <col min="5642" max="5642" width="1.54296875" style="160" customWidth="1"/>
    <col min="5643" max="5643" width="11.54296875" style="160" customWidth="1"/>
    <col min="5644" max="5644" width="2.54296875" style="160" customWidth="1"/>
    <col min="5645" max="5645" width="35.453125" style="160" bestFit="1" customWidth="1"/>
    <col min="5646" max="5646" width="20.453125" style="160" customWidth="1"/>
    <col min="5647" max="5888" width="8.7265625" style="160"/>
    <col min="5889" max="5889" width="4.54296875" style="160" customWidth="1"/>
    <col min="5890" max="5890" width="1.54296875" style="160" customWidth="1"/>
    <col min="5891" max="5891" width="46" style="160" customWidth="1"/>
    <col min="5892" max="5892" width="1.54296875" style="160" customWidth="1"/>
    <col min="5893" max="5893" width="34" style="160" customWidth="1"/>
    <col min="5894" max="5894" width="1.54296875" style="160" customWidth="1"/>
    <col min="5895" max="5895" width="16" style="160" customWidth="1"/>
    <col min="5896" max="5896" width="1.54296875" style="160" customWidth="1"/>
    <col min="5897" max="5897" width="14" style="160" customWidth="1"/>
    <col min="5898" max="5898" width="1.54296875" style="160" customWidth="1"/>
    <col min="5899" max="5899" width="11.54296875" style="160" customWidth="1"/>
    <col min="5900" max="5900" width="2.54296875" style="160" customWidth="1"/>
    <col min="5901" max="5901" width="35.453125" style="160" bestFit="1" customWidth="1"/>
    <col min="5902" max="5902" width="20.453125" style="160" customWidth="1"/>
    <col min="5903" max="6144" width="8.7265625" style="160"/>
    <col min="6145" max="6145" width="4.54296875" style="160" customWidth="1"/>
    <col min="6146" max="6146" width="1.54296875" style="160" customWidth="1"/>
    <col min="6147" max="6147" width="46" style="160" customWidth="1"/>
    <col min="6148" max="6148" width="1.54296875" style="160" customWidth="1"/>
    <col min="6149" max="6149" width="34" style="160" customWidth="1"/>
    <col min="6150" max="6150" width="1.54296875" style="160" customWidth="1"/>
    <col min="6151" max="6151" width="16" style="160" customWidth="1"/>
    <col min="6152" max="6152" width="1.54296875" style="160" customWidth="1"/>
    <col min="6153" max="6153" width="14" style="160" customWidth="1"/>
    <col min="6154" max="6154" width="1.54296875" style="160" customWidth="1"/>
    <col min="6155" max="6155" width="11.54296875" style="160" customWidth="1"/>
    <col min="6156" max="6156" width="2.54296875" style="160" customWidth="1"/>
    <col min="6157" max="6157" width="35.453125" style="160" bestFit="1" customWidth="1"/>
    <col min="6158" max="6158" width="20.453125" style="160" customWidth="1"/>
    <col min="6159" max="6400" width="8.7265625" style="160"/>
    <col min="6401" max="6401" width="4.54296875" style="160" customWidth="1"/>
    <col min="6402" max="6402" width="1.54296875" style="160" customWidth="1"/>
    <col min="6403" max="6403" width="46" style="160" customWidth="1"/>
    <col min="6404" max="6404" width="1.54296875" style="160" customWidth="1"/>
    <col min="6405" max="6405" width="34" style="160" customWidth="1"/>
    <col min="6406" max="6406" width="1.54296875" style="160" customWidth="1"/>
    <col min="6407" max="6407" width="16" style="160" customWidth="1"/>
    <col min="6408" max="6408" width="1.54296875" style="160" customWidth="1"/>
    <col min="6409" max="6409" width="14" style="160" customWidth="1"/>
    <col min="6410" max="6410" width="1.54296875" style="160" customWidth="1"/>
    <col min="6411" max="6411" width="11.54296875" style="160" customWidth="1"/>
    <col min="6412" max="6412" width="2.54296875" style="160" customWidth="1"/>
    <col min="6413" max="6413" width="35.453125" style="160" bestFit="1" customWidth="1"/>
    <col min="6414" max="6414" width="20.453125" style="160" customWidth="1"/>
    <col min="6415" max="6656" width="8.7265625" style="160"/>
    <col min="6657" max="6657" width="4.54296875" style="160" customWidth="1"/>
    <col min="6658" max="6658" width="1.54296875" style="160" customWidth="1"/>
    <col min="6659" max="6659" width="46" style="160" customWidth="1"/>
    <col min="6660" max="6660" width="1.54296875" style="160" customWidth="1"/>
    <col min="6661" max="6661" width="34" style="160" customWidth="1"/>
    <col min="6662" max="6662" width="1.54296875" style="160" customWidth="1"/>
    <col min="6663" max="6663" width="16" style="160" customWidth="1"/>
    <col min="6664" max="6664" width="1.54296875" style="160" customWidth="1"/>
    <col min="6665" max="6665" width="14" style="160" customWidth="1"/>
    <col min="6666" max="6666" width="1.54296875" style="160" customWidth="1"/>
    <col min="6667" max="6667" width="11.54296875" style="160" customWidth="1"/>
    <col min="6668" max="6668" width="2.54296875" style="160" customWidth="1"/>
    <col min="6669" max="6669" width="35.453125" style="160" bestFit="1" customWidth="1"/>
    <col min="6670" max="6670" width="20.453125" style="160" customWidth="1"/>
    <col min="6671" max="6912" width="8.7265625" style="160"/>
    <col min="6913" max="6913" width="4.54296875" style="160" customWidth="1"/>
    <col min="6914" max="6914" width="1.54296875" style="160" customWidth="1"/>
    <col min="6915" max="6915" width="46" style="160" customWidth="1"/>
    <col min="6916" max="6916" width="1.54296875" style="160" customWidth="1"/>
    <col min="6917" max="6917" width="34" style="160" customWidth="1"/>
    <col min="6918" max="6918" width="1.54296875" style="160" customWidth="1"/>
    <col min="6919" max="6919" width="16" style="160" customWidth="1"/>
    <col min="6920" max="6920" width="1.54296875" style="160" customWidth="1"/>
    <col min="6921" max="6921" width="14" style="160" customWidth="1"/>
    <col min="6922" max="6922" width="1.54296875" style="160" customWidth="1"/>
    <col min="6923" max="6923" width="11.54296875" style="160" customWidth="1"/>
    <col min="6924" max="6924" width="2.54296875" style="160" customWidth="1"/>
    <col min="6925" max="6925" width="35.453125" style="160" bestFit="1" customWidth="1"/>
    <col min="6926" max="6926" width="20.453125" style="160" customWidth="1"/>
    <col min="6927" max="7168" width="8.7265625" style="160"/>
    <col min="7169" max="7169" width="4.54296875" style="160" customWidth="1"/>
    <col min="7170" max="7170" width="1.54296875" style="160" customWidth="1"/>
    <col min="7171" max="7171" width="46" style="160" customWidth="1"/>
    <col min="7172" max="7172" width="1.54296875" style="160" customWidth="1"/>
    <col min="7173" max="7173" width="34" style="160" customWidth="1"/>
    <col min="7174" max="7174" width="1.54296875" style="160" customWidth="1"/>
    <col min="7175" max="7175" width="16" style="160" customWidth="1"/>
    <col min="7176" max="7176" width="1.54296875" style="160" customWidth="1"/>
    <col min="7177" max="7177" width="14" style="160" customWidth="1"/>
    <col min="7178" max="7178" width="1.54296875" style="160" customWidth="1"/>
    <col min="7179" max="7179" width="11.54296875" style="160" customWidth="1"/>
    <col min="7180" max="7180" width="2.54296875" style="160" customWidth="1"/>
    <col min="7181" max="7181" width="35.453125" style="160" bestFit="1" customWidth="1"/>
    <col min="7182" max="7182" width="20.453125" style="160" customWidth="1"/>
    <col min="7183" max="7424" width="8.7265625" style="160"/>
    <col min="7425" max="7425" width="4.54296875" style="160" customWidth="1"/>
    <col min="7426" max="7426" width="1.54296875" style="160" customWidth="1"/>
    <col min="7427" max="7427" width="46" style="160" customWidth="1"/>
    <col min="7428" max="7428" width="1.54296875" style="160" customWidth="1"/>
    <col min="7429" max="7429" width="34" style="160" customWidth="1"/>
    <col min="7430" max="7430" width="1.54296875" style="160" customWidth="1"/>
    <col min="7431" max="7431" width="16" style="160" customWidth="1"/>
    <col min="7432" max="7432" width="1.54296875" style="160" customWidth="1"/>
    <col min="7433" max="7433" width="14" style="160" customWidth="1"/>
    <col min="7434" max="7434" width="1.54296875" style="160" customWidth="1"/>
    <col min="7435" max="7435" width="11.54296875" style="160" customWidth="1"/>
    <col min="7436" max="7436" width="2.54296875" style="160" customWidth="1"/>
    <col min="7437" max="7437" width="35.453125" style="160" bestFit="1" customWidth="1"/>
    <col min="7438" max="7438" width="20.453125" style="160" customWidth="1"/>
    <col min="7439" max="7680" width="8.7265625" style="160"/>
    <col min="7681" max="7681" width="4.54296875" style="160" customWidth="1"/>
    <col min="7682" max="7682" width="1.54296875" style="160" customWidth="1"/>
    <col min="7683" max="7683" width="46" style="160" customWidth="1"/>
    <col min="7684" max="7684" width="1.54296875" style="160" customWidth="1"/>
    <col min="7685" max="7685" width="34" style="160" customWidth="1"/>
    <col min="7686" max="7686" width="1.54296875" style="160" customWidth="1"/>
    <col min="7687" max="7687" width="16" style="160" customWidth="1"/>
    <col min="7688" max="7688" width="1.54296875" style="160" customWidth="1"/>
    <col min="7689" max="7689" width="14" style="160" customWidth="1"/>
    <col min="7690" max="7690" width="1.54296875" style="160" customWidth="1"/>
    <col min="7691" max="7691" width="11.54296875" style="160" customWidth="1"/>
    <col min="7692" max="7692" width="2.54296875" style="160" customWidth="1"/>
    <col min="7693" max="7693" width="35.453125" style="160" bestFit="1" customWidth="1"/>
    <col min="7694" max="7694" width="20.453125" style="160" customWidth="1"/>
    <col min="7695" max="7936" width="8.7265625" style="160"/>
    <col min="7937" max="7937" width="4.54296875" style="160" customWidth="1"/>
    <col min="7938" max="7938" width="1.54296875" style="160" customWidth="1"/>
    <col min="7939" max="7939" width="46" style="160" customWidth="1"/>
    <col min="7940" max="7940" width="1.54296875" style="160" customWidth="1"/>
    <col min="7941" max="7941" width="34" style="160" customWidth="1"/>
    <col min="7942" max="7942" width="1.54296875" style="160" customWidth="1"/>
    <col min="7943" max="7943" width="16" style="160" customWidth="1"/>
    <col min="7944" max="7944" width="1.54296875" style="160" customWidth="1"/>
    <col min="7945" max="7945" width="14" style="160" customWidth="1"/>
    <col min="7946" max="7946" width="1.54296875" style="160" customWidth="1"/>
    <col min="7947" max="7947" width="11.54296875" style="160" customWidth="1"/>
    <col min="7948" max="7948" width="2.54296875" style="160" customWidth="1"/>
    <col min="7949" max="7949" width="35.453125" style="160" bestFit="1" customWidth="1"/>
    <col min="7950" max="7950" width="20.453125" style="160" customWidth="1"/>
    <col min="7951" max="8192" width="8.7265625" style="160"/>
    <col min="8193" max="8193" width="4.54296875" style="160" customWidth="1"/>
    <col min="8194" max="8194" width="1.54296875" style="160" customWidth="1"/>
    <col min="8195" max="8195" width="46" style="160" customWidth="1"/>
    <col min="8196" max="8196" width="1.54296875" style="160" customWidth="1"/>
    <col min="8197" max="8197" width="34" style="160" customWidth="1"/>
    <col min="8198" max="8198" width="1.54296875" style="160" customWidth="1"/>
    <col min="8199" max="8199" width="16" style="160" customWidth="1"/>
    <col min="8200" max="8200" width="1.54296875" style="160" customWidth="1"/>
    <col min="8201" max="8201" width="14" style="160" customWidth="1"/>
    <col min="8202" max="8202" width="1.54296875" style="160" customWidth="1"/>
    <col min="8203" max="8203" width="11.54296875" style="160" customWidth="1"/>
    <col min="8204" max="8204" width="2.54296875" style="160" customWidth="1"/>
    <col min="8205" max="8205" width="35.453125" style="160" bestFit="1" customWidth="1"/>
    <col min="8206" max="8206" width="20.453125" style="160" customWidth="1"/>
    <col min="8207" max="8448" width="8.7265625" style="160"/>
    <col min="8449" max="8449" width="4.54296875" style="160" customWidth="1"/>
    <col min="8450" max="8450" width="1.54296875" style="160" customWidth="1"/>
    <col min="8451" max="8451" width="46" style="160" customWidth="1"/>
    <col min="8452" max="8452" width="1.54296875" style="160" customWidth="1"/>
    <col min="8453" max="8453" width="34" style="160" customWidth="1"/>
    <col min="8454" max="8454" width="1.54296875" style="160" customWidth="1"/>
    <col min="8455" max="8455" width="16" style="160" customWidth="1"/>
    <col min="8456" max="8456" width="1.54296875" style="160" customWidth="1"/>
    <col min="8457" max="8457" width="14" style="160" customWidth="1"/>
    <col min="8458" max="8458" width="1.54296875" style="160" customWidth="1"/>
    <col min="8459" max="8459" width="11.54296875" style="160" customWidth="1"/>
    <col min="8460" max="8460" width="2.54296875" style="160" customWidth="1"/>
    <col min="8461" max="8461" width="35.453125" style="160" bestFit="1" customWidth="1"/>
    <col min="8462" max="8462" width="20.453125" style="160" customWidth="1"/>
    <col min="8463" max="8704" width="8.7265625" style="160"/>
    <col min="8705" max="8705" width="4.54296875" style="160" customWidth="1"/>
    <col min="8706" max="8706" width="1.54296875" style="160" customWidth="1"/>
    <col min="8707" max="8707" width="46" style="160" customWidth="1"/>
    <col min="8708" max="8708" width="1.54296875" style="160" customWidth="1"/>
    <col min="8709" max="8709" width="34" style="160" customWidth="1"/>
    <col min="8710" max="8710" width="1.54296875" style="160" customWidth="1"/>
    <col min="8711" max="8711" width="16" style="160" customWidth="1"/>
    <col min="8712" max="8712" width="1.54296875" style="160" customWidth="1"/>
    <col min="8713" max="8713" width="14" style="160" customWidth="1"/>
    <col min="8714" max="8714" width="1.54296875" style="160" customWidth="1"/>
    <col min="8715" max="8715" width="11.54296875" style="160" customWidth="1"/>
    <col min="8716" max="8716" width="2.54296875" style="160" customWidth="1"/>
    <col min="8717" max="8717" width="35.453125" style="160" bestFit="1" customWidth="1"/>
    <col min="8718" max="8718" width="20.453125" style="160" customWidth="1"/>
    <col min="8719" max="8960" width="8.7265625" style="160"/>
    <col min="8961" max="8961" width="4.54296875" style="160" customWidth="1"/>
    <col min="8962" max="8962" width="1.54296875" style="160" customWidth="1"/>
    <col min="8963" max="8963" width="46" style="160" customWidth="1"/>
    <col min="8964" max="8964" width="1.54296875" style="160" customWidth="1"/>
    <col min="8965" max="8965" width="34" style="160" customWidth="1"/>
    <col min="8966" max="8966" width="1.54296875" style="160" customWidth="1"/>
    <col min="8967" max="8967" width="16" style="160" customWidth="1"/>
    <col min="8968" max="8968" width="1.54296875" style="160" customWidth="1"/>
    <col min="8969" max="8969" width="14" style="160" customWidth="1"/>
    <col min="8970" max="8970" width="1.54296875" style="160" customWidth="1"/>
    <col min="8971" max="8971" width="11.54296875" style="160" customWidth="1"/>
    <col min="8972" max="8972" width="2.54296875" style="160" customWidth="1"/>
    <col min="8973" max="8973" width="35.453125" style="160" bestFit="1" customWidth="1"/>
    <col min="8974" max="8974" width="20.453125" style="160" customWidth="1"/>
    <col min="8975" max="9216" width="8.7265625" style="160"/>
    <col min="9217" max="9217" width="4.54296875" style="160" customWidth="1"/>
    <col min="9218" max="9218" width="1.54296875" style="160" customWidth="1"/>
    <col min="9219" max="9219" width="46" style="160" customWidth="1"/>
    <col min="9220" max="9220" width="1.54296875" style="160" customWidth="1"/>
    <col min="9221" max="9221" width="34" style="160" customWidth="1"/>
    <col min="9222" max="9222" width="1.54296875" style="160" customWidth="1"/>
    <col min="9223" max="9223" width="16" style="160" customWidth="1"/>
    <col min="9224" max="9224" width="1.54296875" style="160" customWidth="1"/>
    <col min="9225" max="9225" width="14" style="160" customWidth="1"/>
    <col min="9226" max="9226" width="1.54296875" style="160" customWidth="1"/>
    <col min="9227" max="9227" width="11.54296875" style="160" customWidth="1"/>
    <col min="9228" max="9228" width="2.54296875" style="160" customWidth="1"/>
    <col min="9229" max="9229" width="35.453125" style="160" bestFit="1" customWidth="1"/>
    <col min="9230" max="9230" width="20.453125" style="160" customWidth="1"/>
    <col min="9231" max="9472" width="8.7265625" style="160"/>
    <col min="9473" max="9473" width="4.54296875" style="160" customWidth="1"/>
    <col min="9474" max="9474" width="1.54296875" style="160" customWidth="1"/>
    <col min="9475" max="9475" width="46" style="160" customWidth="1"/>
    <col min="9476" max="9476" width="1.54296875" style="160" customWidth="1"/>
    <col min="9477" max="9477" width="34" style="160" customWidth="1"/>
    <col min="9478" max="9478" width="1.54296875" style="160" customWidth="1"/>
    <col min="9479" max="9479" width="16" style="160" customWidth="1"/>
    <col min="9480" max="9480" width="1.54296875" style="160" customWidth="1"/>
    <col min="9481" max="9481" width="14" style="160" customWidth="1"/>
    <col min="9482" max="9482" width="1.54296875" style="160" customWidth="1"/>
    <col min="9483" max="9483" width="11.54296875" style="160" customWidth="1"/>
    <col min="9484" max="9484" width="2.54296875" style="160" customWidth="1"/>
    <col min="9485" max="9485" width="35.453125" style="160" bestFit="1" customWidth="1"/>
    <col min="9486" max="9486" width="20.453125" style="160" customWidth="1"/>
    <col min="9487" max="9728" width="8.7265625" style="160"/>
    <col min="9729" max="9729" width="4.54296875" style="160" customWidth="1"/>
    <col min="9730" max="9730" width="1.54296875" style="160" customWidth="1"/>
    <col min="9731" max="9731" width="46" style="160" customWidth="1"/>
    <col min="9732" max="9732" width="1.54296875" style="160" customWidth="1"/>
    <col min="9733" max="9733" width="34" style="160" customWidth="1"/>
    <col min="9734" max="9734" width="1.54296875" style="160" customWidth="1"/>
    <col min="9735" max="9735" width="16" style="160" customWidth="1"/>
    <col min="9736" max="9736" width="1.54296875" style="160" customWidth="1"/>
    <col min="9737" max="9737" width="14" style="160" customWidth="1"/>
    <col min="9738" max="9738" width="1.54296875" style="160" customWidth="1"/>
    <col min="9739" max="9739" width="11.54296875" style="160" customWidth="1"/>
    <col min="9740" max="9740" width="2.54296875" style="160" customWidth="1"/>
    <col min="9741" max="9741" width="35.453125" style="160" bestFit="1" customWidth="1"/>
    <col min="9742" max="9742" width="20.453125" style="160" customWidth="1"/>
    <col min="9743" max="9984" width="8.7265625" style="160"/>
    <col min="9985" max="9985" width="4.54296875" style="160" customWidth="1"/>
    <col min="9986" max="9986" width="1.54296875" style="160" customWidth="1"/>
    <col min="9987" max="9987" width="46" style="160" customWidth="1"/>
    <col min="9988" max="9988" width="1.54296875" style="160" customWidth="1"/>
    <col min="9989" max="9989" width="34" style="160" customWidth="1"/>
    <col min="9990" max="9990" width="1.54296875" style="160" customWidth="1"/>
    <col min="9991" max="9991" width="16" style="160" customWidth="1"/>
    <col min="9992" max="9992" width="1.54296875" style="160" customWidth="1"/>
    <col min="9993" max="9993" width="14" style="160" customWidth="1"/>
    <col min="9994" max="9994" width="1.54296875" style="160" customWidth="1"/>
    <col min="9995" max="9995" width="11.54296875" style="160" customWidth="1"/>
    <col min="9996" max="9996" width="2.54296875" style="160" customWidth="1"/>
    <col min="9997" max="9997" width="35.453125" style="160" bestFit="1" customWidth="1"/>
    <col min="9998" max="9998" width="20.453125" style="160" customWidth="1"/>
    <col min="9999" max="10240" width="8.7265625" style="160"/>
    <col min="10241" max="10241" width="4.54296875" style="160" customWidth="1"/>
    <col min="10242" max="10242" width="1.54296875" style="160" customWidth="1"/>
    <col min="10243" max="10243" width="46" style="160" customWidth="1"/>
    <col min="10244" max="10244" width="1.54296875" style="160" customWidth="1"/>
    <col min="10245" max="10245" width="34" style="160" customWidth="1"/>
    <col min="10246" max="10246" width="1.54296875" style="160" customWidth="1"/>
    <col min="10247" max="10247" width="16" style="160" customWidth="1"/>
    <col min="10248" max="10248" width="1.54296875" style="160" customWidth="1"/>
    <col min="10249" max="10249" width="14" style="160" customWidth="1"/>
    <col min="10250" max="10250" width="1.54296875" style="160" customWidth="1"/>
    <col min="10251" max="10251" width="11.54296875" style="160" customWidth="1"/>
    <col min="10252" max="10252" width="2.54296875" style="160" customWidth="1"/>
    <col min="10253" max="10253" width="35.453125" style="160" bestFit="1" customWidth="1"/>
    <col min="10254" max="10254" width="20.453125" style="160" customWidth="1"/>
    <col min="10255" max="10496" width="8.7265625" style="160"/>
    <col min="10497" max="10497" width="4.54296875" style="160" customWidth="1"/>
    <col min="10498" max="10498" width="1.54296875" style="160" customWidth="1"/>
    <col min="10499" max="10499" width="46" style="160" customWidth="1"/>
    <col min="10500" max="10500" width="1.54296875" style="160" customWidth="1"/>
    <col min="10501" max="10501" width="34" style="160" customWidth="1"/>
    <col min="10502" max="10502" width="1.54296875" style="160" customWidth="1"/>
    <col min="10503" max="10503" width="16" style="160" customWidth="1"/>
    <col min="10504" max="10504" width="1.54296875" style="160" customWidth="1"/>
    <col min="10505" max="10505" width="14" style="160" customWidth="1"/>
    <col min="10506" max="10506" width="1.54296875" style="160" customWidth="1"/>
    <col min="10507" max="10507" width="11.54296875" style="160" customWidth="1"/>
    <col min="10508" max="10508" width="2.54296875" style="160" customWidth="1"/>
    <col min="10509" max="10509" width="35.453125" style="160" bestFit="1" customWidth="1"/>
    <col min="10510" max="10510" width="20.453125" style="160" customWidth="1"/>
    <col min="10511" max="10752" width="8.7265625" style="160"/>
    <col min="10753" max="10753" width="4.54296875" style="160" customWidth="1"/>
    <col min="10754" max="10754" width="1.54296875" style="160" customWidth="1"/>
    <col min="10755" max="10755" width="46" style="160" customWidth="1"/>
    <col min="10756" max="10756" width="1.54296875" style="160" customWidth="1"/>
    <col min="10757" max="10757" width="34" style="160" customWidth="1"/>
    <col min="10758" max="10758" width="1.54296875" style="160" customWidth="1"/>
    <col min="10759" max="10759" width="16" style="160" customWidth="1"/>
    <col min="10760" max="10760" width="1.54296875" style="160" customWidth="1"/>
    <col min="10761" max="10761" width="14" style="160" customWidth="1"/>
    <col min="10762" max="10762" width="1.54296875" style="160" customWidth="1"/>
    <col min="10763" max="10763" width="11.54296875" style="160" customWidth="1"/>
    <col min="10764" max="10764" width="2.54296875" style="160" customWidth="1"/>
    <col min="10765" max="10765" width="35.453125" style="160" bestFit="1" customWidth="1"/>
    <col min="10766" max="10766" width="20.453125" style="160" customWidth="1"/>
    <col min="10767" max="11008" width="8.7265625" style="160"/>
    <col min="11009" max="11009" width="4.54296875" style="160" customWidth="1"/>
    <col min="11010" max="11010" width="1.54296875" style="160" customWidth="1"/>
    <col min="11011" max="11011" width="46" style="160" customWidth="1"/>
    <col min="11012" max="11012" width="1.54296875" style="160" customWidth="1"/>
    <col min="11013" max="11013" width="34" style="160" customWidth="1"/>
    <col min="11014" max="11014" width="1.54296875" style="160" customWidth="1"/>
    <col min="11015" max="11015" width="16" style="160" customWidth="1"/>
    <col min="11016" max="11016" width="1.54296875" style="160" customWidth="1"/>
    <col min="11017" max="11017" width="14" style="160" customWidth="1"/>
    <col min="11018" max="11018" width="1.54296875" style="160" customWidth="1"/>
    <col min="11019" max="11019" width="11.54296875" style="160" customWidth="1"/>
    <col min="11020" max="11020" width="2.54296875" style="160" customWidth="1"/>
    <col min="11021" max="11021" width="35.453125" style="160" bestFit="1" customWidth="1"/>
    <col min="11022" max="11022" width="20.453125" style="160" customWidth="1"/>
    <col min="11023" max="11264" width="8.7265625" style="160"/>
    <col min="11265" max="11265" width="4.54296875" style="160" customWidth="1"/>
    <col min="11266" max="11266" width="1.54296875" style="160" customWidth="1"/>
    <col min="11267" max="11267" width="46" style="160" customWidth="1"/>
    <col min="11268" max="11268" width="1.54296875" style="160" customWidth="1"/>
    <col min="11269" max="11269" width="34" style="160" customWidth="1"/>
    <col min="11270" max="11270" width="1.54296875" style="160" customWidth="1"/>
    <col min="11271" max="11271" width="16" style="160" customWidth="1"/>
    <col min="11272" max="11272" width="1.54296875" style="160" customWidth="1"/>
    <col min="11273" max="11273" width="14" style="160" customWidth="1"/>
    <col min="11274" max="11274" width="1.54296875" style="160" customWidth="1"/>
    <col min="11275" max="11275" width="11.54296875" style="160" customWidth="1"/>
    <col min="11276" max="11276" width="2.54296875" style="160" customWidth="1"/>
    <col min="11277" max="11277" width="35.453125" style="160" bestFit="1" customWidth="1"/>
    <col min="11278" max="11278" width="20.453125" style="160" customWidth="1"/>
    <col min="11279" max="11520" width="8.7265625" style="160"/>
    <col min="11521" max="11521" width="4.54296875" style="160" customWidth="1"/>
    <col min="11522" max="11522" width="1.54296875" style="160" customWidth="1"/>
    <col min="11523" max="11523" width="46" style="160" customWidth="1"/>
    <col min="11524" max="11524" width="1.54296875" style="160" customWidth="1"/>
    <col min="11525" max="11525" width="34" style="160" customWidth="1"/>
    <col min="11526" max="11526" width="1.54296875" style="160" customWidth="1"/>
    <col min="11527" max="11527" width="16" style="160" customWidth="1"/>
    <col min="11528" max="11528" width="1.54296875" style="160" customWidth="1"/>
    <col min="11529" max="11529" width="14" style="160" customWidth="1"/>
    <col min="11530" max="11530" width="1.54296875" style="160" customWidth="1"/>
    <col min="11531" max="11531" width="11.54296875" style="160" customWidth="1"/>
    <col min="11532" max="11532" width="2.54296875" style="160" customWidth="1"/>
    <col min="11533" max="11533" width="35.453125" style="160" bestFit="1" customWidth="1"/>
    <col min="11534" max="11534" width="20.453125" style="160" customWidth="1"/>
    <col min="11535" max="11776" width="8.7265625" style="160"/>
    <col min="11777" max="11777" width="4.54296875" style="160" customWidth="1"/>
    <col min="11778" max="11778" width="1.54296875" style="160" customWidth="1"/>
    <col min="11779" max="11779" width="46" style="160" customWidth="1"/>
    <col min="11780" max="11780" width="1.54296875" style="160" customWidth="1"/>
    <col min="11781" max="11781" width="34" style="160" customWidth="1"/>
    <col min="11782" max="11782" width="1.54296875" style="160" customWidth="1"/>
    <col min="11783" max="11783" width="16" style="160" customWidth="1"/>
    <col min="11784" max="11784" width="1.54296875" style="160" customWidth="1"/>
    <col min="11785" max="11785" width="14" style="160" customWidth="1"/>
    <col min="11786" max="11786" width="1.54296875" style="160" customWidth="1"/>
    <col min="11787" max="11787" width="11.54296875" style="160" customWidth="1"/>
    <col min="11788" max="11788" width="2.54296875" style="160" customWidth="1"/>
    <col min="11789" max="11789" width="35.453125" style="160" bestFit="1" customWidth="1"/>
    <col min="11790" max="11790" width="20.453125" style="160" customWidth="1"/>
    <col min="11791" max="12032" width="8.7265625" style="160"/>
    <col min="12033" max="12033" width="4.54296875" style="160" customWidth="1"/>
    <col min="12034" max="12034" width="1.54296875" style="160" customWidth="1"/>
    <col min="12035" max="12035" width="46" style="160" customWidth="1"/>
    <col min="12036" max="12036" width="1.54296875" style="160" customWidth="1"/>
    <col min="12037" max="12037" width="34" style="160" customWidth="1"/>
    <col min="12038" max="12038" width="1.54296875" style="160" customWidth="1"/>
    <col min="12039" max="12039" width="16" style="160" customWidth="1"/>
    <col min="12040" max="12040" width="1.54296875" style="160" customWidth="1"/>
    <col min="12041" max="12041" width="14" style="160" customWidth="1"/>
    <col min="12042" max="12042" width="1.54296875" style="160" customWidth="1"/>
    <col min="12043" max="12043" width="11.54296875" style="160" customWidth="1"/>
    <col min="12044" max="12044" width="2.54296875" style="160" customWidth="1"/>
    <col min="12045" max="12045" width="35.453125" style="160" bestFit="1" customWidth="1"/>
    <col min="12046" max="12046" width="20.453125" style="160" customWidth="1"/>
    <col min="12047" max="12288" width="8.7265625" style="160"/>
    <col min="12289" max="12289" width="4.54296875" style="160" customWidth="1"/>
    <col min="12290" max="12290" width="1.54296875" style="160" customWidth="1"/>
    <col min="12291" max="12291" width="46" style="160" customWidth="1"/>
    <col min="12292" max="12292" width="1.54296875" style="160" customWidth="1"/>
    <col min="12293" max="12293" width="34" style="160" customWidth="1"/>
    <col min="12294" max="12294" width="1.54296875" style="160" customWidth="1"/>
    <col min="12295" max="12295" width="16" style="160" customWidth="1"/>
    <col min="12296" max="12296" width="1.54296875" style="160" customWidth="1"/>
    <col min="12297" max="12297" width="14" style="160" customWidth="1"/>
    <col min="12298" max="12298" width="1.54296875" style="160" customWidth="1"/>
    <col min="12299" max="12299" width="11.54296875" style="160" customWidth="1"/>
    <col min="12300" max="12300" width="2.54296875" style="160" customWidth="1"/>
    <col min="12301" max="12301" width="35.453125" style="160" bestFit="1" customWidth="1"/>
    <col min="12302" max="12302" width="20.453125" style="160" customWidth="1"/>
    <col min="12303" max="12544" width="8.7265625" style="160"/>
    <col min="12545" max="12545" width="4.54296875" style="160" customWidth="1"/>
    <col min="12546" max="12546" width="1.54296875" style="160" customWidth="1"/>
    <col min="12547" max="12547" width="46" style="160" customWidth="1"/>
    <col min="12548" max="12548" width="1.54296875" style="160" customWidth="1"/>
    <col min="12549" max="12549" width="34" style="160" customWidth="1"/>
    <col min="12550" max="12550" width="1.54296875" style="160" customWidth="1"/>
    <col min="12551" max="12551" width="16" style="160" customWidth="1"/>
    <col min="12552" max="12552" width="1.54296875" style="160" customWidth="1"/>
    <col min="12553" max="12553" width="14" style="160" customWidth="1"/>
    <col min="12554" max="12554" width="1.54296875" style="160" customWidth="1"/>
    <col min="12555" max="12555" width="11.54296875" style="160" customWidth="1"/>
    <col min="12556" max="12556" width="2.54296875" style="160" customWidth="1"/>
    <col min="12557" max="12557" width="35.453125" style="160" bestFit="1" customWidth="1"/>
    <col min="12558" max="12558" width="20.453125" style="160" customWidth="1"/>
    <col min="12559" max="12800" width="8.7265625" style="160"/>
    <col min="12801" max="12801" width="4.54296875" style="160" customWidth="1"/>
    <col min="12802" max="12802" width="1.54296875" style="160" customWidth="1"/>
    <col min="12803" max="12803" width="46" style="160" customWidth="1"/>
    <col min="12804" max="12804" width="1.54296875" style="160" customWidth="1"/>
    <col min="12805" max="12805" width="34" style="160" customWidth="1"/>
    <col min="12806" max="12806" width="1.54296875" style="160" customWidth="1"/>
    <col min="12807" max="12807" width="16" style="160" customWidth="1"/>
    <col min="12808" max="12808" width="1.54296875" style="160" customWidth="1"/>
    <col min="12809" max="12809" width="14" style="160" customWidth="1"/>
    <col min="12810" max="12810" width="1.54296875" style="160" customWidth="1"/>
    <col min="12811" max="12811" width="11.54296875" style="160" customWidth="1"/>
    <col min="12812" max="12812" width="2.54296875" style="160" customWidth="1"/>
    <col min="12813" max="12813" width="35.453125" style="160" bestFit="1" customWidth="1"/>
    <col min="12814" max="12814" width="20.453125" style="160" customWidth="1"/>
    <col min="12815" max="13056" width="8.7265625" style="160"/>
    <col min="13057" max="13057" width="4.54296875" style="160" customWidth="1"/>
    <col min="13058" max="13058" width="1.54296875" style="160" customWidth="1"/>
    <col min="13059" max="13059" width="46" style="160" customWidth="1"/>
    <col min="13060" max="13060" width="1.54296875" style="160" customWidth="1"/>
    <col min="13061" max="13061" width="34" style="160" customWidth="1"/>
    <col min="13062" max="13062" width="1.54296875" style="160" customWidth="1"/>
    <col min="13063" max="13063" width="16" style="160" customWidth="1"/>
    <col min="13064" max="13064" width="1.54296875" style="160" customWidth="1"/>
    <col min="13065" max="13065" width="14" style="160" customWidth="1"/>
    <col min="13066" max="13066" width="1.54296875" style="160" customWidth="1"/>
    <col min="13067" max="13067" width="11.54296875" style="160" customWidth="1"/>
    <col min="13068" max="13068" width="2.54296875" style="160" customWidth="1"/>
    <col min="13069" max="13069" width="35.453125" style="160" bestFit="1" customWidth="1"/>
    <col min="13070" max="13070" width="20.453125" style="160" customWidth="1"/>
    <col min="13071" max="13312" width="8.7265625" style="160"/>
    <col min="13313" max="13313" width="4.54296875" style="160" customWidth="1"/>
    <col min="13314" max="13314" width="1.54296875" style="160" customWidth="1"/>
    <col min="13315" max="13315" width="46" style="160" customWidth="1"/>
    <col min="13316" max="13316" width="1.54296875" style="160" customWidth="1"/>
    <col min="13317" max="13317" width="34" style="160" customWidth="1"/>
    <col min="13318" max="13318" width="1.54296875" style="160" customWidth="1"/>
    <col min="13319" max="13319" width="16" style="160" customWidth="1"/>
    <col min="13320" max="13320" width="1.54296875" style="160" customWidth="1"/>
    <col min="13321" max="13321" width="14" style="160" customWidth="1"/>
    <col min="13322" max="13322" width="1.54296875" style="160" customWidth="1"/>
    <col min="13323" max="13323" width="11.54296875" style="160" customWidth="1"/>
    <col min="13324" max="13324" width="2.54296875" style="160" customWidth="1"/>
    <col min="13325" max="13325" width="35.453125" style="160" bestFit="1" customWidth="1"/>
    <col min="13326" max="13326" width="20.453125" style="160" customWidth="1"/>
    <col min="13327" max="13568" width="8.7265625" style="160"/>
    <col min="13569" max="13569" width="4.54296875" style="160" customWidth="1"/>
    <col min="13570" max="13570" width="1.54296875" style="160" customWidth="1"/>
    <col min="13571" max="13571" width="46" style="160" customWidth="1"/>
    <col min="13572" max="13572" width="1.54296875" style="160" customWidth="1"/>
    <col min="13573" max="13573" width="34" style="160" customWidth="1"/>
    <col min="13574" max="13574" width="1.54296875" style="160" customWidth="1"/>
    <col min="13575" max="13575" width="16" style="160" customWidth="1"/>
    <col min="13576" max="13576" width="1.54296875" style="160" customWidth="1"/>
    <col min="13577" max="13577" width="14" style="160" customWidth="1"/>
    <col min="13578" max="13578" width="1.54296875" style="160" customWidth="1"/>
    <col min="13579" max="13579" width="11.54296875" style="160" customWidth="1"/>
    <col min="13580" max="13580" width="2.54296875" style="160" customWidth="1"/>
    <col min="13581" max="13581" width="35.453125" style="160" bestFit="1" customWidth="1"/>
    <col min="13582" max="13582" width="20.453125" style="160" customWidth="1"/>
    <col min="13583" max="13824" width="8.7265625" style="160"/>
    <col min="13825" max="13825" width="4.54296875" style="160" customWidth="1"/>
    <col min="13826" max="13826" width="1.54296875" style="160" customWidth="1"/>
    <col min="13827" max="13827" width="46" style="160" customWidth="1"/>
    <col min="13828" max="13828" width="1.54296875" style="160" customWidth="1"/>
    <col min="13829" max="13829" width="34" style="160" customWidth="1"/>
    <col min="13830" max="13830" width="1.54296875" style="160" customWidth="1"/>
    <col min="13831" max="13831" width="16" style="160" customWidth="1"/>
    <col min="13832" max="13832" width="1.54296875" style="160" customWidth="1"/>
    <col min="13833" max="13833" width="14" style="160" customWidth="1"/>
    <col min="13834" max="13834" width="1.54296875" style="160" customWidth="1"/>
    <col min="13835" max="13835" width="11.54296875" style="160" customWidth="1"/>
    <col min="13836" max="13836" width="2.54296875" style="160" customWidth="1"/>
    <col min="13837" max="13837" width="35.453125" style="160" bestFit="1" customWidth="1"/>
    <col min="13838" max="13838" width="20.453125" style="160" customWidth="1"/>
    <col min="13839" max="14080" width="8.7265625" style="160"/>
    <col min="14081" max="14081" width="4.54296875" style="160" customWidth="1"/>
    <col min="14082" max="14082" width="1.54296875" style="160" customWidth="1"/>
    <col min="14083" max="14083" width="46" style="160" customWidth="1"/>
    <col min="14084" max="14084" width="1.54296875" style="160" customWidth="1"/>
    <col min="14085" max="14085" width="34" style="160" customWidth="1"/>
    <col min="14086" max="14086" width="1.54296875" style="160" customWidth="1"/>
    <col min="14087" max="14087" width="16" style="160" customWidth="1"/>
    <col min="14088" max="14088" width="1.54296875" style="160" customWidth="1"/>
    <col min="14089" max="14089" width="14" style="160" customWidth="1"/>
    <col min="14090" max="14090" width="1.54296875" style="160" customWidth="1"/>
    <col min="14091" max="14091" width="11.54296875" style="160" customWidth="1"/>
    <col min="14092" max="14092" width="2.54296875" style="160" customWidth="1"/>
    <col min="14093" max="14093" width="35.453125" style="160" bestFit="1" customWidth="1"/>
    <col min="14094" max="14094" width="20.453125" style="160" customWidth="1"/>
    <col min="14095" max="14336" width="8.7265625" style="160"/>
    <col min="14337" max="14337" width="4.54296875" style="160" customWidth="1"/>
    <col min="14338" max="14338" width="1.54296875" style="160" customWidth="1"/>
    <col min="14339" max="14339" width="46" style="160" customWidth="1"/>
    <col min="14340" max="14340" width="1.54296875" style="160" customWidth="1"/>
    <col min="14341" max="14341" width="34" style="160" customWidth="1"/>
    <col min="14342" max="14342" width="1.54296875" style="160" customWidth="1"/>
    <col min="14343" max="14343" width="16" style="160" customWidth="1"/>
    <col min="14344" max="14344" width="1.54296875" style="160" customWidth="1"/>
    <col min="14345" max="14345" width="14" style="160" customWidth="1"/>
    <col min="14346" max="14346" width="1.54296875" style="160" customWidth="1"/>
    <col min="14347" max="14347" width="11.54296875" style="160" customWidth="1"/>
    <col min="14348" max="14348" width="2.54296875" style="160" customWidth="1"/>
    <col min="14349" max="14349" width="35.453125" style="160" bestFit="1" customWidth="1"/>
    <col min="14350" max="14350" width="20.453125" style="160" customWidth="1"/>
    <col min="14351" max="14592" width="8.7265625" style="160"/>
    <col min="14593" max="14593" width="4.54296875" style="160" customWidth="1"/>
    <col min="14594" max="14594" width="1.54296875" style="160" customWidth="1"/>
    <col min="14595" max="14595" width="46" style="160" customWidth="1"/>
    <col min="14596" max="14596" width="1.54296875" style="160" customWidth="1"/>
    <col min="14597" max="14597" width="34" style="160" customWidth="1"/>
    <col min="14598" max="14598" width="1.54296875" style="160" customWidth="1"/>
    <col min="14599" max="14599" width="16" style="160" customWidth="1"/>
    <col min="14600" max="14600" width="1.54296875" style="160" customWidth="1"/>
    <col min="14601" max="14601" width="14" style="160" customWidth="1"/>
    <col min="14602" max="14602" width="1.54296875" style="160" customWidth="1"/>
    <col min="14603" max="14603" width="11.54296875" style="160" customWidth="1"/>
    <col min="14604" max="14604" width="2.54296875" style="160" customWidth="1"/>
    <col min="14605" max="14605" width="35.453125" style="160" bestFit="1" customWidth="1"/>
    <col min="14606" max="14606" width="20.453125" style="160" customWidth="1"/>
    <col min="14607" max="14848" width="8.7265625" style="160"/>
    <col min="14849" max="14849" width="4.54296875" style="160" customWidth="1"/>
    <col min="14850" max="14850" width="1.54296875" style="160" customWidth="1"/>
    <col min="14851" max="14851" width="46" style="160" customWidth="1"/>
    <col min="14852" max="14852" width="1.54296875" style="160" customWidth="1"/>
    <col min="14853" max="14853" width="34" style="160" customWidth="1"/>
    <col min="14854" max="14854" width="1.54296875" style="160" customWidth="1"/>
    <col min="14855" max="14855" width="16" style="160" customWidth="1"/>
    <col min="14856" max="14856" width="1.54296875" style="160" customWidth="1"/>
    <col min="14857" max="14857" width="14" style="160" customWidth="1"/>
    <col min="14858" max="14858" width="1.54296875" style="160" customWidth="1"/>
    <col min="14859" max="14859" width="11.54296875" style="160" customWidth="1"/>
    <col min="14860" max="14860" width="2.54296875" style="160" customWidth="1"/>
    <col min="14861" max="14861" width="35.453125" style="160" bestFit="1" customWidth="1"/>
    <col min="14862" max="14862" width="20.453125" style="160" customWidth="1"/>
    <col min="14863" max="15104" width="8.7265625" style="160"/>
    <col min="15105" max="15105" width="4.54296875" style="160" customWidth="1"/>
    <col min="15106" max="15106" width="1.54296875" style="160" customWidth="1"/>
    <col min="15107" max="15107" width="46" style="160" customWidth="1"/>
    <col min="15108" max="15108" width="1.54296875" style="160" customWidth="1"/>
    <col min="15109" max="15109" width="34" style="160" customWidth="1"/>
    <col min="15110" max="15110" width="1.54296875" style="160" customWidth="1"/>
    <col min="15111" max="15111" width="16" style="160" customWidth="1"/>
    <col min="15112" max="15112" width="1.54296875" style="160" customWidth="1"/>
    <col min="15113" max="15113" width="14" style="160" customWidth="1"/>
    <col min="15114" max="15114" width="1.54296875" style="160" customWidth="1"/>
    <col min="15115" max="15115" width="11.54296875" style="160" customWidth="1"/>
    <col min="15116" max="15116" width="2.54296875" style="160" customWidth="1"/>
    <col min="15117" max="15117" width="35.453125" style="160" bestFit="1" customWidth="1"/>
    <col min="15118" max="15118" width="20.453125" style="160" customWidth="1"/>
    <col min="15119" max="15360" width="8.7265625" style="160"/>
    <col min="15361" max="15361" width="4.54296875" style="160" customWidth="1"/>
    <col min="15362" max="15362" width="1.54296875" style="160" customWidth="1"/>
    <col min="15363" max="15363" width="46" style="160" customWidth="1"/>
    <col min="15364" max="15364" width="1.54296875" style="160" customWidth="1"/>
    <col min="15365" max="15365" width="34" style="160" customWidth="1"/>
    <col min="15366" max="15366" width="1.54296875" style="160" customWidth="1"/>
    <col min="15367" max="15367" width="16" style="160" customWidth="1"/>
    <col min="15368" max="15368" width="1.54296875" style="160" customWidth="1"/>
    <col min="15369" max="15369" width="14" style="160" customWidth="1"/>
    <col min="15370" max="15370" width="1.54296875" style="160" customWidth="1"/>
    <col min="15371" max="15371" width="11.54296875" style="160" customWidth="1"/>
    <col min="15372" max="15372" width="2.54296875" style="160" customWidth="1"/>
    <col min="15373" max="15373" width="35.453125" style="160" bestFit="1" customWidth="1"/>
    <col min="15374" max="15374" width="20.453125" style="160" customWidth="1"/>
    <col min="15375" max="15616" width="8.7265625" style="160"/>
    <col min="15617" max="15617" width="4.54296875" style="160" customWidth="1"/>
    <col min="15618" max="15618" width="1.54296875" style="160" customWidth="1"/>
    <col min="15619" max="15619" width="46" style="160" customWidth="1"/>
    <col min="15620" max="15620" width="1.54296875" style="160" customWidth="1"/>
    <col min="15621" max="15621" width="34" style="160" customWidth="1"/>
    <col min="15622" max="15622" width="1.54296875" style="160" customWidth="1"/>
    <col min="15623" max="15623" width="16" style="160" customWidth="1"/>
    <col min="15624" max="15624" width="1.54296875" style="160" customWidth="1"/>
    <col min="15625" max="15625" width="14" style="160" customWidth="1"/>
    <col min="15626" max="15626" width="1.54296875" style="160" customWidth="1"/>
    <col min="15627" max="15627" width="11.54296875" style="160" customWidth="1"/>
    <col min="15628" max="15628" width="2.54296875" style="160" customWidth="1"/>
    <col min="15629" max="15629" width="35.453125" style="160" bestFit="1" customWidth="1"/>
    <col min="15630" max="15630" width="20.453125" style="160" customWidth="1"/>
    <col min="15631" max="15872" width="8.7265625" style="160"/>
    <col min="15873" max="15873" width="4.54296875" style="160" customWidth="1"/>
    <col min="15874" max="15874" width="1.54296875" style="160" customWidth="1"/>
    <col min="15875" max="15875" width="46" style="160" customWidth="1"/>
    <col min="15876" max="15876" width="1.54296875" style="160" customWidth="1"/>
    <col min="15877" max="15877" width="34" style="160" customWidth="1"/>
    <col min="15878" max="15878" width="1.54296875" style="160" customWidth="1"/>
    <col min="15879" max="15879" width="16" style="160" customWidth="1"/>
    <col min="15880" max="15880" width="1.54296875" style="160" customWidth="1"/>
    <col min="15881" max="15881" width="14" style="160" customWidth="1"/>
    <col min="15882" max="15882" width="1.54296875" style="160" customWidth="1"/>
    <col min="15883" max="15883" width="11.54296875" style="160" customWidth="1"/>
    <col min="15884" max="15884" width="2.54296875" style="160" customWidth="1"/>
    <col min="15885" max="15885" width="35.453125" style="160" bestFit="1" customWidth="1"/>
    <col min="15886" max="15886" width="20.453125" style="160" customWidth="1"/>
    <col min="15887" max="16128" width="8.7265625" style="160"/>
    <col min="16129" max="16129" width="4.54296875" style="160" customWidth="1"/>
    <col min="16130" max="16130" width="1.54296875" style="160" customWidth="1"/>
    <col min="16131" max="16131" width="46" style="160" customWidth="1"/>
    <col min="16132" max="16132" width="1.54296875" style="160" customWidth="1"/>
    <col min="16133" max="16133" width="34" style="160" customWidth="1"/>
    <col min="16134" max="16134" width="1.54296875" style="160" customWidth="1"/>
    <col min="16135" max="16135" width="16" style="160" customWidth="1"/>
    <col min="16136" max="16136" width="1.54296875" style="160" customWidth="1"/>
    <col min="16137" max="16137" width="14" style="160" customWidth="1"/>
    <col min="16138" max="16138" width="1.54296875" style="160" customWidth="1"/>
    <col min="16139" max="16139" width="11.54296875" style="160" customWidth="1"/>
    <col min="16140" max="16140" width="2.54296875" style="160" customWidth="1"/>
    <col min="16141" max="16141" width="35.453125" style="160" bestFit="1" customWidth="1"/>
    <col min="16142" max="16142" width="20.453125" style="160" customWidth="1"/>
    <col min="16143" max="16384" width="8.7265625" style="160"/>
  </cols>
  <sheetData>
    <row r="1" spans="1:14" ht="13" x14ac:dyDescent="0.3">
      <c r="A1" s="105" t="s">
        <v>615</v>
      </c>
      <c r="B1" s="105"/>
      <c r="C1" s="48"/>
      <c r="D1" s="48"/>
      <c r="G1" s="48"/>
      <c r="H1" s="48"/>
      <c r="I1" s="48"/>
      <c r="J1" s="48"/>
      <c r="K1" s="48"/>
      <c r="L1" s="48"/>
      <c r="M1" s="48"/>
    </row>
    <row r="2" spans="1:14" x14ac:dyDescent="0.25">
      <c r="C2" s="167"/>
    </row>
    <row r="3" spans="1:14" ht="13" x14ac:dyDescent="0.3">
      <c r="A3" s="106" t="s">
        <v>22</v>
      </c>
      <c r="B3" s="10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ht="13" x14ac:dyDescent="0.3">
      <c r="A4" s="107">
        <v>1</v>
      </c>
      <c r="B4" s="10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ht="13" x14ac:dyDescent="0.3">
      <c r="A5" s="107">
        <v>2</v>
      </c>
      <c r="B5" s="107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ht="13" x14ac:dyDescent="0.3">
      <c r="A6" s="107">
        <v>3</v>
      </c>
      <c r="B6" s="107"/>
      <c r="C6" s="48"/>
      <c r="D6" s="48"/>
      <c r="E6" s="48"/>
      <c r="F6" s="48"/>
      <c r="G6" s="48"/>
      <c r="H6" s="48"/>
      <c r="I6" s="48"/>
      <c r="J6" s="48"/>
      <c r="K6" s="107" t="s">
        <v>478</v>
      </c>
      <c r="L6" s="48"/>
      <c r="M6" s="48"/>
    </row>
    <row r="7" spans="1:14" ht="13" x14ac:dyDescent="0.3">
      <c r="A7" s="107">
        <v>4</v>
      </c>
      <c r="B7" s="107"/>
      <c r="C7" s="48"/>
      <c r="D7" s="48"/>
      <c r="E7" s="108" t="s">
        <v>616</v>
      </c>
      <c r="F7" s="107"/>
      <c r="G7" s="48"/>
      <c r="H7" s="48"/>
      <c r="I7" s="48"/>
      <c r="J7" s="48"/>
      <c r="K7" s="108" t="s">
        <v>96</v>
      </c>
      <c r="L7" s="48"/>
      <c r="M7" s="109"/>
    </row>
    <row r="8" spans="1:14" ht="13" x14ac:dyDescent="0.3">
      <c r="A8" s="107">
        <v>5</v>
      </c>
      <c r="B8" s="107"/>
      <c r="C8" s="48"/>
      <c r="D8" s="48"/>
      <c r="E8" s="48"/>
      <c r="F8" s="48"/>
      <c r="G8" s="48"/>
      <c r="H8" s="48"/>
      <c r="I8" s="48"/>
      <c r="J8" s="48"/>
      <c r="K8" s="110"/>
      <c r="L8" s="48"/>
      <c r="M8" s="48"/>
    </row>
    <row r="9" spans="1:14" ht="13" x14ac:dyDescent="0.3">
      <c r="A9" s="107">
        <v>6</v>
      </c>
      <c r="B9" s="107"/>
      <c r="C9" s="105" t="s">
        <v>617</v>
      </c>
      <c r="D9" s="48"/>
      <c r="E9" s="48" t="s">
        <v>618</v>
      </c>
      <c r="F9" s="48"/>
      <c r="G9" s="48"/>
      <c r="H9" s="48"/>
      <c r="I9" s="48"/>
      <c r="J9" s="48"/>
      <c r="K9" s="110">
        <f>I20</f>
        <v>-197804839.17250916</v>
      </c>
      <c r="L9" s="48"/>
      <c r="M9" s="48"/>
      <c r="N9" s="225"/>
    </row>
    <row r="10" spans="1:14" ht="13.5" thickBot="1" x14ac:dyDescent="0.35">
      <c r="A10" s="107">
        <v>7</v>
      </c>
      <c r="B10" s="107"/>
      <c r="C10" s="105" t="s">
        <v>619</v>
      </c>
      <c r="D10" s="106"/>
      <c r="E10" s="48" t="s">
        <v>620</v>
      </c>
      <c r="F10" s="48"/>
      <c r="G10" s="48"/>
      <c r="H10" s="48"/>
      <c r="I10" s="48"/>
      <c r="J10" s="48"/>
      <c r="K10" s="111">
        <f>+K20</f>
        <v>-192296783.42467985</v>
      </c>
      <c r="L10" s="48"/>
      <c r="M10" s="48"/>
    </row>
    <row r="11" spans="1:14" ht="13.5" thickTop="1" x14ac:dyDescent="0.3">
      <c r="A11" s="107">
        <v>8</v>
      </c>
      <c r="B11" s="107"/>
      <c r="C11" s="48"/>
      <c r="D11" s="48"/>
      <c r="E11" s="48"/>
      <c r="F11" s="48"/>
      <c r="G11" s="48"/>
      <c r="H11" s="48"/>
      <c r="I11" s="48"/>
      <c r="J11" s="48"/>
      <c r="K11" s="110"/>
      <c r="L11" s="48"/>
      <c r="M11" s="48"/>
    </row>
    <row r="12" spans="1:14" ht="13" x14ac:dyDescent="0.3">
      <c r="A12" s="107">
        <v>9</v>
      </c>
      <c r="B12" s="107"/>
      <c r="C12" s="48"/>
      <c r="D12" s="48"/>
      <c r="E12" s="48"/>
      <c r="F12" s="48"/>
      <c r="G12" s="112" t="s">
        <v>12</v>
      </c>
      <c r="H12" s="112"/>
      <c r="I12" s="112" t="s">
        <v>343</v>
      </c>
      <c r="J12" s="112"/>
      <c r="K12" s="112" t="s">
        <v>361</v>
      </c>
      <c r="L12" s="48"/>
      <c r="M12" s="48"/>
    </row>
    <row r="13" spans="1:14" ht="13" x14ac:dyDescent="0.3">
      <c r="A13" s="107">
        <v>10</v>
      </c>
      <c r="B13" s="107"/>
      <c r="C13" s="48"/>
      <c r="D13" s="48"/>
      <c r="E13" s="48"/>
      <c r="F13" s="48"/>
      <c r="G13" s="107" t="s">
        <v>478</v>
      </c>
      <c r="H13" s="107"/>
      <c r="I13" s="107" t="s">
        <v>478</v>
      </c>
      <c r="J13" s="107"/>
      <c r="K13" s="107" t="s">
        <v>478</v>
      </c>
      <c r="L13" s="48"/>
      <c r="M13" s="48"/>
    </row>
    <row r="14" spans="1:14" ht="14.5" x14ac:dyDescent="0.35">
      <c r="A14" s="107">
        <v>11</v>
      </c>
      <c r="B14" s="107"/>
      <c r="C14" s="107"/>
      <c r="D14" s="107"/>
      <c r="E14" s="107"/>
      <c r="F14" s="107"/>
      <c r="G14" s="107" t="s">
        <v>355</v>
      </c>
      <c r="H14" s="107"/>
      <c r="I14" s="107" t="s">
        <v>621</v>
      </c>
      <c r="J14" s="107"/>
      <c r="K14" s="226" t="s">
        <v>357</v>
      </c>
      <c r="L14" s="48"/>
      <c r="M14" s="48"/>
    </row>
    <row r="15" spans="1:14" ht="13" x14ac:dyDescent="0.3">
      <c r="A15" s="107">
        <v>12</v>
      </c>
      <c r="B15" s="107"/>
      <c r="C15" s="107" t="s">
        <v>622</v>
      </c>
      <c r="D15" s="107"/>
      <c r="E15" s="107"/>
      <c r="F15" s="107"/>
      <c r="G15" s="107" t="s">
        <v>623</v>
      </c>
      <c r="H15" s="107"/>
      <c r="I15" s="107" t="s">
        <v>623</v>
      </c>
      <c r="J15" s="107"/>
      <c r="K15" s="107" t="s">
        <v>623</v>
      </c>
      <c r="L15" s="48"/>
      <c r="M15" s="48"/>
    </row>
    <row r="16" spans="1:14" ht="13" x14ac:dyDescent="0.3">
      <c r="A16" s="107">
        <v>13</v>
      </c>
      <c r="B16" s="107"/>
      <c r="C16" s="113" t="s">
        <v>130</v>
      </c>
      <c r="D16" s="113"/>
      <c r="E16" s="113"/>
      <c r="F16" s="113"/>
      <c r="G16" s="108" t="s">
        <v>624</v>
      </c>
      <c r="H16" s="107"/>
      <c r="I16" s="108" t="s">
        <v>624</v>
      </c>
      <c r="J16" s="107"/>
      <c r="K16" s="108" t="s">
        <v>624</v>
      </c>
      <c r="L16" s="48"/>
      <c r="M16" s="48"/>
    </row>
    <row r="17" spans="1:14" ht="13" x14ac:dyDescent="0.3">
      <c r="A17" s="107">
        <v>14</v>
      </c>
      <c r="B17" s="107"/>
      <c r="C17" s="48" t="s">
        <v>625</v>
      </c>
      <c r="D17" s="48"/>
      <c r="E17" s="167" t="s">
        <v>626</v>
      </c>
      <c r="F17" s="167"/>
      <c r="G17" s="110">
        <f>+G27</f>
        <v>-182100338.83756387</v>
      </c>
      <c r="H17" s="110"/>
      <c r="I17" s="110">
        <f>+I27</f>
        <v>-193135739.82315111</v>
      </c>
      <c r="J17" s="110"/>
      <c r="K17" s="110">
        <f>(+G17+I17)/2</f>
        <v>-187618039.33035749</v>
      </c>
      <c r="L17" s="48"/>
      <c r="M17" s="48"/>
      <c r="N17" s="48"/>
    </row>
    <row r="18" spans="1:14" ht="13" x14ac:dyDescent="0.3">
      <c r="A18" s="107">
        <v>15</v>
      </c>
      <c r="B18" s="107"/>
      <c r="C18" s="48" t="s">
        <v>627</v>
      </c>
      <c r="D18" s="48"/>
      <c r="E18" s="48" t="s">
        <v>628</v>
      </c>
      <c r="F18" s="48"/>
      <c r="G18" s="110">
        <f>+G32</f>
        <v>-4076322.2301626741</v>
      </c>
      <c r="H18" s="110"/>
      <c r="I18" s="110">
        <f>+I32</f>
        <v>-4054664.6736122891</v>
      </c>
      <c r="J18" s="110"/>
      <c r="K18" s="110">
        <f>(+G18+I18)/2</f>
        <v>-4065493.4518874818</v>
      </c>
      <c r="L18" s="48"/>
      <c r="M18" s="48"/>
      <c r="N18" s="48"/>
    </row>
    <row r="19" spans="1:14" ht="13" x14ac:dyDescent="0.3">
      <c r="A19" s="107">
        <v>16</v>
      </c>
      <c r="B19" s="107"/>
      <c r="C19" s="48" t="s">
        <v>629</v>
      </c>
      <c r="D19" s="48"/>
      <c r="E19" s="48" t="s">
        <v>630</v>
      </c>
      <c r="F19" s="48"/>
      <c r="G19" s="114">
        <f>+G39</f>
        <v>-612066.60912399122</v>
      </c>
      <c r="H19" s="115"/>
      <c r="I19" s="114">
        <f>+I39</f>
        <v>-614434.67574576102</v>
      </c>
      <c r="J19" s="115"/>
      <c r="K19" s="110">
        <f>(+G19+I19)/2</f>
        <v>-613250.64243487618</v>
      </c>
      <c r="L19" s="48"/>
      <c r="M19" s="48"/>
    </row>
    <row r="20" spans="1:14" ht="13.5" thickBot="1" x14ac:dyDescent="0.35">
      <c r="A20" s="107">
        <v>17</v>
      </c>
      <c r="B20" s="107"/>
      <c r="C20" s="48" t="s">
        <v>631</v>
      </c>
      <c r="D20" s="48"/>
      <c r="E20" s="48" t="s">
        <v>632</v>
      </c>
      <c r="F20" s="48"/>
      <c r="G20" s="116">
        <f>+G17+G18+G19</f>
        <v>-186788727.67685056</v>
      </c>
      <c r="H20" s="110"/>
      <c r="I20" s="116">
        <f>+I17+I18+I19</f>
        <v>-197804839.17250916</v>
      </c>
      <c r="J20" s="110"/>
      <c r="K20" s="116">
        <f>+K17+K18+K19</f>
        <v>-192296783.42467985</v>
      </c>
      <c r="L20" s="48"/>
      <c r="M20" s="48"/>
      <c r="N20" s="167" t="s">
        <v>233</v>
      </c>
    </row>
    <row r="21" spans="1:14" ht="13.5" thickTop="1" x14ac:dyDescent="0.3">
      <c r="A21" s="107">
        <v>18</v>
      </c>
      <c r="B21" s="10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1:14" ht="13" x14ac:dyDescent="0.3">
      <c r="A22" s="107">
        <v>19</v>
      </c>
      <c r="B22" s="107"/>
      <c r="C22" s="106" t="s">
        <v>633</v>
      </c>
      <c r="D22" s="106"/>
      <c r="E22" s="106"/>
      <c r="F22" s="106"/>
      <c r="G22" s="48"/>
      <c r="H22" s="48"/>
      <c r="I22" s="48"/>
      <c r="J22" s="48"/>
      <c r="K22" s="48"/>
      <c r="L22" s="48"/>
      <c r="M22" s="48"/>
    </row>
    <row r="23" spans="1:14" ht="13" x14ac:dyDescent="0.3">
      <c r="A23" s="107">
        <v>20</v>
      </c>
      <c r="B23" s="107"/>
      <c r="K23" s="175" t="s">
        <v>357</v>
      </c>
    </row>
    <row r="24" spans="1:14" ht="13.5" thickBot="1" x14ac:dyDescent="0.35">
      <c r="A24" s="107">
        <v>21</v>
      </c>
      <c r="B24" s="107"/>
      <c r="C24" s="106" t="s">
        <v>526</v>
      </c>
      <c r="D24" s="106"/>
      <c r="E24" s="106"/>
      <c r="F24" s="106"/>
      <c r="G24" s="227" t="s">
        <v>355</v>
      </c>
      <c r="H24" s="180"/>
      <c r="I24" s="227" t="s">
        <v>621</v>
      </c>
      <c r="J24" s="180"/>
      <c r="K24" s="228" t="s">
        <v>634</v>
      </c>
      <c r="M24" s="210" t="s">
        <v>233</v>
      </c>
    </row>
    <row r="25" spans="1:14" ht="13.5" thickBot="1" x14ac:dyDescent="0.35">
      <c r="A25" s="107">
        <v>22</v>
      </c>
      <c r="B25" s="107"/>
      <c r="C25" s="160" t="s">
        <v>635</v>
      </c>
      <c r="E25" s="48" t="s">
        <v>636</v>
      </c>
      <c r="F25" s="48"/>
      <c r="G25" s="117">
        <v>-2771957878.7399998</v>
      </c>
      <c r="H25" s="118"/>
      <c r="I25" s="119">
        <v>-2939940359.73</v>
      </c>
      <c r="J25" s="120"/>
      <c r="M25" s="225"/>
      <c r="N25" s="50"/>
    </row>
    <row r="26" spans="1:14" ht="14.5" x14ac:dyDescent="0.35">
      <c r="A26" s="107">
        <v>23</v>
      </c>
      <c r="B26" s="107"/>
      <c r="C26" s="160" t="s">
        <v>637</v>
      </c>
      <c r="E26" s="121" t="s">
        <v>638</v>
      </c>
      <c r="F26" s="121"/>
      <c r="G26" s="122">
        <v>6.5693761162178274E-2</v>
      </c>
      <c r="H26" s="123"/>
      <c r="I26" s="122">
        <v>6.5693761162178274E-2</v>
      </c>
      <c r="J26" s="123"/>
      <c r="M26" s="225"/>
    </row>
    <row r="27" spans="1:14" ht="15" thickBot="1" x14ac:dyDescent="0.4">
      <c r="A27" s="107">
        <v>24</v>
      </c>
      <c r="B27" s="107"/>
      <c r="C27" s="160" t="s">
        <v>639</v>
      </c>
      <c r="E27" s="206" t="s">
        <v>640</v>
      </c>
      <c r="F27" s="178"/>
      <c r="G27" s="124">
        <f>+G25*G26</f>
        <v>-182100338.83756387</v>
      </c>
      <c r="H27" s="125"/>
      <c r="I27" s="124">
        <f>+I25*I26</f>
        <v>-193135739.82315111</v>
      </c>
      <c r="J27" s="125"/>
      <c r="K27" s="229">
        <f>(G27+I27)/2</f>
        <v>-187618039.33035749</v>
      </c>
      <c r="M27" s="225"/>
    </row>
    <row r="28" spans="1:14" ht="13.5" thickTop="1" x14ac:dyDescent="0.3">
      <c r="A28" s="107">
        <v>25</v>
      </c>
      <c r="B28" s="107"/>
      <c r="M28" s="225"/>
    </row>
    <row r="29" spans="1:14" ht="13" x14ac:dyDescent="0.3">
      <c r="A29" s="107">
        <v>26</v>
      </c>
      <c r="B29" s="107"/>
      <c r="C29" s="163" t="s">
        <v>641</v>
      </c>
      <c r="D29" s="163"/>
      <c r="E29" s="163"/>
      <c r="F29" s="163"/>
      <c r="M29" s="230" t="s">
        <v>233</v>
      </c>
    </row>
    <row r="30" spans="1:14" ht="13" x14ac:dyDescent="0.3">
      <c r="A30" s="107">
        <v>27</v>
      </c>
      <c r="B30" s="107"/>
      <c r="C30" s="167" t="s">
        <v>642</v>
      </c>
      <c r="D30" s="167"/>
      <c r="E30" s="48" t="s">
        <v>636</v>
      </c>
      <c r="F30" s="48"/>
      <c r="G30" s="117">
        <v>-62050370.659999996</v>
      </c>
      <c r="H30" s="118"/>
      <c r="I30" s="117">
        <v>-61720696.18</v>
      </c>
      <c r="J30" s="120"/>
      <c r="M30" s="225"/>
    </row>
    <row r="31" spans="1:14" ht="14.5" x14ac:dyDescent="0.35">
      <c r="A31" s="107">
        <v>28</v>
      </c>
      <c r="B31" s="107"/>
      <c r="C31" s="160" t="s">
        <v>637</v>
      </c>
      <c r="E31" s="121" t="s">
        <v>638</v>
      </c>
      <c r="F31" s="121"/>
      <c r="G31" s="122">
        <v>6.5693761162178274E-2</v>
      </c>
      <c r="H31" s="123"/>
      <c r="I31" s="122">
        <v>6.5693761162178274E-2</v>
      </c>
      <c r="J31" s="123"/>
      <c r="M31" s="225"/>
    </row>
    <row r="32" spans="1:14" ht="15" thickBot="1" x14ac:dyDescent="0.4">
      <c r="A32" s="107">
        <v>29</v>
      </c>
      <c r="B32" s="107"/>
      <c r="C32" s="160" t="s">
        <v>639</v>
      </c>
      <c r="E32" s="206" t="s">
        <v>643</v>
      </c>
      <c r="F32" s="178"/>
      <c r="G32" s="124">
        <f>+G30*G31</f>
        <v>-4076322.2301626741</v>
      </c>
      <c r="H32" s="125"/>
      <c r="I32" s="124">
        <f>+I30*I31</f>
        <v>-4054664.6736122891</v>
      </c>
      <c r="J32" s="125"/>
      <c r="K32" s="229">
        <f>(G32+I32)/2</f>
        <v>-4065493.4518874818</v>
      </c>
      <c r="M32" s="225"/>
    </row>
    <row r="33" spans="1:11" ht="13.5" thickTop="1" x14ac:dyDescent="0.3">
      <c r="A33" s="107">
        <f t="shared" ref="A33:A39" si="0">1+A32</f>
        <v>30</v>
      </c>
    </row>
    <row r="34" spans="1:11" ht="13" x14ac:dyDescent="0.3">
      <c r="A34" s="107">
        <f t="shared" si="0"/>
        <v>31</v>
      </c>
      <c r="C34" s="163" t="s">
        <v>644</v>
      </c>
    </row>
    <row r="35" spans="1:11" ht="13" x14ac:dyDescent="0.3">
      <c r="A35" s="107">
        <f t="shared" si="0"/>
        <v>32</v>
      </c>
      <c r="C35" s="167" t="s">
        <v>644</v>
      </c>
      <c r="E35" s="48" t="s">
        <v>636</v>
      </c>
      <c r="F35" s="48"/>
      <c r="G35" s="179">
        <v>-18633934.130000003</v>
      </c>
      <c r="H35" s="118"/>
      <c r="I35" s="179">
        <v>-18706028.240000002</v>
      </c>
      <c r="J35" s="120"/>
    </row>
    <row r="36" spans="1:11" ht="13" x14ac:dyDescent="0.3">
      <c r="A36" s="107">
        <f t="shared" si="0"/>
        <v>33</v>
      </c>
      <c r="C36" s="167" t="s">
        <v>645</v>
      </c>
      <c r="E36" s="231" t="s">
        <v>646</v>
      </c>
      <c r="G36" s="232">
        <v>0.5</v>
      </c>
      <c r="I36" s="232">
        <v>0.5</v>
      </c>
    </row>
    <row r="37" spans="1:11" ht="13" x14ac:dyDescent="0.3">
      <c r="A37" s="107">
        <f t="shared" si="0"/>
        <v>34</v>
      </c>
      <c r="C37" s="167" t="s">
        <v>647</v>
      </c>
      <c r="E37" s="167" t="s">
        <v>648</v>
      </c>
      <c r="G37" s="166">
        <f>+G35*G36</f>
        <v>-9316967.0650000013</v>
      </c>
      <c r="H37" s="166"/>
      <c r="I37" s="166">
        <f>+I35*I36</f>
        <v>-9353014.120000001</v>
      </c>
    </row>
    <row r="38" spans="1:11" ht="14.5" x14ac:dyDescent="0.35">
      <c r="A38" s="107">
        <f t="shared" si="0"/>
        <v>35</v>
      </c>
      <c r="C38" s="160" t="s">
        <v>637</v>
      </c>
      <c r="E38" s="121" t="s">
        <v>638</v>
      </c>
      <c r="F38" s="121"/>
      <c r="G38" s="122">
        <v>6.5693761162178274E-2</v>
      </c>
      <c r="H38" s="123"/>
      <c r="I38" s="122">
        <v>6.5693761162178274E-2</v>
      </c>
      <c r="J38" s="123"/>
    </row>
    <row r="39" spans="1:11" ht="15" thickBot="1" x14ac:dyDescent="0.4">
      <c r="A39" s="107">
        <f t="shared" si="0"/>
        <v>36</v>
      </c>
      <c r="C39" s="160" t="s">
        <v>639</v>
      </c>
      <c r="E39" s="206" t="s">
        <v>649</v>
      </c>
      <c r="F39" s="178"/>
      <c r="G39" s="124">
        <f>+G37*G38</f>
        <v>-612066.60912399122</v>
      </c>
      <c r="H39" s="125"/>
      <c r="I39" s="124">
        <f>+I37*I38</f>
        <v>-614434.67574576102</v>
      </c>
      <c r="J39" s="125"/>
      <c r="K39" s="229">
        <f>(G39+I39)/2</f>
        <v>-613250.64243487618</v>
      </c>
    </row>
    <row r="40" spans="1:11" ht="13" thickTop="1" x14ac:dyDescent="0.25"/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scale="85" orientation="landscape" cellComments="asDisplayed" r:id="rId1"/>
  <headerFooter>
    <oddHeader xml:space="preserve">&amp;CSchedule 34
Unfunded Reserves
(TO2018 Wildfire Adj)
&amp;RTO2021 Annual Update
Attachment 4
WP-Schedule 3-One Time Adjustment Transition
Page &amp;P of &amp;N
</oddHeader>
    <oddFooter>&amp;R34-UnfundedReserves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7" ma:contentTypeDescription="Create a new document." ma:contentTypeScope="" ma:versionID="7ec29c6cde878f10229221e5bc2b31ea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b7c89f3b0667a2a10d4485ce1dc75778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C915D6-A18E-4082-8822-1930DAE1B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2CA0FB-BB7C-4729-A55D-27CF6F2FCC71}">
  <ds:schemaRefs>
    <ds:schemaRef ds:uri="0bc2e7ab-a9ef-4507-aecb-8204a3dc15b0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74c324c-599a-433a-b66e-41663df5c93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Total One Time Adjustment-Rev</vt:lpstr>
      <vt:lpstr>One Time Adjust for TUTRR-Rev</vt:lpstr>
      <vt:lpstr>2019 Wildfire Adj-Rev</vt:lpstr>
      <vt:lpstr>TO2018 WF-Sch4-TUTRR-Rev</vt:lpstr>
      <vt:lpstr>TO2018WF-Sch5-ROR-2-Rev</vt:lpstr>
      <vt:lpstr>TO2018WF-Sch9-ADIT</vt:lpstr>
      <vt:lpstr>TO2018WF-Sch10-CWIP</vt:lpstr>
      <vt:lpstr>TO2018WF-Sch20-AandG-Rev</vt:lpstr>
      <vt:lpstr>TO2018WF Sch34-UnfundedReserves</vt:lpstr>
      <vt:lpstr>2019 EDIT Amortization Adj</vt:lpstr>
      <vt:lpstr>TO2018EDIT Sch4-TUTRR-Rev</vt:lpstr>
      <vt:lpstr>TO2018EDIT Sch1-BaseTRR-Rev</vt:lpstr>
      <vt:lpstr>TO2018EDIT Sch5-ROR-2-Rev</vt:lpstr>
      <vt:lpstr>TO2018EDIT Sch10-CWIP</vt:lpstr>
      <vt:lpstr>TO2018EDIT Sch20-AandG-Rev</vt:lpstr>
      <vt:lpstr>TO2021EDIT Sch4-TUTRR-Rev</vt:lpstr>
      <vt:lpstr>TO2021EDIT Sch1-BaseTRR-Rev</vt:lpstr>
      <vt:lpstr>TO2021EDIT Sch5-ROR-2-Rev</vt:lpstr>
      <vt:lpstr>TO2021EDIT Sch10-CWIP</vt:lpstr>
      <vt:lpstr>TO2021EDIT Sch20-AandG-Rev</vt:lpstr>
      <vt:lpstr>'One Time Adjust for TUTRR-Rev'!Print_Area</vt:lpstr>
      <vt:lpstr>'TO2018 WF-Sch4-TUTRR-Rev'!Print_Area</vt:lpstr>
      <vt:lpstr>'TO2018EDIT Sch10-CWIP'!Print_Area</vt:lpstr>
      <vt:lpstr>'TO2018EDIT Sch1-BaseTRR-Rev'!Print_Area</vt:lpstr>
      <vt:lpstr>'TO2018EDIT Sch20-AandG-Rev'!Print_Area</vt:lpstr>
      <vt:lpstr>'TO2018EDIT Sch4-TUTRR-Rev'!Print_Area</vt:lpstr>
      <vt:lpstr>'TO2018EDIT Sch5-ROR-2-Rev'!Print_Area</vt:lpstr>
      <vt:lpstr>'TO2018WF Sch34-UnfundedReserves'!Print_Area</vt:lpstr>
      <vt:lpstr>'TO2018WF-Sch10-CWIP'!Print_Area</vt:lpstr>
      <vt:lpstr>'TO2018WF-Sch20-AandG-Rev'!Print_Area</vt:lpstr>
      <vt:lpstr>'TO2018WF-Sch5-ROR-2-Rev'!Print_Area</vt:lpstr>
      <vt:lpstr>'TO2018WF-Sch9-ADIT'!Print_Area</vt:lpstr>
      <vt:lpstr>'TO2021EDIT Sch10-CWIP'!Print_Area</vt:lpstr>
      <vt:lpstr>'TO2021EDIT Sch1-BaseTRR-Rev'!Print_Area</vt:lpstr>
      <vt:lpstr>'TO2021EDIT Sch20-AandG-Rev'!Print_Area</vt:lpstr>
      <vt:lpstr>'TO2021EDIT Sch4-TUTRR-Rev'!Print_Area</vt:lpstr>
      <vt:lpstr>'TO2021EDIT Sch5-ROR-2-Rev'!Print_Area</vt:lpstr>
      <vt:lpstr>'Total One Time Adjustment-Rev'!Print_Area</vt:lpstr>
      <vt:lpstr>'TO2018EDIT Sch1-BaseTRR-Rev'!Print_Titles</vt:lpstr>
      <vt:lpstr>'TO2021EDIT Sch1-BaseTRR-Rev'!Print_Titles</vt:lpstr>
    </vt:vector>
  </TitlesOfParts>
  <Manager/>
  <Company>SCE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Hansen, Berton J</dc:creator>
  <cp:keywords/>
  <dc:description/>
  <cp:lastModifiedBy>Jee Kim</cp:lastModifiedBy>
  <cp:revision/>
  <dcterms:created xsi:type="dcterms:W3CDTF">2017-03-23T21:29:02Z</dcterms:created>
  <dcterms:modified xsi:type="dcterms:W3CDTF">2020-11-18T19:03:40Z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