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hisWorkbook" defaultThemeVersion="124226"/>
  <mc:AlternateContent xmlns:mc="http://schemas.openxmlformats.org/markup-compatibility/2006">
    <mc:Choice Requires="x15">
      <x15ac:absPath xmlns:x15ac="http://schemas.microsoft.com/office/spreadsheetml/2010/11/ac" url="\\sce\workgroup\RPA\REG OPS\FERC-REG\FERC\FERC Contract &amp; Cost Analysis\2021 FERC Rate Case TO2021\12-Dec 1 Annual Informational Update\Workpaper\"/>
    </mc:Choice>
  </mc:AlternateContent>
  <xr:revisionPtr revIDLastSave="0" documentId="13_ncr:1_{2613BF3A-3B89-4B36-B515-391C19554288}" xr6:coauthVersionLast="45" xr6:coauthVersionMax="45" xr10:uidLastSave="{00000000-0000-0000-0000-000000000000}"/>
  <bookViews>
    <workbookView xWindow="28680" yWindow="-120" windowWidth="29040" windowHeight="16440" xr2:uid="{00000000-000D-0000-FFFF-FFFF00000000}"/>
  </bookViews>
  <sheets>
    <sheet name="One Time Adj Explanation" sheetId="100" r:id="rId1"/>
    <sheet name="WP-Total Adj with Int" sheetId="86" r:id="rId2"/>
    <sheet name="WP-2017 True Up TRR Adj" sheetId="194" r:id="rId3"/>
    <sheet name="WP-2017 Sch4-TUTRR" sheetId="209" r:id="rId4"/>
    <sheet name="WP-2017 Sch10-CWIP" sheetId="208" r:id="rId5"/>
    <sheet name="WP-2017 Sch20-AandG" sheetId="203" r:id="rId6"/>
    <sheet name="WP-2018 True Up TRR Adj" sheetId="213" r:id="rId7"/>
    <sheet name="WP-2018 Sch4-TUTRR" sheetId="211" r:id="rId8"/>
    <sheet name="WP-2018 Sch10-CWIP" sheetId="210" r:id="rId9"/>
    <sheet name="WP-2018 Sch20-AandG" sheetId="207"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Alt2007" localSheetId="2">#REF!</definedName>
    <definedName name="_Alt2007" localSheetId="6">#REF!</definedName>
    <definedName name="_Alt2007">#REF!</definedName>
    <definedName name="_Apr06" localSheetId="2">#REF!</definedName>
    <definedName name="_Apr06" localSheetId="6">#REF!</definedName>
    <definedName name="_Apr06">#REF!</definedName>
    <definedName name="_F100040">'[1]EIX Cost Centers'!$A$1:$B$33</definedName>
    <definedName name="_Feb06" localSheetId="2">#REF!</definedName>
    <definedName name="_Feb06" localSheetId="6">#REF!</definedName>
    <definedName name="_Feb06">#REF!</definedName>
    <definedName name="_Fill" localSheetId="2" hidden="1">#REF!</definedName>
    <definedName name="_Fill" localSheetId="6" hidden="1">#REF!</definedName>
    <definedName name="_Fill" hidden="1">#REF!</definedName>
    <definedName name="_May06" localSheetId="2">#REF!</definedName>
    <definedName name="_May06" localSheetId="6">#REF!</definedName>
    <definedName name="_May06">#REF!</definedName>
    <definedName name="_Nov05">#REF!</definedName>
    <definedName name="_Order1" hidden="1">255</definedName>
    <definedName name="_Order2" hidden="1">255</definedName>
    <definedName name="_SO2" localSheetId="2">#REF!</definedName>
    <definedName name="_SO2" localSheetId="6">#REF!</definedName>
    <definedName name="_SO2">#REF!</definedName>
    <definedName name="_SO4" localSheetId="2">#REF!</definedName>
    <definedName name="_SO4" localSheetId="6">#REF!</definedName>
    <definedName name="_SO4">#REF!</definedName>
    <definedName name="Active" localSheetId="2">#REF!</definedName>
    <definedName name="Active" localSheetId="6">#REF!</definedName>
    <definedName name="Active">#REF!</definedName>
    <definedName name="AltForecast">#REF!</definedName>
    <definedName name="Assets">'[2]GL Master Data lookup'!#REF!</definedName>
    <definedName name="Basis_Point" localSheetId="2">#REF!</definedName>
    <definedName name="Basis_Point" localSheetId="6">#REF!</definedName>
    <definedName name="Basis_Point">#REF!</definedName>
    <definedName name="Basis_Prices_Upload_Date">[3]Check!$B$29</definedName>
    <definedName name="Basis_Web_Query">[4]BasisPrices!$B$29</definedName>
    <definedName name="BHV" localSheetId="2">#REF!</definedName>
    <definedName name="BHV" localSheetId="6">#REF!</definedName>
    <definedName name="BHV">#REF!</definedName>
    <definedName name="Bio" localSheetId="2">#REF!</definedName>
    <definedName name="Bio" localSheetId="6">#REF!</definedName>
    <definedName name="Bio">#REF!</definedName>
    <definedName name="BLOCK" localSheetId="2">#REF!</definedName>
    <definedName name="BLOCK" localSheetId="6">#REF!</definedName>
    <definedName name="BLOCK">#REF!</definedName>
    <definedName name="BLOCKPOSTING">#REF!</definedName>
    <definedName name="Calc_implied_vol">[4]Volatility!$B$31</definedName>
    <definedName name="Clearing_House_deals_MTM_PT___Current_Month" localSheetId="2">#REF!</definedName>
    <definedName name="Clearing_House_deals_MTM_PT___Current_Month" localSheetId="6">#REF!</definedName>
    <definedName name="Clearing_House_deals_MTM_PT___Current_Month">#REF!</definedName>
    <definedName name="Cogen" localSheetId="2">#REF!</definedName>
    <definedName name="Cogen" localSheetId="6">#REF!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2">#REF!</definedName>
    <definedName name="CRR_PT2" localSheetId="6">#REF!</definedName>
    <definedName name="CRR_PT2">#REF!</definedName>
    <definedName name="CRR_SD_1" localSheetId="2">#REF!</definedName>
    <definedName name="CRR_SD_1" localSheetId="6">#REF!</definedName>
    <definedName name="CRR_SD_1">#REF!</definedName>
    <definedName name="CRR_SD_2" localSheetId="2">#REF!</definedName>
    <definedName name="CRR_SD_2" localSheetId="6">#REF!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2">#REF!</definedName>
    <definedName name="DWR_End_Row" localSheetId="6">#REF!</definedName>
    <definedName name="DWR_End_Row">#REF!</definedName>
    <definedName name="DWR_Start_Row" localSheetId="2">#REF!</definedName>
    <definedName name="DWR_Start_Row" localSheetId="6">#REF!</definedName>
    <definedName name="DWR_Start_Row">#REF!</definedName>
    <definedName name="Effective_date">'[4]Calpine Renewable Cntrct  MTM'!$L$81</definedName>
    <definedName name="EIX_10k" localSheetId="2">#REF!</definedName>
    <definedName name="EIX_10k" localSheetId="6">#REF!</definedName>
    <definedName name="EIX_10k">#REF!</definedName>
    <definedName name="EIX_10K_DET_M" localSheetId="2">#REF!</definedName>
    <definedName name="EIX_10K_DET_M" localSheetId="6">#REF!</definedName>
    <definedName name="EIX_10K_DET_M">#REF!</definedName>
    <definedName name="EIX_10K_DET_T" localSheetId="2">#REF!</definedName>
    <definedName name="EIX_10K_DET_T" localSheetId="6">#REF!</definedName>
    <definedName name="EIX_10K_DET_T">#REF!</definedName>
    <definedName name="EIX_10K_DETAIL">#REF!</definedName>
    <definedName name="EIX_10K_M">#REF!</definedName>
    <definedName name="EIX_10k_t">#REF!</definedName>
    <definedName name="EIX_10K_WK_CURR">[7]WS!#REF!</definedName>
    <definedName name="EIX_10K_WK_JAN1" localSheetId="2">#REF!</definedName>
    <definedName name="EIX_10K_WK_JAN1" localSheetId="6">#REF!</definedName>
    <definedName name="EIX_10K_WK_JAN1">#REF!</definedName>
    <definedName name="EIX_10k_WK_LASTMO" localSheetId="2">#REF!</definedName>
    <definedName name="EIX_10k_WK_LASTMO" localSheetId="6">#REF!</definedName>
    <definedName name="EIX_10k_WK_LASTMO">#REF!</definedName>
    <definedName name="EIX_WS" localSheetId="2">[7]WS!#REF!</definedName>
    <definedName name="EIX_WS" localSheetId="6">[7]WS!#REF!</definedName>
    <definedName name="EIX_WS">[7]WS!#REF!</definedName>
    <definedName name="eixytd" localSheetId="2">#REF!</definedName>
    <definedName name="eixytd" localSheetId="6">#REF!</definedName>
    <definedName name="eixytd">#REF!</definedName>
    <definedName name="ENTRYNODE" localSheetId="2">#REF!</definedName>
    <definedName name="ENTRYNODE" localSheetId="6">#REF!</definedName>
    <definedName name="ENTRYNODE">#REF!</definedName>
    <definedName name="EOptns_Term_Sch_Point" localSheetId="2">#REF!</definedName>
    <definedName name="EOptns_Term_Sch_Point" localSheetId="6">#REF!</definedName>
    <definedName name="EOptns_Term_Sch_Point">#REF!</definedName>
    <definedName name="Equity" localSheetId="2">'[2]GL Master Data lookup'!#REF!</definedName>
    <definedName name="Equity" localSheetId="6">'[2]GL Master Data lookup'!#REF!</definedName>
    <definedName name="Equity">'[2]GL Master Data lookup'!#REF!</definedName>
    <definedName name="Escalation_Rate" localSheetId="2">#REF!</definedName>
    <definedName name="Escalation_Rate" localSheetId="6">#REF!</definedName>
    <definedName name="Escalation_Rate">#REF!</definedName>
    <definedName name="FERC" localSheetId="2">#REF!</definedName>
    <definedName name="FERC" localSheetId="6">#REF!</definedName>
    <definedName name="FERC">#REF!</definedName>
    <definedName name="FERC_Map">'[2]CARS to FERC Map'!$A$2:$B$2339</definedName>
    <definedName name="Format_Quotes">[4]PowerPrices!$B$62</definedName>
    <definedName name="FSD" localSheetId="2">#REF!</definedName>
    <definedName name="FSD" localSheetId="6">#REF!</definedName>
    <definedName name="FSD">#REF!</definedName>
    <definedName name="Fut_Point" localSheetId="2">#REF!</definedName>
    <definedName name="Fut_Point" localSheetId="6">#REF!</definedName>
    <definedName name="Fut_Point">#REF!</definedName>
    <definedName name="Futs_Web_Query">[4]FuturePrices!$B$34</definedName>
    <definedName name="Futures_Prices_Upload_Date">[3]Check!$B$28</definedName>
    <definedName name="Gas" localSheetId="2">#REF!</definedName>
    <definedName name="Gas" localSheetId="6">#REF!</definedName>
    <definedName name="Gas">#REF!</definedName>
    <definedName name="Gas_Fin_Non_Options" localSheetId="2">#REF!</definedName>
    <definedName name="Gas_Fin_Non_Options" localSheetId="6">#REF!</definedName>
    <definedName name="Gas_Fin_Non_Options">#REF!</definedName>
    <definedName name="Gas_NOpt_PT_1" localSheetId="2">#REF!</definedName>
    <definedName name="Gas_NOpt_PT_1" localSheetId="6">#REF!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2">#REF!</definedName>
    <definedName name="HISTORICDOLLAR" localSheetId="6">#REF!</definedName>
    <definedName name="HISTORICDOLLAR">#REF!</definedName>
    <definedName name="Hydro" localSheetId="2">#REF!</definedName>
    <definedName name="Hydro" localSheetId="6">#REF!</definedName>
    <definedName name="Hydro">#REF!</definedName>
    <definedName name="Interest_Rates_Upload_Date">[3]Check!$B$30</definedName>
    <definedName name="IR_Web_Query">[4]InterestRates!$B$26</definedName>
    <definedName name="ITEMTYPE" localSheetId="2">#REF!</definedName>
    <definedName name="ITEMTYPE" localSheetId="6">#REF!</definedName>
    <definedName name="ITEMTYPE">#REF!</definedName>
    <definedName name="Level" localSheetId="2">#REF!</definedName>
    <definedName name="Level" localSheetId="6">#REF!</definedName>
    <definedName name="Level">#REF!</definedName>
    <definedName name="Liab" localSheetId="2">'[2]GL Master Data lookup'!#REF!</definedName>
    <definedName name="Liab" localSheetId="6">'[2]GL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2">#REF!</definedName>
    <definedName name="Load_Flag" localSheetId="6">#REF!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2">#REF!</definedName>
    <definedName name="MTM_Summary_Compare" localSheetId="6">#REF!</definedName>
    <definedName name="MTM_Summary_Compare">#REF!</definedName>
    <definedName name="NEG" localSheetId="2">#REF!</definedName>
    <definedName name="NEG" localSheetId="6">#REF!</definedName>
    <definedName name="NEG">#REF!</definedName>
    <definedName name="new" localSheetId="2" hidden="1">{#N/A,#N/A,TRUE,"Section6";#N/A,#N/A,TRUE,"OHcycles";#N/A,#N/A,TRUE,"OHtiming";#N/A,#N/A,TRUE,"OHcosts";#N/A,#N/A,TRUE,"GTdegradation";#N/A,#N/A,TRUE,"GTperformance";#N/A,#N/A,TRUE,"GraphEquip"}</definedName>
    <definedName name="new" localSheetId="6"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2">#REF!</definedName>
    <definedName name="Next_Month" localSheetId="6">#REF!</definedName>
    <definedName name="Next_Month">#REF!</definedName>
    <definedName name="NoContamSystems">SUM('[8]Facility Technical Data'!$C$11:$C$12)</definedName>
    <definedName name="OOR" localSheetId="2">'[2]GL Master Data lookup'!#REF!</definedName>
    <definedName name="OOR" localSheetId="6">'[2]GL Master Data lookup'!#REF!</definedName>
    <definedName name="OOR">'[2]GL Master Data lookup'!#REF!</definedName>
    <definedName name="Op_Exp" localSheetId="2">'[2]GL Master Data lookup'!#REF!</definedName>
    <definedName name="Op_Exp" localSheetId="6">'[2]GL Master Data lookup'!#REF!</definedName>
    <definedName name="Op_Exp">'[2]GL Master Data lookup'!#REF!</definedName>
    <definedName name="OracleUploadDate">[9]Renewable!$I$1</definedName>
    <definedName name="ord">'[10]Master Data'!$B$1:$T$118</definedName>
    <definedName name="P_L" localSheetId="2">'[2]GL Master Data lookup'!#REF!</definedName>
    <definedName name="P_L" localSheetId="6">'[2]GL Master Data lookup'!#REF!</definedName>
    <definedName name="P_L">'[2]GL Master Data lookup'!#REF!</definedName>
    <definedName name="Past_Cash" localSheetId="2">'[2]GL Master Data lookup'!#REF!</definedName>
    <definedName name="Past_Cash" localSheetId="6">'[2]GL Master Data lookup'!#REF!</definedName>
    <definedName name="Past_Cash">'[2]GL Master Data lookup'!#REF!</definedName>
    <definedName name="PivotTablePoint" localSheetId="2">#REF!</definedName>
    <definedName name="PivotTablePoint" localSheetId="6">#REF!</definedName>
    <definedName name="PivotTablePoint">#REF!</definedName>
    <definedName name="Posting_Keys" localSheetId="2">#REF!</definedName>
    <definedName name="Posting_Keys" localSheetId="6">#REF!</definedName>
    <definedName name="Posting_Keys">#REF!</definedName>
    <definedName name="Power" localSheetId="2">#REF!</definedName>
    <definedName name="Power" localSheetId="6">#REF!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Explanation'!$A$1:$F$26</definedName>
    <definedName name="_xlnm.Print_Area" localSheetId="4">'WP-2017 Sch10-CWIP'!$A$1:$K$444</definedName>
    <definedName name="_xlnm.Print_Area" localSheetId="5">'WP-2017 Sch20-AandG'!$A$1:$J$113</definedName>
    <definedName name="_xlnm.Print_Area" localSheetId="3">'WP-2017 Sch4-TUTRR'!$A$1:$J$109</definedName>
    <definedName name="_xlnm.Print_Area" localSheetId="2">'WP-2017 True Up TRR Adj'!$A$1:$G$15</definedName>
    <definedName name="_xlnm.Print_Area" localSheetId="8">'WP-2018 Sch10-CWIP'!$A$1:$K$444</definedName>
    <definedName name="_xlnm.Print_Area" localSheetId="9">'WP-2018 Sch20-AandG'!$A$1:$J$104</definedName>
    <definedName name="_xlnm.Print_Area" localSheetId="7">'WP-2018 Sch4-TUTRR'!$A$1:$J$109</definedName>
    <definedName name="_xlnm.Print_Area" localSheetId="6">'WP-2018 True Up TRR Adj'!$A$2:$G$15</definedName>
    <definedName name="_xlnm.Print_Area" localSheetId="1">'WP-Total Adj with Int'!$A$1:$K$37</definedName>
    <definedName name="print1" localSheetId="2">#REF!</definedName>
    <definedName name="print1" localSheetId="6">#REF!</definedName>
    <definedName name="print1">#REF!</definedName>
    <definedName name="print2" localSheetId="2">#REF!</definedName>
    <definedName name="print2" localSheetId="6">#REF!</definedName>
    <definedName name="print2">#REF!</definedName>
    <definedName name="PriorMTMdate">'[11]Input And Prices'!$B$3</definedName>
    <definedName name="ProcessDate" localSheetId="2">#REF!</definedName>
    <definedName name="ProcessDate" localSheetId="6">#REF!</definedName>
    <definedName name="ProcessDate">#REF!</definedName>
    <definedName name="ProcessDate2">[9]Check!$B$3</definedName>
    <definedName name="ProcessMonth" localSheetId="2">#REF!</definedName>
    <definedName name="ProcessMonth" localSheetId="6">#REF!</definedName>
    <definedName name="ProcessMonth">#REF!</definedName>
    <definedName name="ProxyList">'[3]Calpine Renewable Cntrct  MTM'!$AT$15:$AT$20</definedName>
    <definedName name="QF_Asgn_List_Capacity" localSheetId="2">#REF!</definedName>
    <definedName name="QF_Asgn_List_Capacity" localSheetId="6">#REF!</definedName>
    <definedName name="QF_Asgn_List_Capacity">#REF!</definedName>
    <definedName name="QF_Asgn_List0212" localSheetId="2">#REF!</definedName>
    <definedName name="QF_Asgn_List0212" localSheetId="6">#REF!</definedName>
    <definedName name="QF_Asgn_List0212">#REF!</definedName>
    <definedName name="QF_Asgn_List0301" localSheetId="2">#REF!</definedName>
    <definedName name="QF_Asgn_List0301" localSheetId="6">#REF!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 localSheetId="2">#REF!</definedName>
    <definedName name="SCE_10K_WK_JAN1" localSheetId="6">#REF!</definedName>
    <definedName name="SCE_10K_WK_JAN1">#REF!</definedName>
    <definedName name="SCE_10K_WK_LASTMO" localSheetId="2">#REF!</definedName>
    <definedName name="SCE_10K_WK_LASTMO" localSheetId="6">#REF!</definedName>
    <definedName name="SCE_10K_WK_LASTMO">#REF!</definedName>
    <definedName name="SCE_WS" localSheetId="2">#REF!</definedName>
    <definedName name="SCE_WS" localSheetId="6">#REF!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 localSheetId="2">#REF!</definedName>
    <definedName name="Solar" localSheetId="6">#REF!</definedName>
    <definedName name="Solar">#REF!</definedName>
    <definedName name="SUBMITEM" localSheetId="2">#REF!</definedName>
    <definedName name="SUBMITEM" localSheetId="6">#REF!</definedName>
    <definedName name="SUBMITEM">#REF!</definedName>
    <definedName name="SUBMITEMS" localSheetId="2">#REF!</definedName>
    <definedName name="SUBMITEMS" localSheetId="6">#REF!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 localSheetId="2">#REF!</definedName>
    <definedName name="TransCapMTM" localSheetId="6">#REF!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2">#REF!</definedName>
    <definedName name="Upload_IR_Access" localSheetId="6">#REF!</definedName>
    <definedName name="Upload_IR_Access">#REF!</definedName>
    <definedName name="Upload_Pwr">[4]PowerPrices!$B$66</definedName>
    <definedName name="Upload_Pwr_Access">[4]PowerPrices!$B$67</definedName>
    <definedName name="UploadAccess">[4]Volatility!$B$34</definedName>
    <definedName name="Uploads_IR_Access" localSheetId="2">#REF!</definedName>
    <definedName name="Uploads_IR_Access" localSheetId="6">#REF!</definedName>
    <definedName name="Uploads_IR_Access">#REF!</definedName>
    <definedName name="UploadVol">[4]Volatility!$B$33</definedName>
    <definedName name="Volatility_Upload_Date">[3]Check!$B$31</definedName>
    <definedName name="Week" localSheetId="2">{0;1;2;3;4;5}</definedName>
    <definedName name="Week" localSheetId="6">{0;1;2;3;4;5}</definedName>
    <definedName name="Week">{0;1;2;3;4;5}</definedName>
    <definedName name="Weekday" localSheetId="2">{1,2,3,4,5,6,7}</definedName>
    <definedName name="Weekday" localSheetId="6">{1,2,3,4,5,6,7}</definedName>
    <definedName name="Weekday">{1,2,3,4,5,6,7}</definedName>
    <definedName name="Wind" localSheetId="2">#REF!</definedName>
    <definedName name="Wind" localSheetId="6">#REF!</definedName>
    <definedName name="Wind">#REF!</definedName>
    <definedName name="WITdata">[14]WIT!$A$1:$S$440</definedName>
    <definedName name="wrn.Cover." localSheetId="2" hidden="1">{#N/A,#N/A,TRUE,"Cover";#N/A,#N/A,TRUE,"Contents"}</definedName>
    <definedName name="wrn.Cover." localSheetId="6" hidden="1">{#N/A,#N/A,TRUE,"Cover";#N/A,#N/A,TRUE,"Contents"}</definedName>
    <definedName name="wrn.Cover." hidden="1">{#N/A,#N/A,TRUE,"Cover";#N/A,#N/A,TRUE,"Contents"}</definedName>
    <definedName name="wrn.CoverContents." localSheetId="2" hidden="1">{#N/A,#N/A,FALSE,"Cover";#N/A,#N/A,FALSE,"Contents"}</definedName>
    <definedName name="wrn.CoverContents." localSheetId="6" hidden="1">{#N/A,#N/A,FALSE,"Cover";#N/A,#N/A,FALSE,"Contents"}</definedName>
    <definedName name="wrn.CoverContents." hidden="1">{#N/A,#N/A,FALSE,"Cover";#N/A,#N/A,FALSE,"Contents"}</definedName>
    <definedName name="wrn.Distributed._.Decon._.Notebook." localSheetId="2"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6"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2" hidden="1">{#N/A,#N/A,TRUE,"EPEsum";#N/A,#N/A,TRUE,"Approve1";#N/A,#N/A,TRUE,"Approve2";#N/A,#N/A,TRUE,"Approve3";#N/A,#N/A,TRUE,"EPE1";#N/A,#N/A,TRUE,"EPE2";#N/A,#N/A,TRUE,"CashCompare";#N/A,#N/A,TRUE,"XIRR";#N/A,#N/A,TRUE,"EPEloan";#N/A,#N/A,TRUE,"GraphEPE";#N/A,#N/A,TRUE,"OrgChart";#N/A,#N/A,TRUE,"SA08B"}</definedName>
    <definedName name="wrn.El._.Paso._.Offshore." localSheetId="6"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2"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6"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2" hidden="1">{#N/A,#N/A,FALSE,"Cover";#N/A,#N/A,FALSE,"ProjectSelector";#N/A,#N/A,FALSE,"ProjectTable";#N/A,#N/A,FALSE,"SanGorgonio";#N/A,#N/A,FALSE,"Tehachapi";#N/A,#N/A,FALSE,"Results";#N/A,#N/A,FALSE,"ReplaceForecast"}</definedName>
    <definedName name="wrn.PrintOther." localSheetId="6"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2"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6"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2" hidden="1">{#N/A,#N/A,TRUE,"Section1";"SavingsTop",#N/A,TRUE,"SumSavings";#N/A,#N/A,TRUE,"GraphSum";"SavingsAll",#N/A,TRUE,"SumSavings";#N/A,#N/A,TRUE,"Inputs";#N/A,#N/A,TRUE,"Scenarios";#N/A,#N/A,TRUE,"LineLoss";#N/A,#N/A,TRUE,"Summary";#N/A,#N/A,TRUE,"TermSummary";#N/A,#N/A,TRUE,"NetRates";#N/A,#N/A,TRUE,"PPAtypes"}</definedName>
    <definedName name="wrn.Section1." localSheetId="6"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2" hidden="1">{#N/A,#N/A,TRUE,"Section1";#N/A,#N/A,TRUE,"SumF";#N/A,#N/A,TRUE,"FigExchange";#N/A,#N/A,TRUE,"Escalation";#N/A,#N/A,TRUE,"GraphEscalate";#N/A,#N/A,TRUE,"Scenarios"}</definedName>
    <definedName name="wrn.Section1Summaries." localSheetId="6"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2" hidden="1">{#N/A,#N/A,TRUE,"Section2";#N/A,#N/A,TRUE,"OverPymt";#N/A,#N/A,TRUE,"Energy";#N/A,#N/A,TRUE,"EnergyDiff1";#N/A,#N/A,TRUE,"EnergyDiff2";#N/A,#N/A,TRUE,"CapPerformance";#N/A,#N/A,TRUE,"BonusPerformance";#N/A,#N/A,TRUE,"BonusFormula";#N/A,#N/A,TRUE,"GraphPymt"}</definedName>
    <definedName name="wrn.Section2." localSheetId="6"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2" hidden="1">{#N/A,#N/A,TRUE,"Section2";#N/A,#N/A,TRUE,"TPCestimate";#N/A,#N/A,TRUE,"SumTPC";#N/A,#N/A,TRUE,"ConstrLoan";#N/A,#N/A,TRUE,"FigBalance";#N/A,#N/A,TRUE,"DEV27air";#N/A,#N/A,TRUE,"Graph27air";#N/A,#N/A,TRUE,"PreOp"}</definedName>
    <definedName name="wrn.Section2TotalProjectCost." localSheetId="6"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2" hidden="1">{#N/A,#N/A,TRUE,"Section3";#N/A,#N/A,TRUE,"BaseYear";#N/A,#N/A,TRUE,"GenHistory";#N/A,#N/A,TRUE,"GenGraph";#N/A,#N/A,TRUE,"MonthCompare";#N/A,#N/A,TRUE,"HourHistory";#N/A,#N/A,TRUE,"PayHistory";#N/A,#N/A,TRUE,"PayGraphs";#N/A,#N/A,TRUE,"ReplaceForecast";#N/A,#N/A,TRUE,"PPAforecast";#N/A,#N/A,TRUE,"OLSier"}</definedName>
    <definedName name="wrn.Section3." localSheetId="6"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2" hidden="1">{#N/A,#N/A,TRUE,"Section3";#N/A,#N/A,TRUE,"Tax";#N/A,#N/A,TRUE,"Dividend";#N/A,#N/A,TRUE,"Depreciation";#N/A,#N/A,TRUE,"Balance";#N/A,#N/A,TRUE,"SaleGain";#N/A,#N/A,TRUE,"RevExp";#N/A,#N/A,TRUE,"PIG";#N/A,#N/A,TRUE,"GraphPlant"}</definedName>
    <definedName name="wrn.Section3PowerPlantCompany." localSheetId="6"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2" hidden="1">{#N/A,#N/A,TRUE,"Section4";#N/A,#N/A,TRUE,"Tariffwksht";#N/A,#N/A,TRUE,"TariffINFO";#N/A,#N/A,TRUE,"Generation";#N/A,#N/A,TRUE,"PPAsum";#N/A,#N/A,TRUE,"PPApayments";#N/A,#N/A,TRUE,"RevExp";#N/A,#N/A,TRUE,"GraphRevenue";#N/A,#N/A,TRUE,"GraphRevExp"}</definedName>
    <definedName name="wrn.Section4." localSheetId="6"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2" hidden="1">{#N/A,#N/A,TRUE,"Section4";#N/A,#N/A,TRUE,"PPAtable";#N/A,#N/A,TRUE,"RFPtable";#N/A,#N/A,TRUE,"RevCap";#N/A,#N/A,TRUE,"RevOther";#N/A,#N/A,TRUE,"RevGas";#N/A,#N/A,TRUE,"GraphRev"}</definedName>
    <definedName name="wrn.Section4Revenue." localSheetId="6"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2" hidden="1">{#N/A,#N/A,TRUE,"Section5";#N/A,#N/A,TRUE,"Coal";#N/A,#N/A,TRUE,"Fuel";#N/A,#N/A,TRUE,"OMwksht";#N/A,#N/A,TRUE,"VOM";#N/A,#N/A,TRUE,"FOM";#N/A,#N/A,TRUE,"Debt";#N/A,#N/A,TRUE,"LoanSchedules";#N/A,#N/A,TRUE,"GraphExp";#N/A,#N/A,TRUE,"Conversions"}</definedName>
    <definedName name="wrn.Section5." localSheetId="6"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2" hidden="1">{#N/A,#N/A,TRUE,"Section5";#N/A,#N/A,TRUE,"Gas";#N/A,#N/A,TRUE,"Oil";#N/A,#N/A,TRUE,"SumOM";#N/A,#N/A,TRUE,"VOM";#N/A,#N/A,TRUE,"FOM";#N/A,#N/A,TRUE,"StartUps";#N/A,#N/A,TRUE,"Labor";#N/A,#N/A,TRUE,"PlantOrg";#N/A,#N/A,TRUE,"Conversions";#N/A,#N/A,TRUE,"GraphExp"}</definedName>
    <definedName name="wrn.Section5Expenses." localSheetId="6"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2" hidden="1">{#N/A,#N/A,TRUE,"Section6";#N/A,#N/A,TRUE,"OHcycles";#N/A,#N/A,TRUE,"OHtiming";#N/A,#N/A,TRUE,"OHcosts";#N/A,#N/A,TRUE,"GTdegradation";#N/A,#N/A,TRUE,"GTperformance";#N/A,#N/A,TRUE,"GraphEquip"}</definedName>
    <definedName name="wrn.Section6Equipment." localSheetId="6"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2" hidden="1">{#N/A,#N/A,TRUE,"Section7";#N/A,#N/A,TRUE,"DebtService";#N/A,#N/A,TRUE,"LoanSchedules";#N/A,#N/A,TRUE,"GraphDebt"}</definedName>
    <definedName name="wrn.Section7DebtService." localSheetId="6" hidden="1">{#N/A,#N/A,TRUE,"Section7";#N/A,#N/A,TRUE,"DebtService";#N/A,#N/A,TRUE,"LoanSchedules";#N/A,#N/A,TRUE,"GraphDebt"}</definedName>
    <definedName name="wrn.Section7DebtService." hidden="1">{#N/A,#N/A,TRUE,"Section7";#N/A,#N/A,TRUE,"DebtService";#N/A,#N/A,TRUE,"LoanSchedules";#N/A,#N/A,TRUE,"GraphDebt"}</definedName>
    <definedName name="wrn.SponsorSection." localSheetId="2" hidden="1">{#N/A,#N/A,TRUE,"Cover";#N/A,#N/A,TRUE,"Contents";#N/A,#N/A,TRUE,"Organization";#N/A,#N/A,TRUE,"SumSponsor";#N/A,#N/A,TRUE,"Plant1";#N/A,#N/A,TRUE,"Plant2";#N/A,#N/A,TRUE,"Sponsors";#N/A,#N/A,TRUE,"ElPaso1";#N/A,#N/A,TRUE,"GraphSponsor"}</definedName>
    <definedName name="wrn.SponsorSection." localSheetId="6"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2" hidden="1">{"Table A",#N/A,FALSE,"Summary";"Table D",#N/A,FALSE,"Summary";"Table E",#N/A,FALSE,"Summary"}</definedName>
    <definedName name="wrn.Summary." localSheetId="6" hidden="1">{"Table A",#N/A,FALSE,"Summary";"Table D",#N/A,FALSE,"Summary";"Table E",#N/A,FALSE,"Summary"}</definedName>
    <definedName name="wrn.Summary." hidden="1">{"Table A",#N/A,FALSE,"Summary";"Table D",#N/A,FALSE,"Summary";"Table E",#N/A,FALSE,"Summary"}</definedName>
    <definedName name="wrn.Total._.Summary." localSheetId="2" hidden="1">{"Total Summary",#N/A,FALSE,"Summary"}</definedName>
    <definedName name="wrn.Total._.Summary." localSheetId="6"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 i="100" l="1"/>
  <c r="K74" i="209"/>
  <c r="K75" i="209" s="1"/>
  <c r="K37" i="86" l="1"/>
  <c r="D6" i="213" l="1"/>
  <c r="D7" i="213"/>
  <c r="D8" i="213" s="1"/>
  <c r="E16" i="100"/>
  <c r="E14" i="100"/>
  <c r="E18" i="100" s="1"/>
  <c r="F103" i="211"/>
  <c r="F98" i="211"/>
  <c r="J86" i="211"/>
  <c r="E87" i="211" s="1"/>
  <c r="J62" i="211"/>
  <c r="H42" i="211"/>
  <c r="H33" i="211"/>
  <c r="J21" i="211"/>
  <c r="J15" i="211"/>
  <c r="A7" i="211"/>
  <c r="A8" i="211" s="1"/>
  <c r="A9" i="211" s="1"/>
  <c r="A12" i="211" s="1"/>
  <c r="F434" i="210"/>
  <c r="F433" i="210"/>
  <c r="F432" i="210"/>
  <c r="F431" i="210"/>
  <c r="F430" i="210"/>
  <c r="F429" i="210"/>
  <c r="F428" i="210"/>
  <c r="F427" i="210"/>
  <c r="F426" i="210"/>
  <c r="F425" i="210"/>
  <c r="F424" i="210"/>
  <c r="F423" i="210"/>
  <c r="F422" i="210"/>
  <c r="F421" i="210"/>
  <c r="F420" i="210"/>
  <c r="F419" i="210"/>
  <c r="F418" i="210"/>
  <c r="F417" i="210"/>
  <c r="F416" i="210"/>
  <c r="F415" i="210"/>
  <c r="F414" i="210"/>
  <c r="F413" i="210"/>
  <c r="F412" i="210"/>
  <c r="F411" i="210"/>
  <c r="K409" i="210"/>
  <c r="J409" i="210"/>
  <c r="I409" i="210"/>
  <c r="H409" i="210"/>
  <c r="F409" i="210"/>
  <c r="E409" i="210"/>
  <c r="D409" i="210"/>
  <c r="K408" i="210"/>
  <c r="J408" i="210"/>
  <c r="I408" i="210"/>
  <c r="H408" i="210"/>
  <c r="F408" i="210"/>
  <c r="E408" i="210"/>
  <c r="D408" i="210"/>
  <c r="F401" i="210"/>
  <c r="F400" i="210"/>
  <c r="F399" i="210"/>
  <c r="F398" i="210"/>
  <c r="F397" i="210"/>
  <c r="F396" i="210"/>
  <c r="F395" i="210"/>
  <c r="F394" i="210"/>
  <c r="F393" i="210"/>
  <c r="F392" i="210"/>
  <c r="F391" i="210"/>
  <c r="F390" i="210"/>
  <c r="F389" i="210"/>
  <c r="F388" i="210"/>
  <c r="F387" i="210"/>
  <c r="F386" i="210"/>
  <c r="F385" i="210"/>
  <c r="F384" i="210"/>
  <c r="F383" i="210"/>
  <c r="F382" i="210"/>
  <c r="F381" i="210"/>
  <c r="F380" i="210"/>
  <c r="F379" i="210"/>
  <c r="J378" i="210"/>
  <c r="F378" i="210"/>
  <c r="K376" i="210"/>
  <c r="J376" i="210"/>
  <c r="I376" i="210"/>
  <c r="H376" i="210"/>
  <c r="G376" i="210"/>
  <c r="F376" i="210"/>
  <c r="E376" i="210"/>
  <c r="D376" i="210"/>
  <c r="K375" i="210"/>
  <c r="J375" i="210"/>
  <c r="I375" i="210"/>
  <c r="H375" i="210"/>
  <c r="G375" i="210"/>
  <c r="F375" i="210"/>
  <c r="E375" i="210"/>
  <c r="D375" i="210"/>
  <c r="G374" i="210"/>
  <c r="F368" i="210"/>
  <c r="F367" i="210"/>
  <c r="F366" i="210"/>
  <c r="F365" i="210"/>
  <c r="F364" i="210"/>
  <c r="F363" i="210"/>
  <c r="F362" i="210"/>
  <c r="F361" i="210"/>
  <c r="F360" i="210"/>
  <c r="F359" i="210"/>
  <c r="F358" i="210"/>
  <c r="F357" i="210"/>
  <c r="F356" i="210"/>
  <c r="F355" i="210"/>
  <c r="F354" i="210"/>
  <c r="F353" i="210"/>
  <c r="F352" i="210"/>
  <c r="F351" i="210"/>
  <c r="F350" i="210"/>
  <c r="F349" i="210"/>
  <c r="F348" i="210"/>
  <c r="F347" i="210"/>
  <c r="F346" i="210"/>
  <c r="F345" i="210"/>
  <c r="K343" i="210"/>
  <c r="J343" i="210"/>
  <c r="I343" i="210"/>
  <c r="H343" i="210"/>
  <c r="G343" i="210"/>
  <c r="F343" i="210"/>
  <c r="E343" i="210"/>
  <c r="D343" i="210"/>
  <c r="K342" i="210"/>
  <c r="J342" i="210"/>
  <c r="I342" i="210"/>
  <c r="H342" i="210"/>
  <c r="G342" i="210"/>
  <c r="F342" i="210"/>
  <c r="E342" i="210"/>
  <c r="D342" i="210"/>
  <c r="G341" i="210"/>
  <c r="F337" i="210"/>
  <c r="F336" i="210"/>
  <c r="F335" i="210"/>
  <c r="F334" i="210"/>
  <c r="F333" i="210"/>
  <c r="F332" i="210"/>
  <c r="F331" i="210"/>
  <c r="F330" i="210"/>
  <c r="F329" i="210"/>
  <c r="F328" i="210"/>
  <c r="F327" i="210"/>
  <c r="F326" i="210"/>
  <c r="F325" i="210"/>
  <c r="F324" i="210"/>
  <c r="F323" i="210"/>
  <c r="F322" i="210"/>
  <c r="F321" i="210"/>
  <c r="F320" i="210"/>
  <c r="F319" i="210"/>
  <c r="F318" i="210"/>
  <c r="F317" i="210"/>
  <c r="F316" i="210"/>
  <c r="F315" i="210"/>
  <c r="F314" i="210"/>
  <c r="K312" i="210"/>
  <c r="J312" i="210"/>
  <c r="I312" i="210"/>
  <c r="H312" i="210"/>
  <c r="G312" i="210"/>
  <c r="F312" i="210"/>
  <c r="E312" i="210"/>
  <c r="D312" i="210"/>
  <c r="K311" i="210"/>
  <c r="J311" i="210"/>
  <c r="I311" i="210"/>
  <c r="H311" i="210"/>
  <c r="G311" i="210"/>
  <c r="F311" i="210"/>
  <c r="E311" i="210"/>
  <c r="D311" i="210"/>
  <c r="G310" i="210"/>
  <c r="F304" i="210"/>
  <c r="F303" i="210"/>
  <c r="F302" i="210"/>
  <c r="F301" i="210"/>
  <c r="F300" i="210"/>
  <c r="F299" i="210"/>
  <c r="F298" i="210"/>
  <c r="F297" i="210"/>
  <c r="F296" i="210"/>
  <c r="F295" i="210"/>
  <c r="I68" i="210"/>
  <c r="F294" i="210"/>
  <c r="F293" i="210"/>
  <c r="F292" i="210"/>
  <c r="F291" i="210"/>
  <c r="F290" i="210"/>
  <c r="F289" i="210"/>
  <c r="F288" i="210"/>
  <c r="F287" i="210"/>
  <c r="F286" i="210"/>
  <c r="F285" i="210"/>
  <c r="F284" i="210"/>
  <c r="F283" i="210"/>
  <c r="F282" i="210"/>
  <c r="F281" i="210"/>
  <c r="J280" i="210"/>
  <c r="K279" i="210"/>
  <c r="J279" i="210"/>
  <c r="I279" i="210"/>
  <c r="H279" i="210"/>
  <c r="G279" i="210"/>
  <c r="F279" i="210"/>
  <c r="E279" i="210"/>
  <c r="D279" i="210"/>
  <c r="K278" i="210"/>
  <c r="J278" i="210"/>
  <c r="I278" i="210"/>
  <c r="H278" i="210"/>
  <c r="G278" i="210"/>
  <c r="F278" i="210"/>
  <c r="E278" i="210"/>
  <c r="D278" i="210"/>
  <c r="G277" i="210"/>
  <c r="F273" i="210"/>
  <c r="F272" i="210"/>
  <c r="F271" i="210"/>
  <c r="F270" i="210"/>
  <c r="F269" i="210"/>
  <c r="F268" i="210"/>
  <c r="F267" i="210"/>
  <c r="F266" i="210"/>
  <c r="F265" i="210"/>
  <c r="F264" i="210"/>
  <c r="F263" i="210"/>
  <c r="F262" i="210"/>
  <c r="F261" i="210"/>
  <c r="F260" i="210"/>
  <c r="F259" i="210"/>
  <c r="F258" i="210"/>
  <c r="F257" i="210"/>
  <c r="F256" i="210"/>
  <c r="F255" i="210"/>
  <c r="F254" i="210"/>
  <c r="F253" i="210"/>
  <c r="F252" i="210"/>
  <c r="F251" i="210"/>
  <c r="F250" i="210"/>
  <c r="J249" i="210"/>
  <c r="J250" i="210" s="1"/>
  <c r="K248" i="210"/>
  <c r="J248" i="210"/>
  <c r="I248" i="210"/>
  <c r="H248" i="210"/>
  <c r="F248" i="210"/>
  <c r="E248" i="210"/>
  <c r="D248" i="210"/>
  <c r="K247" i="210"/>
  <c r="J247" i="210"/>
  <c r="I247" i="210"/>
  <c r="H247" i="210"/>
  <c r="F247" i="210"/>
  <c r="E247" i="210"/>
  <c r="D247" i="210"/>
  <c r="F240" i="210"/>
  <c r="F239" i="210"/>
  <c r="F238" i="210"/>
  <c r="F237" i="210"/>
  <c r="I74" i="210"/>
  <c r="F236" i="210"/>
  <c r="F235" i="210"/>
  <c r="F234" i="210"/>
  <c r="F233" i="210"/>
  <c r="F232" i="210"/>
  <c r="F231" i="210"/>
  <c r="F230" i="210"/>
  <c r="F229" i="210"/>
  <c r="F228" i="210"/>
  <c r="F227" i="210"/>
  <c r="F226" i="210"/>
  <c r="F225" i="210"/>
  <c r="F224" i="210"/>
  <c r="F223" i="210"/>
  <c r="F222" i="210"/>
  <c r="F221" i="210"/>
  <c r="F220" i="210"/>
  <c r="F219" i="210"/>
  <c r="F218" i="210"/>
  <c r="F217" i="210"/>
  <c r="J216" i="210"/>
  <c r="K215" i="210"/>
  <c r="J215" i="210"/>
  <c r="I215" i="210"/>
  <c r="H215" i="210"/>
  <c r="G215" i="210"/>
  <c r="F215" i="210"/>
  <c r="E215" i="210"/>
  <c r="D215" i="210"/>
  <c r="K214" i="210"/>
  <c r="J214" i="210"/>
  <c r="I214" i="210"/>
  <c r="H214" i="210"/>
  <c r="G214" i="210"/>
  <c r="F214" i="210"/>
  <c r="E214" i="210"/>
  <c r="D214" i="210"/>
  <c r="G213" i="210"/>
  <c r="F209" i="210"/>
  <c r="F208" i="210"/>
  <c r="F207" i="210"/>
  <c r="F206" i="210"/>
  <c r="F205" i="210"/>
  <c r="F204" i="210"/>
  <c r="F203" i="210"/>
  <c r="F202" i="210"/>
  <c r="F201" i="210"/>
  <c r="F200" i="210"/>
  <c r="F199" i="210"/>
  <c r="F198" i="210"/>
  <c r="F197" i="210"/>
  <c r="F196" i="210"/>
  <c r="F195" i="210"/>
  <c r="F194" i="210"/>
  <c r="F193" i="210"/>
  <c r="F192" i="210"/>
  <c r="F191" i="210"/>
  <c r="F190" i="210"/>
  <c r="F189" i="210"/>
  <c r="F188" i="210"/>
  <c r="F187" i="210"/>
  <c r="F186" i="210"/>
  <c r="J186" i="210" s="1"/>
  <c r="J185" i="210"/>
  <c r="K184" i="210"/>
  <c r="J184" i="210"/>
  <c r="I184" i="210"/>
  <c r="H184" i="210"/>
  <c r="G184" i="210"/>
  <c r="F184" i="210"/>
  <c r="E184" i="210"/>
  <c r="D184" i="210"/>
  <c r="K183" i="210"/>
  <c r="J183" i="210"/>
  <c r="I183" i="210"/>
  <c r="H183" i="210"/>
  <c r="G183" i="210"/>
  <c r="F183" i="210"/>
  <c r="E183" i="210"/>
  <c r="D183" i="210"/>
  <c r="G182" i="210"/>
  <c r="F176" i="210"/>
  <c r="F175" i="210"/>
  <c r="F174" i="210"/>
  <c r="E75" i="210"/>
  <c r="F172" i="210"/>
  <c r="F171" i="210"/>
  <c r="I72" i="210"/>
  <c r="F170" i="210"/>
  <c r="F169" i="210"/>
  <c r="F168" i="210"/>
  <c r="F167" i="210"/>
  <c r="F166" i="210"/>
  <c r="F165" i="210"/>
  <c r="F164" i="210"/>
  <c r="F163" i="210"/>
  <c r="I64" i="210"/>
  <c r="F162" i="210"/>
  <c r="F161" i="210"/>
  <c r="F160" i="210"/>
  <c r="F159" i="210"/>
  <c r="I60" i="210"/>
  <c r="F158" i="210"/>
  <c r="F157" i="210"/>
  <c r="I58" i="210"/>
  <c r="F156" i="210"/>
  <c r="F155" i="210"/>
  <c r="I56" i="210"/>
  <c r="F154" i="210"/>
  <c r="F153" i="210"/>
  <c r="J152" i="210"/>
  <c r="K151" i="210"/>
  <c r="J151" i="210"/>
  <c r="I151" i="210"/>
  <c r="H151" i="210"/>
  <c r="G151" i="210"/>
  <c r="F151" i="210"/>
  <c r="E151" i="210"/>
  <c r="D151" i="210"/>
  <c r="K150" i="210"/>
  <c r="J150" i="210"/>
  <c r="I150" i="210"/>
  <c r="H150" i="210"/>
  <c r="G150" i="210"/>
  <c r="F150" i="210"/>
  <c r="E150" i="210"/>
  <c r="D150" i="210"/>
  <c r="G149" i="210"/>
  <c r="F145" i="210"/>
  <c r="F144" i="210"/>
  <c r="F143" i="210"/>
  <c r="F142" i="210"/>
  <c r="F141" i="210"/>
  <c r="F140" i="210"/>
  <c r="F139" i="210"/>
  <c r="F138" i="210"/>
  <c r="F137" i="210"/>
  <c r="F136" i="210"/>
  <c r="F135" i="210"/>
  <c r="F134" i="210"/>
  <c r="F133" i="210"/>
  <c r="F132" i="210"/>
  <c r="F131" i="210"/>
  <c r="F130" i="210"/>
  <c r="F129" i="210"/>
  <c r="F128" i="210"/>
  <c r="F127" i="210"/>
  <c r="F126" i="210"/>
  <c r="F125" i="210"/>
  <c r="F124" i="210"/>
  <c r="F123" i="210"/>
  <c r="F122" i="210"/>
  <c r="J121" i="210"/>
  <c r="K120" i="210"/>
  <c r="J120" i="210"/>
  <c r="I120" i="210"/>
  <c r="H120" i="210"/>
  <c r="G120" i="210"/>
  <c r="F120" i="210"/>
  <c r="E120" i="210"/>
  <c r="D120" i="210"/>
  <c r="K119" i="210"/>
  <c r="J119" i="210"/>
  <c r="I119" i="210"/>
  <c r="H119" i="210"/>
  <c r="G119" i="210"/>
  <c r="F119" i="210"/>
  <c r="E119" i="210"/>
  <c r="D119" i="210"/>
  <c r="G118" i="210"/>
  <c r="F112" i="210"/>
  <c r="I77" i="210"/>
  <c r="F111" i="210"/>
  <c r="F77" i="210" s="1"/>
  <c r="I76" i="210"/>
  <c r="I75" i="210"/>
  <c r="F109" i="210"/>
  <c r="F108" i="210"/>
  <c r="F74" i="210" s="1"/>
  <c r="I73" i="210"/>
  <c r="F107" i="210"/>
  <c r="F73" i="210" s="1"/>
  <c r="I71" i="210"/>
  <c r="F105" i="210"/>
  <c r="F71" i="210" s="1"/>
  <c r="F104" i="210"/>
  <c r="I69" i="210"/>
  <c r="F103" i="210"/>
  <c r="I67" i="210"/>
  <c r="F101" i="210"/>
  <c r="F100" i="210"/>
  <c r="I65" i="210"/>
  <c r="F99" i="210"/>
  <c r="F65" i="210" s="1"/>
  <c r="I63" i="210"/>
  <c r="F97" i="210"/>
  <c r="F63" i="210" s="1"/>
  <c r="F96" i="210"/>
  <c r="I61" i="210"/>
  <c r="F95" i="210"/>
  <c r="F61" i="210" s="1"/>
  <c r="I59" i="210"/>
  <c r="F93" i="210"/>
  <c r="F92" i="210"/>
  <c r="F58" i="210" s="1"/>
  <c r="I57" i="210"/>
  <c r="F91" i="210"/>
  <c r="F57" i="210" s="1"/>
  <c r="I55" i="210"/>
  <c r="F89" i="210"/>
  <c r="J88" i="210"/>
  <c r="K87" i="210"/>
  <c r="J87" i="210"/>
  <c r="I87" i="210"/>
  <c r="H87" i="210"/>
  <c r="G87" i="210"/>
  <c r="G409" i="210" s="1"/>
  <c r="F87" i="210"/>
  <c r="E87" i="210"/>
  <c r="D87" i="210"/>
  <c r="K86" i="210"/>
  <c r="J86" i="210"/>
  <c r="I86" i="210"/>
  <c r="H86" i="210"/>
  <c r="G86" i="210"/>
  <c r="G408" i="210" s="1"/>
  <c r="F86" i="210"/>
  <c r="E86" i="210"/>
  <c r="D86" i="210"/>
  <c r="G85" i="210"/>
  <c r="G407" i="210" s="1"/>
  <c r="I78" i="210"/>
  <c r="H78" i="210"/>
  <c r="G78" i="210"/>
  <c r="E78" i="210"/>
  <c r="D78" i="210"/>
  <c r="H77" i="210"/>
  <c r="G77" i="210"/>
  <c r="E77" i="210"/>
  <c r="D77" i="210"/>
  <c r="H76" i="210"/>
  <c r="G76" i="210"/>
  <c r="D76" i="210"/>
  <c r="H75" i="210"/>
  <c r="G75" i="210"/>
  <c r="D75" i="210"/>
  <c r="H74" i="210"/>
  <c r="G74" i="210"/>
  <c r="D74" i="210"/>
  <c r="H73" i="210"/>
  <c r="G73" i="210"/>
  <c r="E73" i="210"/>
  <c r="D73" i="210"/>
  <c r="H72" i="210"/>
  <c r="G72" i="210"/>
  <c r="D72" i="210"/>
  <c r="H71" i="210"/>
  <c r="G71" i="210"/>
  <c r="E71" i="210"/>
  <c r="D71" i="210"/>
  <c r="I70" i="210"/>
  <c r="H70" i="210"/>
  <c r="G70" i="210"/>
  <c r="D70" i="210"/>
  <c r="H69" i="210"/>
  <c r="G69" i="210"/>
  <c r="E69" i="210"/>
  <c r="D69" i="210"/>
  <c r="H68" i="210"/>
  <c r="G68" i="210"/>
  <c r="D68" i="210"/>
  <c r="H67" i="210"/>
  <c r="G67" i="210"/>
  <c r="D67" i="210"/>
  <c r="I66" i="210"/>
  <c r="H66" i="210"/>
  <c r="G66" i="210"/>
  <c r="D66" i="210"/>
  <c r="H65" i="210"/>
  <c r="G65" i="210"/>
  <c r="E65" i="210"/>
  <c r="D65" i="210"/>
  <c r="H64" i="210"/>
  <c r="G64" i="210"/>
  <c r="D64" i="210"/>
  <c r="H63" i="210"/>
  <c r="G63" i="210"/>
  <c r="D63" i="210"/>
  <c r="I62" i="210"/>
  <c r="H62" i="210"/>
  <c r="G62" i="210"/>
  <c r="E62" i="210"/>
  <c r="D62" i="210"/>
  <c r="H61" i="210"/>
  <c r="G61" i="210"/>
  <c r="D61" i="210"/>
  <c r="H60" i="210"/>
  <c r="G60" i="210"/>
  <c r="D60" i="210"/>
  <c r="H59" i="210"/>
  <c r="G59" i="210"/>
  <c r="D59" i="210"/>
  <c r="H58" i="210"/>
  <c r="G58" i="210"/>
  <c r="D58" i="210"/>
  <c r="H57" i="210"/>
  <c r="G57" i="210"/>
  <c r="E57" i="210"/>
  <c r="D57" i="210"/>
  <c r="H56" i="210"/>
  <c r="G56" i="210"/>
  <c r="D56" i="210"/>
  <c r="H55" i="210"/>
  <c r="G55" i="210"/>
  <c r="E55" i="210"/>
  <c r="D55" i="210"/>
  <c r="H46" i="210"/>
  <c r="G46" i="210"/>
  <c r="E46" i="210"/>
  <c r="D46" i="210"/>
  <c r="H45" i="210"/>
  <c r="G45" i="210"/>
  <c r="J344" i="210" s="1"/>
  <c r="J345" i="210" s="1"/>
  <c r="F45" i="210"/>
  <c r="J313" i="210" s="1"/>
  <c r="H44" i="210"/>
  <c r="G44" i="210"/>
  <c r="F44" i="210"/>
  <c r="H43" i="210"/>
  <c r="G43" i="210"/>
  <c r="F43" i="210"/>
  <c r="H42" i="210"/>
  <c r="G42" i="210"/>
  <c r="F42" i="210"/>
  <c r="H41" i="210"/>
  <c r="G41" i="210"/>
  <c r="F41" i="210"/>
  <c r="D21" i="210" s="1"/>
  <c r="H40" i="210"/>
  <c r="G40" i="210"/>
  <c r="F40" i="210"/>
  <c r="H39" i="210"/>
  <c r="G39" i="210"/>
  <c r="F39" i="210"/>
  <c r="H38" i="210"/>
  <c r="G38" i="210"/>
  <c r="F38" i="210"/>
  <c r="H37" i="210"/>
  <c r="G37" i="210"/>
  <c r="F37" i="210"/>
  <c r="D17" i="210" s="1"/>
  <c r="H36" i="210"/>
  <c r="G36" i="210"/>
  <c r="F36" i="210"/>
  <c r="H35" i="210"/>
  <c r="G35" i="210"/>
  <c r="F35" i="210"/>
  <c r="H34" i="210"/>
  <c r="G34" i="210"/>
  <c r="F34" i="210"/>
  <c r="F33" i="210"/>
  <c r="F46" i="210" s="1"/>
  <c r="I26" i="210"/>
  <c r="H26" i="210"/>
  <c r="G26" i="210"/>
  <c r="F26" i="210"/>
  <c r="E26" i="210"/>
  <c r="D24" i="210"/>
  <c r="D23" i="210"/>
  <c r="D22" i="210"/>
  <c r="D20" i="210"/>
  <c r="D19" i="210"/>
  <c r="D18" i="210"/>
  <c r="D16" i="210"/>
  <c r="D15" i="210"/>
  <c r="A15" i="210"/>
  <c r="A16" i="210" s="1"/>
  <c r="A17" i="210" s="1"/>
  <c r="A18" i="210" s="1"/>
  <c r="A19" i="210" s="1"/>
  <c r="A20" i="210" s="1"/>
  <c r="A21" i="210" s="1"/>
  <c r="A22" i="210" s="1"/>
  <c r="A23" i="210" s="1"/>
  <c r="A24" i="210" s="1"/>
  <c r="A25" i="210" s="1"/>
  <c r="A26" i="210" s="1"/>
  <c r="A33" i="210" s="1"/>
  <c r="A34" i="210" s="1"/>
  <c r="A35" i="210" s="1"/>
  <c r="A36" i="210" s="1"/>
  <c r="A37" i="210" s="1"/>
  <c r="A38" i="210" s="1"/>
  <c r="A39" i="210" s="1"/>
  <c r="A40" i="210" s="1"/>
  <c r="A41" i="210" s="1"/>
  <c r="A42" i="210" s="1"/>
  <c r="A43" i="210" s="1"/>
  <c r="A44" i="210" s="1"/>
  <c r="A45" i="210" s="1"/>
  <c r="A46" i="210" s="1"/>
  <c r="A54" i="210" s="1"/>
  <c r="A55" i="210" s="1"/>
  <c r="A56" i="210" s="1"/>
  <c r="A57" i="210" s="1"/>
  <c r="A58" i="210" s="1"/>
  <c r="A59" i="210" s="1"/>
  <c r="A60" i="210" s="1"/>
  <c r="A61" i="210" s="1"/>
  <c r="A62" i="210" s="1"/>
  <c r="A63" i="210" s="1"/>
  <c r="A64" i="210" s="1"/>
  <c r="A65" i="210" s="1"/>
  <c r="A66" i="210" s="1"/>
  <c r="A67" i="210" s="1"/>
  <c r="A68" i="210" s="1"/>
  <c r="A69" i="210" s="1"/>
  <c r="A70" i="210" s="1"/>
  <c r="A71" i="210" s="1"/>
  <c r="A72" i="210" s="1"/>
  <c r="A73" i="210" s="1"/>
  <c r="A74" i="210" s="1"/>
  <c r="A75" i="210" s="1"/>
  <c r="A76" i="210" s="1"/>
  <c r="A77" i="210" s="1"/>
  <c r="A78" i="210" s="1"/>
  <c r="A79" i="210" s="1"/>
  <c r="A88" i="210" s="1"/>
  <c r="A89" i="210" s="1"/>
  <c r="A90" i="210" s="1"/>
  <c r="A91" i="210" s="1"/>
  <c r="A92" i="210" s="1"/>
  <c r="A93" i="210" s="1"/>
  <c r="A94" i="210" s="1"/>
  <c r="A95" i="210" s="1"/>
  <c r="A96" i="210" s="1"/>
  <c r="A97" i="210" s="1"/>
  <c r="A98" i="210" s="1"/>
  <c r="A99" i="210" s="1"/>
  <c r="A100" i="210" s="1"/>
  <c r="A101" i="210" s="1"/>
  <c r="A102" i="210" s="1"/>
  <c r="A103" i="210" s="1"/>
  <c r="A104" i="210" s="1"/>
  <c r="A105" i="210" s="1"/>
  <c r="A106" i="210" s="1"/>
  <c r="A107" i="210" s="1"/>
  <c r="A108" i="210" s="1"/>
  <c r="A109" i="210" s="1"/>
  <c r="A110" i="210" s="1"/>
  <c r="A111" i="210" s="1"/>
  <c r="A112" i="210" s="1"/>
  <c r="A113" i="210" s="1"/>
  <c r="A121" i="210" s="1"/>
  <c r="A122" i="210" s="1"/>
  <c r="A123" i="210" s="1"/>
  <c r="A124" i="210" s="1"/>
  <c r="A125" i="210" s="1"/>
  <c r="A126" i="210" s="1"/>
  <c r="A127" i="210" s="1"/>
  <c r="A128" i="210" s="1"/>
  <c r="A129" i="210" s="1"/>
  <c r="A130" i="210" s="1"/>
  <c r="A131" i="210" s="1"/>
  <c r="A132" i="210" s="1"/>
  <c r="A133" i="210" s="1"/>
  <c r="A134" i="210" s="1"/>
  <c r="A135" i="210" s="1"/>
  <c r="A136" i="210" s="1"/>
  <c r="A137" i="210" s="1"/>
  <c r="A138" i="210" s="1"/>
  <c r="A139" i="210" s="1"/>
  <c r="A140" i="210" s="1"/>
  <c r="A141" i="210" s="1"/>
  <c r="A142" i="210" s="1"/>
  <c r="A143" i="210" s="1"/>
  <c r="A144" i="210" s="1"/>
  <c r="A145" i="210" s="1"/>
  <c r="A146" i="210" s="1"/>
  <c r="A152" i="210" s="1"/>
  <c r="A153" i="210" s="1"/>
  <c r="A154" i="210" s="1"/>
  <c r="A155" i="210" s="1"/>
  <c r="A156" i="210" s="1"/>
  <c r="A157" i="210" s="1"/>
  <c r="A158" i="210" s="1"/>
  <c r="A159" i="210" s="1"/>
  <c r="A160" i="210" s="1"/>
  <c r="A161" i="210" s="1"/>
  <c r="A162" i="210" s="1"/>
  <c r="A163" i="210" s="1"/>
  <c r="A164" i="210" s="1"/>
  <c r="A165" i="210" s="1"/>
  <c r="A166" i="210" s="1"/>
  <c r="A167" i="210" s="1"/>
  <c r="A168" i="210" s="1"/>
  <c r="A169" i="210" s="1"/>
  <c r="A170" i="210" s="1"/>
  <c r="A171" i="210" s="1"/>
  <c r="A172" i="210" s="1"/>
  <c r="A173" i="210" s="1"/>
  <c r="A174" i="210" s="1"/>
  <c r="A175" i="210" s="1"/>
  <c r="A176" i="210" s="1"/>
  <c r="A177" i="210" s="1"/>
  <c r="A185" i="210" s="1"/>
  <c r="A186" i="210" s="1"/>
  <c r="A187" i="210" s="1"/>
  <c r="A188" i="210" s="1"/>
  <c r="A189" i="210" s="1"/>
  <c r="A190" i="210" s="1"/>
  <c r="A191" i="210" s="1"/>
  <c r="A192" i="210" s="1"/>
  <c r="A193" i="210" s="1"/>
  <c r="A194" i="210" s="1"/>
  <c r="A195" i="210" s="1"/>
  <c r="A196" i="210" s="1"/>
  <c r="A197" i="210" s="1"/>
  <c r="A198" i="210" s="1"/>
  <c r="A199" i="210" s="1"/>
  <c r="A200" i="210" s="1"/>
  <c r="A201" i="210" s="1"/>
  <c r="A202" i="210" s="1"/>
  <c r="A203" i="210" s="1"/>
  <c r="A204" i="210" s="1"/>
  <c r="A205" i="210" s="1"/>
  <c r="A206" i="210" s="1"/>
  <c r="A207" i="210" s="1"/>
  <c r="A208" i="210" s="1"/>
  <c r="A209" i="210" s="1"/>
  <c r="A210" i="210" s="1"/>
  <c r="A216" i="210" s="1"/>
  <c r="A217" i="210" s="1"/>
  <c r="A218" i="210" s="1"/>
  <c r="A219" i="210" s="1"/>
  <c r="A220" i="210" s="1"/>
  <c r="A221" i="210" s="1"/>
  <c r="A222" i="210" s="1"/>
  <c r="A223" i="210" s="1"/>
  <c r="A224" i="210" s="1"/>
  <c r="A225" i="210" s="1"/>
  <c r="A226" i="210" s="1"/>
  <c r="A227" i="210" s="1"/>
  <c r="A228" i="210" s="1"/>
  <c r="A229" i="210" s="1"/>
  <c r="A230" i="210" s="1"/>
  <c r="A231" i="210" s="1"/>
  <c r="A232" i="210" s="1"/>
  <c r="A233" i="210" s="1"/>
  <c r="A234" i="210" s="1"/>
  <c r="A235" i="210" s="1"/>
  <c r="A236" i="210" s="1"/>
  <c r="A237" i="210" s="1"/>
  <c r="A238" i="210" s="1"/>
  <c r="A239" i="210" s="1"/>
  <c r="A240" i="210" s="1"/>
  <c r="A241" i="210" s="1"/>
  <c r="A249" i="210" s="1"/>
  <c r="A250" i="210" s="1"/>
  <c r="A251" i="210" s="1"/>
  <c r="A252" i="210" s="1"/>
  <c r="A253" i="210" s="1"/>
  <c r="A254" i="210" s="1"/>
  <c r="A255" i="210" s="1"/>
  <c r="A256" i="210" s="1"/>
  <c r="A257" i="210" s="1"/>
  <c r="A258" i="210" s="1"/>
  <c r="A259" i="210" s="1"/>
  <c r="A260" i="210" s="1"/>
  <c r="A261" i="210" s="1"/>
  <c r="A262" i="210" s="1"/>
  <c r="A263" i="210" s="1"/>
  <c r="A264" i="210" s="1"/>
  <c r="A265" i="210" s="1"/>
  <c r="A266" i="210" s="1"/>
  <c r="A267" i="210" s="1"/>
  <c r="A268" i="210" s="1"/>
  <c r="A269" i="210" s="1"/>
  <c r="A270" i="210" s="1"/>
  <c r="A271" i="210" s="1"/>
  <c r="A272" i="210" s="1"/>
  <c r="A273" i="210" s="1"/>
  <c r="A274" i="210" s="1"/>
  <c r="A280" i="210" s="1"/>
  <c r="A281" i="210" s="1"/>
  <c r="A282" i="210" s="1"/>
  <c r="A283" i="210" s="1"/>
  <c r="A284" i="210" s="1"/>
  <c r="A285" i="210" s="1"/>
  <c r="A286" i="210" s="1"/>
  <c r="A287" i="210" s="1"/>
  <c r="A288" i="210" s="1"/>
  <c r="A289" i="210" s="1"/>
  <c r="A290" i="210" s="1"/>
  <c r="A291" i="210" s="1"/>
  <c r="A292" i="210" s="1"/>
  <c r="A293" i="210" s="1"/>
  <c r="A294" i="210" s="1"/>
  <c r="A295" i="210" s="1"/>
  <c r="A296" i="210" s="1"/>
  <c r="A297" i="210" s="1"/>
  <c r="A298" i="210" s="1"/>
  <c r="A299" i="210" s="1"/>
  <c r="A300" i="210" s="1"/>
  <c r="A301" i="210" s="1"/>
  <c r="A302" i="210" s="1"/>
  <c r="A303" i="210" s="1"/>
  <c r="A304" i="210" s="1"/>
  <c r="A305" i="210" s="1"/>
  <c r="A313" i="210" s="1"/>
  <c r="A314" i="210" s="1"/>
  <c r="A315" i="210" s="1"/>
  <c r="A316" i="210" s="1"/>
  <c r="A317" i="210" s="1"/>
  <c r="A318" i="210" s="1"/>
  <c r="A319" i="210" s="1"/>
  <c r="A320" i="210" s="1"/>
  <c r="A321" i="210" s="1"/>
  <c r="A322" i="210" s="1"/>
  <c r="A323" i="210" s="1"/>
  <c r="A324" i="210" s="1"/>
  <c r="A325" i="210" s="1"/>
  <c r="A326" i="210" s="1"/>
  <c r="A327" i="210" s="1"/>
  <c r="A328" i="210" s="1"/>
  <c r="A329" i="210" s="1"/>
  <c r="A330" i="210" s="1"/>
  <c r="A331" i="210" s="1"/>
  <c r="A332" i="210" s="1"/>
  <c r="A333" i="210" s="1"/>
  <c r="A334" i="210" s="1"/>
  <c r="A335" i="210" s="1"/>
  <c r="A336" i="210" s="1"/>
  <c r="A337" i="210" s="1"/>
  <c r="A338" i="210" s="1"/>
  <c r="A344" i="210" s="1"/>
  <c r="A345" i="210" s="1"/>
  <c r="A346" i="210" s="1"/>
  <c r="A347" i="210" s="1"/>
  <c r="A348" i="210" s="1"/>
  <c r="A349" i="210" s="1"/>
  <c r="A350" i="210" s="1"/>
  <c r="A351" i="210" s="1"/>
  <c r="A352" i="210" s="1"/>
  <c r="A353" i="210" s="1"/>
  <c r="A354" i="210" s="1"/>
  <c r="A355" i="210" s="1"/>
  <c r="A356" i="210" s="1"/>
  <c r="A357" i="210" s="1"/>
  <c r="A358" i="210" s="1"/>
  <c r="A359" i="210" s="1"/>
  <c r="A360" i="210" s="1"/>
  <c r="A361" i="210" s="1"/>
  <c r="A362" i="210" s="1"/>
  <c r="A363" i="210" s="1"/>
  <c r="A364" i="210" s="1"/>
  <c r="A365" i="210" s="1"/>
  <c r="A366" i="210" s="1"/>
  <c r="A367" i="210" s="1"/>
  <c r="A368" i="210" s="1"/>
  <c r="A369" i="210" s="1"/>
  <c r="A377" i="210" s="1"/>
  <c r="A378" i="210" s="1"/>
  <c r="A379" i="210" s="1"/>
  <c r="A380" i="210" s="1"/>
  <c r="A381" i="210" s="1"/>
  <c r="A382" i="210" s="1"/>
  <c r="A383" i="210" s="1"/>
  <c r="A384" i="210" s="1"/>
  <c r="A385" i="210" s="1"/>
  <c r="A386" i="210" s="1"/>
  <c r="A387" i="210" s="1"/>
  <c r="A388" i="210" s="1"/>
  <c r="A389" i="210" s="1"/>
  <c r="A390" i="210" s="1"/>
  <c r="A391" i="210" s="1"/>
  <c r="A392" i="210" s="1"/>
  <c r="A393" i="210" s="1"/>
  <c r="A394" i="210" s="1"/>
  <c r="A395" i="210" s="1"/>
  <c r="A396" i="210" s="1"/>
  <c r="A397" i="210" s="1"/>
  <c r="A398" i="210" s="1"/>
  <c r="A399" i="210" s="1"/>
  <c r="A400" i="210" s="1"/>
  <c r="A401" i="210" s="1"/>
  <c r="A402" i="210" s="1"/>
  <c r="A410" i="210" s="1"/>
  <c r="A411" i="210" s="1"/>
  <c r="A412" i="210" s="1"/>
  <c r="A413" i="210" s="1"/>
  <c r="A414" i="210" s="1"/>
  <c r="A415" i="210" s="1"/>
  <c r="A416" i="210" s="1"/>
  <c r="A417" i="210" s="1"/>
  <c r="A418" i="210" s="1"/>
  <c r="A419" i="210" s="1"/>
  <c r="A420" i="210" s="1"/>
  <c r="A421" i="210" s="1"/>
  <c r="A422" i="210" s="1"/>
  <c r="A423" i="210" s="1"/>
  <c r="A424" i="210" s="1"/>
  <c r="A425" i="210" s="1"/>
  <c r="A426" i="210" s="1"/>
  <c r="A427" i="210" s="1"/>
  <c r="A428" i="210" s="1"/>
  <c r="A429" i="210" s="1"/>
  <c r="A430" i="210" s="1"/>
  <c r="A431" i="210" s="1"/>
  <c r="A432" i="210" s="1"/>
  <c r="A433" i="210" s="1"/>
  <c r="A434" i="210" s="1"/>
  <c r="A435" i="210" s="1"/>
  <c r="D14" i="210"/>
  <c r="A14" i="210"/>
  <c r="D13" i="210"/>
  <c r="A13" i="211" l="1"/>
  <c r="A14" i="211" s="1"/>
  <c r="A15" i="211" s="1"/>
  <c r="A18" i="211" s="1"/>
  <c r="E98" i="211"/>
  <c r="J33" i="211" s="1"/>
  <c r="E103" i="211"/>
  <c r="J42" i="211" s="1"/>
  <c r="J29" i="211"/>
  <c r="J89" i="210"/>
  <c r="F62" i="210"/>
  <c r="F69" i="210"/>
  <c r="E76" i="210"/>
  <c r="F110" i="210"/>
  <c r="F76" i="210" s="1"/>
  <c r="J122" i="210"/>
  <c r="F106" i="210"/>
  <c r="F72" i="210" s="1"/>
  <c r="E72" i="210"/>
  <c r="F66" i="210"/>
  <c r="K186" i="210"/>
  <c r="J187" i="210"/>
  <c r="F55" i="210"/>
  <c r="F59" i="210"/>
  <c r="F70" i="210"/>
  <c r="J153" i="210"/>
  <c r="F90" i="210"/>
  <c r="F56" i="210" s="1"/>
  <c r="E56" i="210"/>
  <c r="E60" i="210"/>
  <c r="F94" i="210"/>
  <c r="F60" i="210" s="1"/>
  <c r="F67" i="210"/>
  <c r="F78" i="210"/>
  <c r="F98" i="210"/>
  <c r="F64" i="210" s="1"/>
  <c r="E64" i="210"/>
  <c r="E68" i="210"/>
  <c r="F102" i="210"/>
  <c r="F68" i="210" s="1"/>
  <c r="E61" i="210"/>
  <c r="J251" i="210"/>
  <c r="K250" i="210"/>
  <c r="F173" i="210"/>
  <c r="F75" i="210" s="1"/>
  <c r="J314" i="210"/>
  <c r="E58" i="210"/>
  <c r="E66" i="210"/>
  <c r="E74" i="210"/>
  <c r="D25" i="210"/>
  <c r="J54" i="210" s="1"/>
  <c r="E59" i="210"/>
  <c r="J346" i="210"/>
  <c r="K345" i="210"/>
  <c r="E67" i="210"/>
  <c r="J217" i="210"/>
  <c r="E70" i="210"/>
  <c r="E63" i="210"/>
  <c r="J281" i="210"/>
  <c r="J411" i="210"/>
  <c r="J379" i="210"/>
  <c r="K378" i="210"/>
  <c r="H15" i="211" l="1"/>
  <c r="J41" i="211"/>
  <c r="J38" i="211"/>
  <c r="J56" i="211" s="1"/>
  <c r="J34" i="211"/>
  <c r="J55" i="211" s="1"/>
  <c r="J59" i="211" s="1"/>
  <c r="J64" i="211" s="1"/>
  <c r="E68" i="211" s="1"/>
  <c r="A19" i="211"/>
  <c r="A20" i="211" s="1"/>
  <c r="A21" i="211" s="1"/>
  <c r="J315" i="210"/>
  <c r="K314" i="210"/>
  <c r="J154" i="210"/>
  <c r="K153" i="210"/>
  <c r="K122" i="210"/>
  <c r="J123" i="210"/>
  <c r="J347" i="210"/>
  <c r="K346" i="210"/>
  <c r="K411" i="210"/>
  <c r="J412" i="210"/>
  <c r="J252" i="210"/>
  <c r="K251" i="210"/>
  <c r="J380" i="210"/>
  <c r="K379" i="210"/>
  <c r="K281" i="210"/>
  <c r="J282" i="210"/>
  <c r="K187" i="210"/>
  <c r="J188" i="210"/>
  <c r="K89" i="210"/>
  <c r="J90" i="210"/>
  <c r="J55" i="210"/>
  <c r="J218" i="210"/>
  <c r="K217" i="210"/>
  <c r="D26" i="210"/>
  <c r="E73" i="211" l="1"/>
  <c r="J70" i="211" s="1"/>
  <c r="J72" i="211" s="1"/>
  <c r="H21" i="211"/>
  <c r="A23" i="211"/>
  <c r="H29" i="211"/>
  <c r="K218" i="210"/>
  <c r="J219" i="210"/>
  <c r="K55" i="210"/>
  <c r="K154" i="210"/>
  <c r="J155" i="210"/>
  <c r="K188" i="210"/>
  <c r="J189" i="210"/>
  <c r="J283" i="210"/>
  <c r="K282" i="210"/>
  <c r="K123" i="210"/>
  <c r="J124" i="210"/>
  <c r="J381" i="210"/>
  <c r="K380" i="210"/>
  <c r="J56" i="210"/>
  <c r="K90" i="210"/>
  <c r="J91" i="210"/>
  <c r="K252" i="210"/>
  <c r="J253" i="210"/>
  <c r="J413" i="210"/>
  <c r="K412" i="210"/>
  <c r="K315" i="210"/>
  <c r="J316" i="210"/>
  <c r="J348" i="210"/>
  <c r="K347" i="210"/>
  <c r="A24" i="211" l="1"/>
  <c r="A25" i="211" s="1"/>
  <c r="A26" i="211" s="1"/>
  <c r="A27" i="211" s="1"/>
  <c r="A29" i="211" s="1"/>
  <c r="J284" i="210"/>
  <c r="K283" i="210"/>
  <c r="K56" i="210"/>
  <c r="K189" i="210"/>
  <c r="J190" i="210"/>
  <c r="K348" i="210"/>
  <c r="J349" i="210"/>
  <c r="K155" i="210"/>
  <c r="J156" i="210"/>
  <c r="J57" i="210"/>
  <c r="K91" i="210"/>
  <c r="J92" i="210"/>
  <c r="K316" i="210"/>
  <c r="J317" i="210"/>
  <c r="K381" i="210"/>
  <c r="J382" i="210"/>
  <c r="J414" i="210"/>
  <c r="K413" i="210"/>
  <c r="J125" i="210"/>
  <c r="K124" i="210"/>
  <c r="K219" i="210"/>
  <c r="J220" i="210"/>
  <c r="K253" i="210"/>
  <c r="J254" i="210"/>
  <c r="H30" i="211" l="1"/>
  <c r="H41" i="211"/>
  <c r="A33" i="211"/>
  <c r="A34" i="211" s="1"/>
  <c r="H34" i="211"/>
  <c r="J255" i="210"/>
  <c r="K254" i="210"/>
  <c r="J383" i="210"/>
  <c r="K382" i="210"/>
  <c r="J285" i="210"/>
  <c r="K284" i="210"/>
  <c r="K317" i="210"/>
  <c r="J318" i="210"/>
  <c r="K156" i="210"/>
  <c r="J157" i="210"/>
  <c r="J221" i="210"/>
  <c r="K220" i="210"/>
  <c r="K190" i="210"/>
  <c r="J191" i="210"/>
  <c r="J93" i="210"/>
  <c r="J58" i="210"/>
  <c r="K92" i="210"/>
  <c r="K58" i="210" s="1"/>
  <c r="J350" i="210"/>
  <c r="K349" i="210"/>
  <c r="K125" i="210"/>
  <c r="J126" i="210"/>
  <c r="K57" i="210"/>
  <c r="J415" i="210"/>
  <c r="K414" i="210"/>
  <c r="A38" i="211" l="1"/>
  <c r="H55" i="211"/>
  <c r="J158" i="210"/>
  <c r="K157" i="210"/>
  <c r="K415" i="210"/>
  <c r="J416" i="210"/>
  <c r="J94" i="210"/>
  <c r="J59" i="210"/>
  <c r="K93" i="210"/>
  <c r="K350" i="210"/>
  <c r="J351" i="210"/>
  <c r="K191" i="210"/>
  <c r="J192" i="210"/>
  <c r="J256" i="210"/>
  <c r="K255" i="210"/>
  <c r="K318" i="210"/>
  <c r="J319" i="210"/>
  <c r="K126" i="210"/>
  <c r="J127" i="210"/>
  <c r="J286" i="210"/>
  <c r="K285" i="210"/>
  <c r="J222" i="210"/>
  <c r="K221" i="210"/>
  <c r="K383" i="210"/>
  <c r="J384" i="210"/>
  <c r="H56" i="211" l="1"/>
  <c r="A41" i="211"/>
  <c r="A42" i="211" s="1"/>
  <c r="A43" i="211" s="1"/>
  <c r="A44" i="211" s="1"/>
  <c r="A45" i="211" s="1"/>
  <c r="A48" i="211" s="1"/>
  <c r="J352" i="210"/>
  <c r="K351" i="210"/>
  <c r="J385" i="210"/>
  <c r="K384" i="210"/>
  <c r="K319" i="210"/>
  <c r="J320" i="210"/>
  <c r="K59" i="210"/>
  <c r="J287" i="210"/>
  <c r="K286" i="210"/>
  <c r="J128" i="210"/>
  <c r="K127" i="210"/>
  <c r="K158" i="210"/>
  <c r="J159" i="210"/>
  <c r="K94" i="210"/>
  <c r="K60" i="210" s="1"/>
  <c r="J95" i="210"/>
  <c r="J60" i="210"/>
  <c r="K222" i="210"/>
  <c r="J223" i="210"/>
  <c r="K256" i="210"/>
  <c r="J257" i="210"/>
  <c r="J417" i="210"/>
  <c r="K416" i="210"/>
  <c r="K192" i="210"/>
  <c r="J193" i="210"/>
  <c r="A49" i="211" l="1"/>
  <c r="A50" i="211" s="1"/>
  <c r="A51" i="211" s="1"/>
  <c r="A52" i="211" s="1"/>
  <c r="A53" i="211" s="1"/>
  <c r="A54" i="211" s="1"/>
  <c r="A55" i="211" s="1"/>
  <c r="A56" i="211" s="1"/>
  <c r="A57" i="211" s="1"/>
  <c r="A58" i="211" s="1"/>
  <c r="A59" i="211" s="1"/>
  <c r="A61" i="211" s="1"/>
  <c r="A64" i="211" s="1"/>
  <c r="H59" i="211"/>
  <c r="K193" i="210"/>
  <c r="J194" i="210"/>
  <c r="J321" i="210"/>
  <c r="K320" i="210"/>
  <c r="K159" i="210"/>
  <c r="J160" i="210"/>
  <c r="K385" i="210"/>
  <c r="J386" i="210"/>
  <c r="J288" i="210"/>
  <c r="K287" i="210"/>
  <c r="K95" i="210"/>
  <c r="J61" i="210"/>
  <c r="J96" i="210"/>
  <c r="J418" i="210"/>
  <c r="K417" i="210"/>
  <c r="K257" i="210"/>
  <c r="J258" i="210"/>
  <c r="K223" i="210"/>
  <c r="J224" i="210"/>
  <c r="J129" i="210"/>
  <c r="K128" i="210"/>
  <c r="K352" i="210"/>
  <c r="J353" i="210"/>
  <c r="A68" i="211" l="1"/>
  <c r="G68" i="211"/>
  <c r="J354" i="210"/>
  <c r="K353" i="210"/>
  <c r="J419" i="210"/>
  <c r="K418" i="210"/>
  <c r="J387" i="210"/>
  <c r="K386" i="210"/>
  <c r="J97" i="210"/>
  <c r="J62" i="210"/>
  <c r="K96" i="210"/>
  <c r="K321" i="210"/>
  <c r="J322" i="210"/>
  <c r="K194" i="210"/>
  <c r="J195" i="210"/>
  <c r="J161" i="210"/>
  <c r="K160" i="210"/>
  <c r="K129" i="210"/>
  <c r="J130" i="210"/>
  <c r="J225" i="210"/>
  <c r="K224" i="210"/>
  <c r="K61" i="210"/>
  <c r="J259" i="210"/>
  <c r="K258" i="210"/>
  <c r="J289" i="210"/>
  <c r="K288" i="210"/>
  <c r="A69" i="211" l="1"/>
  <c r="A70" i="211" s="1"/>
  <c r="K97" i="210"/>
  <c r="J98" i="210"/>
  <c r="J63" i="210"/>
  <c r="K195" i="210"/>
  <c r="J196" i="210"/>
  <c r="K387" i="210"/>
  <c r="J388" i="210"/>
  <c r="K161" i="210"/>
  <c r="J162" i="210"/>
  <c r="J260" i="210"/>
  <c r="K259" i="210"/>
  <c r="K419" i="210"/>
  <c r="J420" i="210"/>
  <c r="J290" i="210"/>
  <c r="K289" i="210"/>
  <c r="K322" i="210"/>
  <c r="J323" i="210"/>
  <c r="J226" i="210"/>
  <c r="K225" i="210"/>
  <c r="K130" i="210"/>
  <c r="J131" i="210"/>
  <c r="K62" i="210"/>
  <c r="K354" i="210"/>
  <c r="J355" i="210"/>
  <c r="A71" i="211" l="1"/>
  <c r="A72" i="211" s="1"/>
  <c r="A73" i="211" s="1"/>
  <c r="G70" i="211"/>
  <c r="J356" i="210"/>
  <c r="K355" i="210"/>
  <c r="J291" i="210"/>
  <c r="K290" i="210"/>
  <c r="K131" i="210"/>
  <c r="J132" i="210"/>
  <c r="J421" i="210"/>
  <c r="K420" i="210"/>
  <c r="J197" i="210"/>
  <c r="K196" i="210"/>
  <c r="K388" i="210"/>
  <c r="J389" i="210"/>
  <c r="K226" i="210"/>
  <c r="J227" i="210"/>
  <c r="K260" i="210"/>
  <c r="J261" i="210"/>
  <c r="K98" i="210"/>
  <c r="J64" i="210"/>
  <c r="J99" i="210"/>
  <c r="K323" i="210"/>
  <c r="J324" i="210"/>
  <c r="J163" i="210"/>
  <c r="K162" i="210"/>
  <c r="K63" i="210"/>
  <c r="G72" i="211" l="1"/>
  <c r="G73" i="211"/>
  <c r="K227" i="210"/>
  <c r="J228" i="210"/>
  <c r="K324" i="210"/>
  <c r="J325" i="210"/>
  <c r="J422" i="210"/>
  <c r="K421" i="210"/>
  <c r="K291" i="210"/>
  <c r="J292" i="210"/>
  <c r="K261" i="210"/>
  <c r="J262" i="210"/>
  <c r="K163" i="210"/>
  <c r="J164" i="210"/>
  <c r="J65" i="210"/>
  <c r="K99" i="210"/>
  <c r="K65" i="210" s="1"/>
  <c r="J100" i="210"/>
  <c r="J133" i="210"/>
  <c r="K132" i="210"/>
  <c r="K389" i="210"/>
  <c r="J390" i="210"/>
  <c r="K64" i="210"/>
  <c r="K197" i="210"/>
  <c r="J198" i="210"/>
  <c r="J357" i="210"/>
  <c r="K356" i="210"/>
  <c r="J66" i="210" l="1"/>
  <c r="J101" i="210"/>
  <c r="K100" i="210"/>
  <c r="J293" i="210"/>
  <c r="K292" i="210"/>
  <c r="K422" i="210"/>
  <c r="J423" i="210"/>
  <c r="J358" i="210"/>
  <c r="K357" i="210"/>
  <c r="J165" i="210"/>
  <c r="K164" i="210"/>
  <c r="J391" i="210"/>
  <c r="K390" i="210"/>
  <c r="K133" i="210"/>
  <c r="J134" i="210"/>
  <c r="K198" i="210"/>
  <c r="J199" i="210"/>
  <c r="K325" i="210"/>
  <c r="J326" i="210"/>
  <c r="J263" i="210"/>
  <c r="K262" i="210"/>
  <c r="J229" i="210"/>
  <c r="K228" i="210"/>
  <c r="J264" i="210" l="1"/>
  <c r="K263" i="210"/>
  <c r="J327" i="210"/>
  <c r="K326" i="210"/>
  <c r="K199" i="210"/>
  <c r="J200" i="210"/>
  <c r="K66" i="210"/>
  <c r="K423" i="210"/>
  <c r="J424" i="210"/>
  <c r="J392" i="210"/>
  <c r="K391" i="210"/>
  <c r="J166" i="210"/>
  <c r="K165" i="210"/>
  <c r="K293" i="210"/>
  <c r="J294" i="210"/>
  <c r="J359" i="210"/>
  <c r="K358" i="210"/>
  <c r="K101" i="210"/>
  <c r="J102" i="210"/>
  <c r="J67" i="210"/>
  <c r="J230" i="210"/>
  <c r="K229" i="210"/>
  <c r="K134" i="210"/>
  <c r="J135" i="210"/>
  <c r="K264" i="210" l="1"/>
  <c r="J265" i="210"/>
  <c r="J295" i="210"/>
  <c r="K294" i="210"/>
  <c r="K230" i="210"/>
  <c r="J231" i="210"/>
  <c r="K200" i="210"/>
  <c r="J201" i="210"/>
  <c r="K102" i="210"/>
  <c r="K68" i="210" s="1"/>
  <c r="J103" i="210"/>
  <c r="J68" i="210"/>
  <c r="J167" i="210"/>
  <c r="K166" i="210"/>
  <c r="K327" i="210"/>
  <c r="J328" i="210"/>
  <c r="K67" i="210"/>
  <c r="K392" i="210"/>
  <c r="J393" i="210"/>
  <c r="J136" i="210"/>
  <c r="K135" i="210"/>
  <c r="J360" i="210"/>
  <c r="K359" i="210"/>
  <c r="J425" i="210"/>
  <c r="K424" i="210"/>
  <c r="K231" i="210" l="1"/>
  <c r="J232" i="210"/>
  <c r="K328" i="210"/>
  <c r="J329" i="210"/>
  <c r="J394" i="210"/>
  <c r="K393" i="210"/>
  <c r="K201" i="210"/>
  <c r="J202" i="210"/>
  <c r="J137" i="210"/>
  <c r="K136" i="210"/>
  <c r="K295" i="210"/>
  <c r="J296" i="210"/>
  <c r="J426" i="210"/>
  <c r="K425" i="210"/>
  <c r="J361" i="210"/>
  <c r="K360" i="210"/>
  <c r="J168" i="210"/>
  <c r="K167" i="210"/>
  <c r="K103" i="210"/>
  <c r="J69" i="210"/>
  <c r="J104" i="210"/>
  <c r="K265" i="210"/>
  <c r="J266" i="210"/>
  <c r="K266" i="210" l="1"/>
  <c r="J267" i="210"/>
  <c r="J362" i="210"/>
  <c r="K361" i="210"/>
  <c r="J297" i="210"/>
  <c r="K296" i="210"/>
  <c r="J105" i="210"/>
  <c r="J70" i="210"/>
  <c r="K104" i="210"/>
  <c r="K69" i="210"/>
  <c r="K202" i="210"/>
  <c r="J203" i="210"/>
  <c r="K426" i="210"/>
  <c r="J427" i="210"/>
  <c r="J395" i="210"/>
  <c r="K394" i="210"/>
  <c r="K329" i="210"/>
  <c r="J330" i="210"/>
  <c r="J169" i="210"/>
  <c r="K168" i="210"/>
  <c r="K137" i="210"/>
  <c r="J138" i="210"/>
  <c r="J233" i="210"/>
  <c r="K232" i="210"/>
  <c r="K427" i="210" l="1"/>
  <c r="J428" i="210"/>
  <c r="K105" i="210"/>
  <c r="J106" i="210"/>
  <c r="J71" i="210"/>
  <c r="K203" i="210"/>
  <c r="J204" i="210"/>
  <c r="K297" i="210"/>
  <c r="J298" i="210"/>
  <c r="J170" i="210"/>
  <c r="K169" i="210"/>
  <c r="J363" i="210"/>
  <c r="K362" i="210"/>
  <c r="K138" i="210"/>
  <c r="J139" i="210"/>
  <c r="J331" i="210"/>
  <c r="K330" i="210"/>
  <c r="K267" i="210"/>
  <c r="J268" i="210"/>
  <c r="K70" i="210"/>
  <c r="J234" i="210"/>
  <c r="K233" i="210"/>
  <c r="J396" i="210"/>
  <c r="K395" i="210"/>
  <c r="K268" i="210" l="1"/>
  <c r="J269" i="210"/>
  <c r="K234" i="210"/>
  <c r="J235" i="210"/>
  <c r="K204" i="210"/>
  <c r="J205" i="210"/>
  <c r="J364" i="210"/>
  <c r="K363" i="210"/>
  <c r="K106" i="210"/>
  <c r="J72" i="210"/>
  <c r="J107" i="210"/>
  <c r="J171" i="210"/>
  <c r="K170" i="210"/>
  <c r="K71" i="210"/>
  <c r="K396" i="210"/>
  <c r="J397" i="210"/>
  <c r="K331" i="210"/>
  <c r="J332" i="210"/>
  <c r="J299" i="210"/>
  <c r="K298" i="210"/>
  <c r="J429" i="210"/>
  <c r="K428" i="210"/>
  <c r="K139" i="210"/>
  <c r="J140" i="210"/>
  <c r="J398" i="210" l="1"/>
  <c r="K397" i="210"/>
  <c r="K364" i="210"/>
  <c r="J365" i="210"/>
  <c r="J430" i="210"/>
  <c r="K429" i="210"/>
  <c r="K235" i="210"/>
  <c r="J236" i="210"/>
  <c r="K107" i="210"/>
  <c r="J108" i="210"/>
  <c r="J73" i="210"/>
  <c r="J141" i="210"/>
  <c r="K140" i="210"/>
  <c r="K205" i="210"/>
  <c r="J206" i="210"/>
  <c r="J172" i="210"/>
  <c r="K171" i="210"/>
  <c r="J270" i="210"/>
  <c r="K269" i="210"/>
  <c r="J300" i="210"/>
  <c r="K299" i="210"/>
  <c r="K332" i="210"/>
  <c r="J333" i="210"/>
  <c r="K72" i="210"/>
  <c r="K333" i="210" l="1"/>
  <c r="J334" i="210"/>
  <c r="K430" i="210"/>
  <c r="J431" i="210"/>
  <c r="K141" i="210"/>
  <c r="J142" i="210"/>
  <c r="J366" i="210"/>
  <c r="K365" i="210"/>
  <c r="J237" i="210"/>
  <c r="K236" i="210"/>
  <c r="J173" i="210"/>
  <c r="K172" i="210"/>
  <c r="K206" i="210"/>
  <c r="J207" i="210"/>
  <c r="J301" i="210"/>
  <c r="K300" i="210"/>
  <c r="K270" i="210"/>
  <c r="J271" i="210"/>
  <c r="J74" i="210"/>
  <c r="J109" i="210"/>
  <c r="K108" i="210"/>
  <c r="K73" i="210"/>
  <c r="J399" i="210"/>
  <c r="K398" i="210"/>
  <c r="J400" i="210" l="1"/>
  <c r="K399" i="210"/>
  <c r="K74" i="210"/>
  <c r="K109" i="210"/>
  <c r="J110" i="210"/>
  <c r="J75" i="210"/>
  <c r="K366" i="210"/>
  <c r="J367" i="210"/>
  <c r="K142" i="210"/>
  <c r="J143" i="210"/>
  <c r="K431" i="210"/>
  <c r="J432" i="210"/>
  <c r="K271" i="210"/>
  <c r="J272" i="210"/>
  <c r="K334" i="210"/>
  <c r="J335" i="210"/>
  <c r="J302" i="210"/>
  <c r="K301" i="210"/>
  <c r="K207" i="210"/>
  <c r="J208" i="210"/>
  <c r="K173" i="210"/>
  <c r="J174" i="210"/>
  <c r="J238" i="210"/>
  <c r="K237" i="210"/>
  <c r="K208" i="210" l="1"/>
  <c r="J209" i="210"/>
  <c r="K209" i="210" s="1"/>
  <c r="K210" i="210" s="1"/>
  <c r="K75" i="210"/>
  <c r="J368" i="210"/>
  <c r="K368" i="210" s="1"/>
  <c r="K367" i="210"/>
  <c r="K272" i="210"/>
  <c r="J273" i="210"/>
  <c r="K273" i="210" s="1"/>
  <c r="K274" i="210" s="1"/>
  <c r="K335" i="210"/>
  <c r="J336" i="210"/>
  <c r="K110" i="210"/>
  <c r="J111" i="210"/>
  <c r="J76" i="210"/>
  <c r="K238" i="210"/>
  <c r="J239" i="210"/>
  <c r="J175" i="210"/>
  <c r="K174" i="210"/>
  <c r="J433" i="210"/>
  <c r="K432" i="210"/>
  <c r="J144" i="210"/>
  <c r="K143" i="210"/>
  <c r="J303" i="210"/>
  <c r="K302" i="210"/>
  <c r="K400" i="210"/>
  <c r="J401" i="210"/>
  <c r="K401" i="210" s="1"/>
  <c r="K402" i="210" s="1"/>
  <c r="K369" i="210" l="1"/>
  <c r="J304" i="210"/>
  <c r="K304" i="210" s="1"/>
  <c r="K305" i="210" s="1"/>
  <c r="K303" i="210"/>
  <c r="K239" i="210"/>
  <c r="J240" i="210"/>
  <c r="K240" i="210" s="1"/>
  <c r="K241" i="210" s="1"/>
  <c r="K175" i="210"/>
  <c r="J176" i="210"/>
  <c r="K176" i="210" s="1"/>
  <c r="K177" i="210" s="1"/>
  <c r="J145" i="210"/>
  <c r="K145" i="210" s="1"/>
  <c r="K146" i="210" s="1"/>
  <c r="K144" i="210"/>
  <c r="J77" i="210"/>
  <c r="K111" i="210"/>
  <c r="J112" i="210"/>
  <c r="K76" i="210"/>
  <c r="K433" i="210"/>
  <c r="J434" i="210"/>
  <c r="K434" i="210" s="1"/>
  <c r="K435" i="210" s="1"/>
  <c r="J337" i="210"/>
  <c r="K337" i="210" s="1"/>
  <c r="K338" i="210" s="1"/>
  <c r="K336" i="210"/>
  <c r="J78" i="210" l="1"/>
  <c r="K112" i="210"/>
  <c r="K77" i="210"/>
  <c r="K78" i="210" l="1"/>
  <c r="K79" i="210" s="1"/>
  <c r="K113" i="210"/>
  <c r="F10" i="100" l="1"/>
  <c r="E6" i="100"/>
  <c r="D7" i="194"/>
  <c r="D6" i="194"/>
  <c r="F103" i="209"/>
  <c r="F98" i="209"/>
  <c r="E103" i="209"/>
  <c r="J42" i="209" s="1"/>
  <c r="E98" i="209"/>
  <c r="J33" i="209" s="1"/>
  <c r="E87" i="209"/>
  <c r="J86" i="209"/>
  <c r="H42" i="209"/>
  <c r="H41" i="209"/>
  <c r="H33" i="209"/>
  <c r="A33" i="209"/>
  <c r="H34" i="209" s="1"/>
  <c r="J21" i="209"/>
  <c r="J15" i="209"/>
  <c r="A7" i="209"/>
  <c r="J29" i="209"/>
  <c r="F434" i="208"/>
  <c r="F433" i="208"/>
  <c r="F432" i="208"/>
  <c r="F431" i="208"/>
  <c r="F430" i="208"/>
  <c r="F429" i="208"/>
  <c r="F428" i="208"/>
  <c r="F427" i="208"/>
  <c r="F426" i="208"/>
  <c r="F425" i="208"/>
  <c r="F424" i="208"/>
  <c r="F423" i="208"/>
  <c r="F422" i="208"/>
  <c r="F421" i="208"/>
  <c r="F420" i="208"/>
  <c r="F419" i="208"/>
  <c r="F418" i="208"/>
  <c r="F417" i="208"/>
  <c r="F416" i="208"/>
  <c r="F415" i="208"/>
  <c r="F414" i="208"/>
  <c r="F413" i="208"/>
  <c r="F412" i="208"/>
  <c r="J411" i="208"/>
  <c r="F411" i="208"/>
  <c r="K409" i="208"/>
  <c r="J409" i="208"/>
  <c r="I409" i="208"/>
  <c r="H409" i="208"/>
  <c r="F409" i="208"/>
  <c r="E409" i="208"/>
  <c r="D409" i="208"/>
  <c r="K408" i="208"/>
  <c r="J408" i="208"/>
  <c r="I408" i="208"/>
  <c r="H408" i="208"/>
  <c r="F408" i="208"/>
  <c r="E408" i="208"/>
  <c r="D408" i="208"/>
  <c r="F401" i="208"/>
  <c r="F400" i="208"/>
  <c r="F399" i="208"/>
  <c r="F398" i="208"/>
  <c r="F397" i="208"/>
  <c r="F396" i="208"/>
  <c r="F395" i="208"/>
  <c r="F394" i="208"/>
  <c r="F393" i="208"/>
  <c r="F392" i="208"/>
  <c r="F391" i="208"/>
  <c r="F390" i="208"/>
  <c r="F389" i="208"/>
  <c r="F388" i="208"/>
  <c r="F387" i="208"/>
  <c r="F386" i="208"/>
  <c r="F385" i="208"/>
  <c r="F384" i="208"/>
  <c r="F383" i="208"/>
  <c r="F382" i="208"/>
  <c r="F381" i="208"/>
  <c r="F380" i="208"/>
  <c r="F379" i="208"/>
  <c r="K378" i="208"/>
  <c r="J378" i="208"/>
  <c r="F378" i="208"/>
  <c r="K376" i="208"/>
  <c r="J376" i="208"/>
  <c r="I376" i="208"/>
  <c r="H376" i="208"/>
  <c r="G376" i="208"/>
  <c r="F376" i="208"/>
  <c r="E376" i="208"/>
  <c r="D376" i="208"/>
  <c r="K375" i="208"/>
  <c r="J375" i="208"/>
  <c r="I375" i="208"/>
  <c r="H375" i="208"/>
  <c r="G375" i="208"/>
  <c r="F375" i="208"/>
  <c r="E375" i="208"/>
  <c r="D375" i="208"/>
  <c r="G374" i="208"/>
  <c r="F368" i="208"/>
  <c r="F367" i="208"/>
  <c r="F366" i="208"/>
  <c r="F365" i="208"/>
  <c r="F364" i="208"/>
  <c r="F363" i="208"/>
  <c r="F362" i="208"/>
  <c r="F361" i="208"/>
  <c r="F360" i="208"/>
  <c r="F359" i="208"/>
  <c r="F358" i="208"/>
  <c r="F357" i="208"/>
  <c r="F356" i="208"/>
  <c r="F355" i="208"/>
  <c r="F354" i="208"/>
  <c r="F353" i="208"/>
  <c r="F352" i="208"/>
  <c r="F351" i="208"/>
  <c r="F350" i="208"/>
  <c r="F349" i="208"/>
  <c r="F348" i="208"/>
  <c r="F347" i="208"/>
  <c r="F346" i="208"/>
  <c r="F345" i="208"/>
  <c r="J345" i="208" s="1"/>
  <c r="J344" i="208"/>
  <c r="K343" i="208"/>
  <c r="J343" i="208"/>
  <c r="I343" i="208"/>
  <c r="H343" i="208"/>
  <c r="G343" i="208"/>
  <c r="F343" i="208"/>
  <c r="E343" i="208"/>
  <c r="D343" i="208"/>
  <c r="K342" i="208"/>
  <c r="J342" i="208"/>
  <c r="I342" i="208"/>
  <c r="H342" i="208"/>
  <c r="G342" i="208"/>
  <c r="F342" i="208"/>
  <c r="E342" i="208"/>
  <c r="D342" i="208"/>
  <c r="G341" i="208"/>
  <c r="F337" i="208"/>
  <c r="F336" i="208"/>
  <c r="F335" i="208"/>
  <c r="F334" i="208"/>
  <c r="F333" i="208"/>
  <c r="F332" i="208"/>
  <c r="F331" i="208"/>
  <c r="F330" i="208"/>
  <c r="F329" i="208"/>
  <c r="F328" i="208"/>
  <c r="F327" i="208"/>
  <c r="F326" i="208"/>
  <c r="F325" i="208"/>
  <c r="F324" i="208"/>
  <c r="F323" i="208"/>
  <c r="F322" i="208"/>
  <c r="F321" i="208"/>
  <c r="F320" i="208"/>
  <c r="F319" i="208"/>
  <c r="F318" i="208"/>
  <c r="F317" i="208"/>
  <c r="F316" i="208"/>
  <c r="F315" i="208"/>
  <c r="F314" i="208"/>
  <c r="K312" i="208"/>
  <c r="J312" i="208"/>
  <c r="I312" i="208"/>
  <c r="H312" i="208"/>
  <c r="G312" i="208"/>
  <c r="F312" i="208"/>
  <c r="E312" i="208"/>
  <c r="D312" i="208"/>
  <c r="K311" i="208"/>
  <c r="J311" i="208"/>
  <c r="I311" i="208"/>
  <c r="H311" i="208"/>
  <c r="G311" i="208"/>
  <c r="F311" i="208"/>
  <c r="E311" i="208"/>
  <c r="D311" i="208"/>
  <c r="G310" i="208"/>
  <c r="F304" i="208"/>
  <c r="F303" i="208"/>
  <c r="F302" i="208"/>
  <c r="F301" i="208"/>
  <c r="F300" i="208"/>
  <c r="F299" i="208"/>
  <c r="F298" i="208"/>
  <c r="F297" i="208"/>
  <c r="F296" i="208"/>
  <c r="F295" i="208"/>
  <c r="F294" i="208"/>
  <c r="F293" i="208"/>
  <c r="F292" i="208"/>
  <c r="F291" i="208"/>
  <c r="F290" i="208"/>
  <c r="F289" i="208"/>
  <c r="F288" i="208"/>
  <c r="F287" i="208"/>
  <c r="F286" i="208"/>
  <c r="F285" i="208"/>
  <c r="F284" i="208"/>
  <c r="F283" i="208"/>
  <c r="F282" i="208"/>
  <c r="J281" i="208"/>
  <c r="K281" i="208" s="1"/>
  <c r="F281" i="208"/>
  <c r="J280" i="208"/>
  <c r="K279" i="208"/>
  <c r="J279" i="208"/>
  <c r="I279" i="208"/>
  <c r="H279" i="208"/>
  <c r="G279" i="208"/>
  <c r="F279" i="208"/>
  <c r="E279" i="208"/>
  <c r="D279" i="208"/>
  <c r="K278" i="208"/>
  <c r="J278" i="208"/>
  <c r="I278" i="208"/>
  <c r="H278" i="208"/>
  <c r="G278" i="208"/>
  <c r="F278" i="208"/>
  <c r="E278" i="208"/>
  <c r="D278" i="208"/>
  <c r="G277" i="208"/>
  <c r="F273" i="208"/>
  <c r="F272" i="208"/>
  <c r="F271" i="208"/>
  <c r="F270" i="208"/>
  <c r="F269" i="208"/>
  <c r="I73" i="208"/>
  <c r="F268" i="208"/>
  <c r="F267" i="208"/>
  <c r="F266" i="208"/>
  <c r="F265" i="208"/>
  <c r="F264" i="208"/>
  <c r="F263" i="208"/>
  <c r="F262" i="208"/>
  <c r="F261" i="208"/>
  <c r="F260" i="208"/>
  <c r="F259" i="208"/>
  <c r="F258" i="208"/>
  <c r="F257" i="208"/>
  <c r="F256" i="208"/>
  <c r="F255" i="208"/>
  <c r="F254" i="208"/>
  <c r="F253" i="208"/>
  <c r="F252" i="208"/>
  <c r="F251" i="208"/>
  <c r="F250" i="208"/>
  <c r="J249" i="208"/>
  <c r="J250" i="208" s="1"/>
  <c r="J251" i="208" s="1"/>
  <c r="K251" i="208" s="1"/>
  <c r="K248" i="208"/>
  <c r="J248" i="208"/>
  <c r="I248" i="208"/>
  <c r="H248" i="208"/>
  <c r="F248" i="208"/>
  <c r="E248" i="208"/>
  <c r="D248" i="208"/>
  <c r="K247" i="208"/>
  <c r="J247" i="208"/>
  <c r="I247" i="208"/>
  <c r="H247" i="208"/>
  <c r="F247" i="208"/>
  <c r="E247" i="208"/>
  <c r="D247" i="208"/>
  <c r="F240" i="208"/>
  <c r="F239" i="208"/>
  <c r="F238" i="208"/>
  <c r="F237" i="208"/>
  <c r="F236" i="208"/>
  <c r="F235" i="208"/>
  <c r="F234" i="208"/>
  <c r="F233" i="208"/>
  <c r="F232" i="208"/>
  <c r="F231" i="208"/>
  <c r="F230" i="208"/>
  <c r="F229" i="208"/>
  <c r="F228" i="208"/>
  <c r="F227" i="208"/>
  <c r="F226" i="208"/>
  <c r="F225" i="208"/>
  <c r="F224" i="208"/>
  <c r="F223" i="208"/>
  <c r="F222" i="208"/>
  <c r="F221" i="208"/>
  <c r="F220" i="208"/>
  <c r="F219" i="208"/>
  <c r="K218" i="208"/>
  <c r="J218" i="208"/>
  <c r="J219" i="208" s="1"/>
  <c r="K219" i="208" s="1"/>
  <c r="F218" i="208"/>
  <c r="F217" i="208"/>
  <c r="J216" i="208"/>
  <c r="J217" i="208" s="1"/>
  <c r="K217" i="208" s="1"/>
  <c r="K215" i="208"/>
  <c r="J215" i="208"/>
  <c r="I215" i="208"/>
  <c r="H215" i="208"/>
  <c r="G215" i="208"/>
  <c r="F215" i="208"/>
  <c r="E215" i="208"/>
  <c r="D215" i="208"/>
  <c r="K214" i="208"/>
  <c r="J214" i="208"/>
  <c r="I214" i="208"/>
  <c r="H214" i="208"/>
  <c r="G214" i="208"/>
  <c r="F214" i="208"/>
  <c r="E214" i="208"/>
  <c r="D214" i="208"/>
  <c r="G213" i="208"/>
  <c r="F209" i="208"/>
  <c r="F208" i="208"/>
  <c r="F207" i="208"/>
  <c r="F206" i="208"/>
  <c r="F205" i="208"/>
  <c r="F204" i="208"/>
  <c r="F203" i="208"/>
  <c r="F202" i="208"/>
  <c r="I70" i="208"/>
  <c r="F201" i="208"/>
  <c r="F200" i="208"/>
  <c r="F199" i="208"/>
  <c r="F198" i="208"/>
  <c r="F197" i="208"/>
  <c r="F196" i="208"/>
  <c r="F195" i="208"/>
  <c r="F194" i="208"/>
  <c r="F193" i="208"/>
  <c r="F192" i="208"/>
  <c r="F191" i="208"/>
  <c r="F190" i="208"/>
  <c r="F189" i="208"/>
  <c r="F188" i="208"/>
  <c r="F187" i="208"/>
  <c r="J186" i="208"/>
  <c r="F186" i="208"/>
  <c r="J185" i="208"/>
  <c r="K184" i="208"/>
  <c r="J184" i="208"/>
  <c r="I184" i="208"/>
  <c r="H184" i="208"/>
  <c r="G184" i="208"/>
  <c r="F184" i="208"/>
  <c r="E184" i="208"/>
  <c r="D184" i="208"/>
  <c r="K183" i="208"/>
  <c r="J183" i="208"/>
  <c r="I183" i="208"/>
  <c r="H183" i="208"/>
  <c r="G183" i="208"/>
  <c r="F183" i="208"/>
  <c r="E183" i="208"/>
  <c r="D183" i="208"/>
  <c r="G182" i="208"/>
  <c r="F176" i="208"/>
  <c r="F78" i="208" s="1"/>
  <c r="F175" i="208"/>
  <c r="F174" i="208"/>
  <c r="F173" i="208"/>
  <c r="F172" i="208"/>
  <c r="F171" i="208"/>
  <c r="F170" i="208"/>
  <c r="F169" i="208"/>
  <c r="F168" i="208"/>
  <c r="F167" i="208"/>
  <c r="F166" i="208"/>
  <c r="F165" i="208"/>
  <c r="I66" i="208"/>
  <c r="F164" i="208"/>
  <c r="F163" i="208"/>
  <c r="F162" i="208"/>
  <c r="F161" i="208"/>
  <c r="F160" i="208"/>
  <c r="F62" i="208" s="1"/>
  <c r="F159" i="208"/>
  <c r="F158" i="208"/>
  <c r="F157" i="208"/>
  <c r="F156" i="208"/>
  <c r="F155" i="208"/>
  <c r="I56" i="208"/>
  <c r="F154" i="208"/>
  <c r="F153" i="208"/>
  <c r="J153" i="208" s="1"/>
  <c r="J152" i="208"/>
  <c r="K151" i="208"/>
  <c r="J151" i="208"/>
  <c r="I151" i="208"/>
  <c r="H151" i="208"/>
  <c r="G151" i="208"/>
  <c r="F151" i="208"/>
  <c r="E151" i="208"/>
  <c r="D151" i="208"/>
  <c r="K150" i="208"/>
  <c r="J150" i="208"/>
  <c r="I150" i="208"/>
  <c r="H150" i="208"/>
  <c r="G150" i="208"/>
  <c r="F150" i="208"/>
  <c r="E150" i="208"/>
  <c r="D150" i="208"/>
  <c r="G149" i="208"/>
  <c r="F145" i="208"/>
  <c r="F144" i="208"/>
  <c r="F143" i="208"/>
  <c r="F142" i="208"/>
  <c r="F141" i="208"/>
  <c r="F140" i="208"/>
  <c r="I72" i="208"/>
  <c r="F138" i="208"/>
  <c r="F137" i="208"/>
  <c r="I69" i="208"/>
  <c r="F136" i="208"/>
  <c r="F135" i="208"/>
  <c r="F134" i="208"/>
  <c r="F133" i="208"/>
  <c r="I65" i="208"/>
  <c r="F132" i="208"/>
  <c r="F131" i="208"/>
  <c r="F130" i="208"/>
  <c r="F129" i="208"/>
  <c r="F128" i="208"/>
  <c r="F127" i="208"/>
  <c r="F126" i="208"/>
  <c r="F125" i="208"/>
  <c r="I57" i="208"/>
  <c r="F124" i="208"/>
  <c r="F122" i="208"/>
  <c r="J121" i="208"/>
  <c r="K120" i="208"/>
  <c r="J120" i="208"/>
  <c r="I120" i="208"/>
  <c r="H120" i="208"/>
  <c r="G120" i="208"/>
  <c r="F120" i="208"/>
  <c r="E120" i="208"/>
  <c r="D120" i="208"/>
  <c r="K119" i="208"/>
  <c r="J119" i="208"/>
  <c r="I119" i="208"/>
  <c r="H119" i="208"/>
  <c r="G119" i="208"/>
  <c r="F119" i="208"/>
  <c r="E119" i="208"/>
  <c r="D119" i="208"/>
  <c r="G118" i="208"/>
  <c r="I78" i="208"/>
  <c r="F112" i="208"/>
  <c r="I76" i="208"/>
  <c r="F110" i="208"/>
  <c r="F76" i="208" s="1"/>
  <c r="F109" i="208"/>
  <c r="F75" i="208" s="1"/>
  <c r="F108" i="208"/>
  <c r="F74" i="208" s="1"/>
  <c r="F106" i="208"/>
  <c r="F105" i="208"/>
  <c r="E71" i="208"/>
  <c r="F104" i="208"/>
  <c r="F70" i="208" s="1"/>
  <c r="I68" i="208"/>
  <c r="F102" i="208"/>
  <c r="F101" i="208"/>
  <c r="F67" i="208" s="1"/>
  <c r="F100" i="208"/>
  <c r="I64" i="208"/>
  <c r="F98" i="208"/>
  <c r="F64" i="208" s="1"/>
  <c r="F97" i="208"/>
  <c r="F63" i="208" s="1"/>
  <c r="F96" i="208"/>
  <c r="I60" i="208"/>
  <c r="F94" i="208"/>
  <c r="F60" i="208" s="1"/>
  <c r="F93" i="208"/>
  <c r="F92" i="208"/>
  <c r="F58" i="208" s="1"/>
  <c r="F90" i="208"/>
  <c r="F89" i="208"/>
  <c r="J88" i="208"/>
  <c r="K87" i="208"/>
  <c r="J87" i="208"/>
  <c r="I87" i="208"/>
  <c r="H87" i="208"/>
  <c r="G87" i="208"/>
  <c r="G409" i="208" s="1"/>
  <c r="F87" i="208"/>
  <c r="E87" i="208"/>
  <c r="D87" i="208"/>
  <c r="K86" i="208"/>
  <c r="J86" i="208"/>
  <c r="I86" i="208"/>
  <c r="H86" i="208"/>
  <c r="G86" i="208"/>
  <c r="G408" i="208" s="1"/>
  <c r="F86" i="208"/>
  <c r="E86" i="208"/>
  <c r="D86" i="208"/>
  <c r="G85" i="208"/>
  <c r="G407" i="208" s="1"/>
  <c r="H78" i="208"/>
  <c r="G78" i="208"/>
  <c r="D78" i="208"/>
  <c r="I77" i="208"/>
  <c r="H77" i="208"/>
  <c r="G77" i="208"/>
  <c r="D77" i="208"/>
  <c r="H76" i="208"/>
  <c r="G76" i="208"/>
  <c r="E76" i="208"/>
  <c r="D76" i="208"/>
  <c r="I75" i="208"/>
  <c r="H75" i="208"/>
  <c r="G75" i="208"/>
  <c r="E75" i="208"/>
  <c r="D75" i="208"/>
  <c r="I74" i="208"/>
  <c r="H74" i="208"/>
  <c r="G74" i="208"/>
  <c r="E74" i="208"/>
  <c r="D74" i="208"/>
  <c r="H73" i="208"/>
  <c r="G73" i="208"/>
  <c r="D73" i="208"/>
  <c r="H72" i="208"/>
  <c r="G72" i="208"/>
  <c r="D72" i="208"/>
  <c r="I71" i="208"/>
  <c r="H71" i="208"/>
  <c r="G71" i="208"/>
  <c r="D71" i="208"/>
  <c r="H70" i="208"/>
  <c r="G70" i="208"/>
  <c r="E70" i="208"/>
  <c r="D70" i="208"/>
  <c r="H69" i="208"/>
  <c r="G69" i="208"/>
  <c r="D69" i="208"/>
  <c r="H68" i="208"/>
  <c r="G68" i="208"/>
  <c r="E68" i="208"/>
  <c r="D68" i="208"/>
  <c r="I67" i="208"/>
  <c r="H67" i="208"/>
  <c r="G67" i="208"/>
  <c r="D67" i="208"/>
  <c r="H66" i="208"/>
  <c r="G66" i="208"/>
  <c r="F66" i="208"/>
  <c r="E66" i="208"/>
  <c r="D66" i="208"/>
  <c r="H65" i="208"/>
  <c r="G65" i="208"/>
  <c r="D65" i="208"/>
  <c r="H64" i="208"/>
  <c r="G64" i="208"/>
  <c r="D64" i="208"/>
  <c r="I63" i="208"/>
  <c r="H63" i="208"/>
  <c r="G63" i="208"/>
  <c r="E63" i="208"/>
  <c r="D63" i="208"/>
  <c r="I62" i="208"/>
  <c r="H62" i="208"/>
  <c r="G62" i="208"/>
  <c r="E62" i="208"/>
  <c r="D62" i="208"/>
  <c r="H61" i="208"/>
  <c r="G61" i="208"/>
  <c r="D61" i="208"/>
  <c r="H60" i="208"/>
  <c r="G60" i="208"/>
  <c r="D60" i="208"/>
  <c r="I59" i="208"/>
  <c r="H59" i="208"/>
  <c r="G59" i="208"/>
  <c r="F59" i="208"/>
  <c r="E59" i="208"/>
  <c r="D59" i="208"/>
  <c r="I58" i="208"/>
  <c r="H58" i="208"/>
  <c r="G58" i="208"/>
  <c r="E58" i="208"/>
  <c r="D58" i="208"/>
  <c r="H57" i="208"/>
  <c r="G57" i="208"/>
  <c r="D57" i="208"/>
  <c r="H56" i="208"/>
  <c r="G56" i="208"/>
  <c r="D56" i="208"/>
  <c r="I55" i="208"/>
  <c r="H55" i="208"/>
  <c r="G55" i="208"/>
  <c r="D55" i="208"/>
  <c r="J54" i="208"/>
  <c r="H46" i="208"/>
  <c r="G46" i="208"/>
  <c r="E46" i="208"/>
  <c r="D46" i="208"/>
  <c r="F45" i="208"/>
  <c r="J313" i="208" s="1"/>
  <c r="J314" i="208" s="1"/>
  <c r="F44" i="208"/>
  <c r="F46" i="208" s="1"/>
  <c r="I26" i="208"/>
  <c r="H26" i="208"/>
  <c r="G26" i="208"/>
  <c r="F26" i="208"/>
  <c r="E26" i="208"/>
  <c r="D25" i="208"/>
  <c r="D23" i="208"/>
  <c r="D22" i="208"/>
  <c r="D21" i="208"/>
  <c r="D20" i="208"/>
  <c r="D19" i="208"/>
  <c r="D18" i="208"/>
  <c r="D17" i="208"/>
  <c r="D16" i="208"/>
  <c r="A16" i="208"/>
  <c r="A17" i="208" s="1"/>
  <c r="A18" i="208" s="1"/>
  <c r="A19" i="208" s="1"/>
  <c r="A20" i="208" s="1"/>
  <c r="A21" i="208" s="1"/>
  <c r="A22" i="208" s="1"/>
  <c r="A23" i="208" s="1"/>
  <c r="A24" i="208" s="1"/>
  <c r="A25" i="208" s="1"/>
  <c r="A26" i="208" s="1"/>
  <c r="A33" i="208" s="1"/>
  <c r="A34" i="208" s="1"/>
  <c r="A35" i="208" s="1"/>
  <c r="A36" i="208" s="1"/>
  <c r="A37" i="208" s="1"/>
  <c r="A38" i="208" s="1"/>
  <c r="A39" i="208" s="1"/>
  <c r="A40" i="208" s="1"/>
  <c r="A41" i="208" s="1"/>
  <c r="A42" i="208" s="1"/>
  <c r="A43" i="208" s="1"/>
  <c r="A44" i="208" s="1"/>
  <c r="A45" i="208" s="1"/>
  <c r="A46" i="208" s="1"/>
  <c r="A54" i="208" s="1"/>
  <c r="A55" i="208" s="1"/>
  <c r="A56" i="208" s="1"/>
  <c r="A57" i="208" s="1"/>
  <c r="A58" i="208" s="1"/>
  <c r="A59" i="208" s="1"/>
  <c r="A60" i="208" s="1"/>
  <c r="A61" i="208" s="1"/>
  <c r="A62" i="208" s="1"/>
  <c r="A63" i="208" s="1"/>
  <c r="A64" i="208" s="1"/>
  <c r="A65" i="208" s="1"/>
  <c r="A66" i="208" s="1"/>
  <c r="A67" i="208" s="1"/>
  <c r="A68" i="208" s="1"/>
  <c r="A69" i="208" s="1"/>
  <c r="A70" i="208" s="1"/>
  <c r="A71" i="208" s="1"/>
  <c r="A72" i="208" s="1"/>
  <c r="A73" i="208" s="1"/>
  <c r="A74" i="208" s="1"/>
  <c r="A75" i="208" s="1"/>
  <c r="A76" i="208" s="1"/>
  <c r="A77" i="208" s="1"/>
  <c r="A78" i="208" s="1"/>
  <c r="A79" i="208" s="1"/>
  <c r="A88" i="208" s="1"/>
  <c r="A89" i="208" s="1"/>
  <c r="A90" i="208" s="1"/>
  <c r="A91" i="208" s="1"/>
  <c r="A92" i="208" s="1"/>
  <c r="A93" i="208" s="1"/>
  <c r="A94" i="208" s="1"/>
  <c r="A95" i="208" s="1"/>
  <c r="A96" i="208" s="1"/>
  <c r="A97" i="208" s="1"/>
  <c r="A98" i="208" s="1"/>
  <c r="A99" i="208" s="1"/>
  <c r="A100" i="208" s="1"/>
  <c r="A101" i="208" s="1"/>
  <c r="A102" i="208" s="1"/>
  <c r="A103" i="208" s="1"/>
  <c r="A104" i="208" s="1"/>
  <c r="A105" i="208" s="1"/>
  <c r="A106" i="208" s="1"/>
  <c r="A107" i="208" s="1"/>
  <c r="A108" i="208" s="1"/>
  <c r="A109" i="208" s="1"/>
  <c r="A110" i="208" s="1"/>
  <c r="A111" i="208" s="1"/>
  <c r="A112" i="208" s="1"/>
  <c r="A113" i="208" s="1"/>
  <c r="A121" i="208" s="1"/>
  <c r="A122" i="208" s="1"/>
  <c r="A123" i="208" s="1"/>
  <c r="A124" i="208" s="1"/>
  <c r="A125" i="208" s="1"/>
  <c r="A126" i="208" s="1"/>
  <c r="A127" i="208" s="1"/>
  <c r="A128" i="208" s="1"/>
  <c r="A129" i="208" s="1"/>
  <c r="A130" i="208" s="1"/>
  <c r="A131" i="208" s="1"/>
  <c r="A132" i="208" s="1"/>
  <c r="A133" i="208" s="1"/>
  <c r="A134" i="208" s="1"/>
  <c r="A135" i="208" s="1"/>
  <c r="A136" i="208" s="1"/>
  <c r="A137" i="208" s="1"/>
  <c r="A138" i="208" s="1"/>
  <c r="A139" i="208" s="1"/>
  <c r="A140" i="208" s="1"/>
  <c r="A141" i="208" s="1"/>
  <c r="A142" i="208" s="1"/>
  <c r="A143" i="208" s="1"/>
  <c r="A144" i="208" s="1"/>
  <c r="A145" i="208" s="1"/>
  <c r="A146" i="208" s="1"/>
  <c r="A152" i="208" s="1"/>
  <c r="A153" i="208" s="1"/>
  <c r="A154" i="208" s="1"/>
  <c r="A155" i="208" s="1"/>
  <c r="A156" i="208" s="1"/>
  <c r="A157" i="208" s="1"/>
  <c r="A158" i="208" s="1"/>
  <c r="A159" i="208" s="1"/>
  <c r="A160" i="208" s="1"/>
  <c r="A161" i="208" s="1"/>
  <c r="A162" i="208" s="1"/>
  <c r="A163" i="208" s="1"/>
  <c r="A164" i="208" s="1"/>
  <c r="A165" i="208" s="1"/>
  <c r="A166" i="208" s="1"/>
  <c r="A167" i="208" s="1"/>
  <c r="A168" i="208" s="1"/>
  <c r="A169" i="208" s="1"/>
  <c r="A170" i="208" s="1"/>
  <c r="A171" i="208" s="1"/>
  <c r="A172" i="208" s="1"/>
  <c r="A173" i="208" s="1"/>
  <c r="A174" i="208" s="1"/>
  <c r="A175" i="208" s="1"/>
  <c r="A176" i="208" s="1"/>
  <c r="A177" i="208" s="1"/>
  <c r="A185" i="208" s="1"/>
  <c r="A186" i="208" s="1"/>
  <c r="A187" i="208" s="1"/>
  <c r="A188" i="208" s="1"/>
  <c r="A189" i="208" s="1"/>
  <c r="A190" i="208" s="1"/>
  <c r="A191" i="208" s="1"/>
  <c r="A192" i="208" s="1"/>
  <c r="A193" i="208" s="1"/>
  <c r="A194" i="208" s="1"/>
  <c r="A195" i="208" s="1"/>
  <c r="A196" i="208" s="1"/>
  <c r="A197" i="208" s="1"/>
  <c r="A198" i="208" s="1"/>
  <c r="A199" i="208" s="1"/>
  <c r="A200" i="208" s="1"/>
  <c r="A201" i="208" s="1"/>
  <c r="A202" i="208" s="1"/>
  <c r="A203" i="208" s="1"/>
  <c r="A204" i="208" s="1"/>
  <c r="A205" i="208" s="1"/>
  <c r="A206" i="208" s="1"/>
  <c r="A207" i="208" s="1"/>
  <c r="A208" i="208" s="1"/>
  <c r="A209" i="208" s="1"/>
  <c r="A210" i="208" s="1"/>
  <c r="A216" i="208" s="1"/>
  <c r="A217" i="208" s="1"/>
  <c r="A218" i="208" s="1"/>
  <c r="A219" i="208" s="1"/>
  <c r="A220" i="208" s="1"/>
  <c r="A221" i="208" s="1"/>
  <c r="A222" i="208" s="1"/>
  <c r="A223" i="208" s="1"/>
  <c r="A224" i="208" s="1"/>
  <c r="A225" i="208" s="1"/>
  <c r="A226" i="208" s="1"/>
  <c r="A227" i="208" s="1"/>
  <c r="A228" i="208" s="1"/>
  <c r="A229" i="208" s="1"/>
  <c r="A230" i="208" s="1"/>
  <c r="A231" i="208" s="1"/>
  <c r="A232" i="208" s="1"/>
  <c r="A233" i="208" s="1"/>
  <c r="A234" i="208" s="1"/>
  <c r="A235" i="208" s="1"/>
  <c r="A236" i="208" s="1"/>
  <c r="A237" i="208" s="1"/>
  <c r="A238" i="208" s="1"/>
  <c r="A239" i="208" s="1"/>
  <c r="A240" i="208" s="1"/>
  <c r="A241" i="208" s="1"/>
  <c r="A249" i="208" s="1"/>
  <c r="A250" i="208" s="1"/>
  <c r="A251" i="208" s="1"/>
  <c r="A252" i="208" s="1"/>
  <c r="A253" i="208" s="1"/>
  <c r="A254" i="208" s="1"/>
  <c r="A255" i="208" s="1"/>
  <c r="A256" i="208" s="1"/>
  <c r="A257" i="208" s="1"/>
  <c r="A258" i="208" s="1"/>
  <c r="A259" i="208" s="1"/>
  <c r="A260" i="208" s="1"/>
  <c r="A261" i="208" s="1"/>
  <c r="A262" i="208" s="1"/>
  <c r="A263" i="208" s="1"/>
  <c r="A264" i="208" s="1"/>
  <c r="A265" i="208" s="1"/>
  <c r="A266" i="208" s="1"/>
  <c r="A267" i="208" s="1"/>
  <c r="A268" i="208" s="1"/>
  <c r="A269" i="208" s="1"/>
  <c r="A270" i="208" s="1"/>
  <c r="A271" i="208" s="1"/>
  <c r="A272" i="208" s="1"/>
  <c r="A273" i="208" s="1"/>
  <c r="A274" i="208" s="1"/>
  <c r="A280" i="208" s="1"/>
  <c r="A281" i="208" s="1"/>
  <c r="A282" i="208" s="1"/>
  <c r="A283" i="208" s="1"/>
  <c r="A284" i="208" s="1"/>
  <c r="A285" i="208" s="1"/>
  <c r="A286" i="208" s="1"/>
  <c r="A287" i="208" s="1"/>
  <c r="A288" i="208" s="1"/>
  <c r="A289" i="208" s="1"/>
  <c r="A290" i="208" s="1"/>
  <c r="A291" i="208" s="1"/>
  <c r="A292" i="208" s="1"/>
  <c r="A293" i="208" s="1"/>
  <c r="A294" i="208" s="1"/>
  <c r="A295" i="208" s="1"/>
  <c r="A296" i="208" s="1"/>
  <c r="A297" i="208" s="1"/>
  <c r="A298" i="208" s="1"/>
  <c r="A299" i="208" s="1"/>
  <c r="A300" i="208" s="1"/>
  <c r="A301" i="208" s="1"/>
  <c r="A302" i="208" s="1"/>
  <c r="A303" i="208" s="1"/>
  <c r="A304" i="208" s="1"/>
  <c r="A305" i="208" s="1"/>
  <c r="A313" i="208" s="1"/>
  <c r="A314" i="208" s="1"/>
  <c r="A315" i="208" s="1"/>
  <c r="A316" i="208" s="1"/>
  <c r="A317" i="208" s="1"/>
  <c r="A318" i="208" s="1"/>
  <c r="A319" i="208" s="1"/>
  <c r="A320" i="208" s="1"/>
  <c r="A321" i="208" s="1"/>
  <c r="A322" i="208" s="1"/>
  <c r="A323" i="208" s="1"/>
  <c r="A324" i="208" s="1"/>
  <c r="A325" i="208" s="1"/>
  <c r="A326" i="208" s="1"/>
  <c r="A327" i="208" s="1"/>
  <c r="A328" i="208" s="1"/>
  <c r="A329" i="208" s="1"/>
  <c r="A330" i="208" s="1"/>
  <c r="A331" i="208" s="1"/>
  <c r="A332" i="208" s="1"/>
  <c r="A333" i="208" s="1"/>
  <c r="A334" i="208" s="1"/>
  <c r="A335" i="208" s="1"/>
  <c r="A336" i="208" s="1"/>
  <c r="A337" i="208" s="1"/>
  <c r="A338" i="208" s="1"/>
  <c r="A344" i="208" s="1"/>
  <c r="A345" i="208" s="1"/>
  <c r="A346" i="208" s="1"/>
  <c r="A347" i="208" s="1"/>
  <c r="A348" i="208" s="1"/>
  <c r="A349" i="208" s="1"/>
  <c r="A350" i="208" s="1"/>
  <c r="A351" i="208" s="1"/>
  <c r="A352" i="208" s="1"/>
  <c r="A353" i="208" s="1"/>
  <c r="A354" i="208" s="1"/>
  <c r="A355" i="208" s="1"/>
  <c r="A356" i="208" s="1"/>
  <c r="A357" i="208" s="1"/>
  <c r="A358" i="208" s="1"/>
  <c r="A359" i="208" s="1"/>
  <c r="A360" i="208" s="1"/>
  <c r="A361" i="208" s="1"/>
  <c r="A362" i="208" s="1"/>
  <c r="A363" i="208" s="1"/>
  <c r="A364" i="208" s="1"/>
  <c r="A365" i="208" s="1"/>
  <c r="A366" i="208" s="1"/>
  <c r="A367" i="208" s="1"/>
  <c r="A368" i="208" s="1"/>
  <c r="A369" i="208" s="1"/>
  <c r="A377" i="208" s="1"/>
  <c r="A378" i="208" s="1"/>
  <c r="A379" i="208" s="1"/>
  <c r="A380" i="208" s="1"/>
  <c r="A381" i="208" s="1"/>
  <c r="A382" i="208" s="1"/>
  <c r="A383" i="208" s="1"/>
  <c r="A384" i="208" s="1"/>
  <c r="A385" i="208" s="1"/>
  <c r="A386" i="208" s="1"/>
  <c r="A387" i="208" s="1"/>
  <c r="A388" i="208" s="1"/>
  <c r="A389" i="208" s="1"/>
  <c r="A390" i="208" s="1"/>
  <c r="A391" i="208" s="1"/>
  <c r="A392" i="208" s="1"/>
  <c r="A393" i="208" s="1"/>
  <c r="A394" i="208" s="1"/>
  <c r="A395" i="208" s="1"/>
  <c r="A396" i="208" s="1"/>
  <c r="A397" i="208" s="1"/>
  <c r="A398" i="208" s="1"/>
  <c r="A399" i="208" s="1"/>
  <c r="A400" i="208" s="1"/>
  <c r="A401" i="208" s="1"/>
  <c r="A402" i="208" s="1"/>
  <c r="A410" i="208" s="1"/>
  <c r="A411" i="208" s="1"/>
  <c r="A412" i="208" s="1"/>
  <c r="A413" i="208" s="1"/>
  <c r="A414" i="208" s="1"/>
  <c r="A415" i="208" s="1"/>
  <c r="A416" i="208" s="1"/>
  <c r="A417" i="208" s="1"/>
  <c r="A418" i="208" s="1"/>
  <c r="A419" i="208" s="1"/>
  <c r="A420" i="208" s="1"/>
  <c r="A421" i="208" s="1"/>
  <c r="A422" i="208" s="1"/>
  <c r="A423" i="208" s="1"/>
  <c r="A424" i="208" s="1"/>
  <c r="A425" i="208" s="1"/>
  <c r="A426" i="208" s="1"/>
  <c r="A427" i="208" s="1"/>
  <c r="A428" i="208" s="1"/>
  <c r="A429" i="208" s="1"/>
  <c r="A430" i="208" s="1"/>
  <c r="A431" i="208" s="1"/>
  <c r="A432" i="208" s="1"/>
  <c r="A433" i="208" s="1"/>
  <c r="A434" i="208" s="1"/>
  <c r="A435" i="208" s="1"/>
  <c r="D15" i="208"/>
  <c r="D14" i="208"/>
  <c r="A14" i="208"/>
  <c r="A15" i="208" s="1"/>
  <c r="D13" i="208"/>
  <c r="J34" i="209" l="1"/>
  <c r="J56" i="209" s="1"/>
  <c r="J60" i="209" s="1"/>
  <c r="J64" i="209" s="1"/>
  <c r="E68" i="209" s="1"/>
  <c r="J41" i="209"/>
  <c r="J38" i="209"/>
  <c r="J57" i="209" s="1"/>
  <c r="A8" i="209"/>
  <c r="A9" i="209" s="1"/>
  <c r="A12" i="209" s="1"/>
  <c r="A34" i="209"/>
  <c r="F55" i="208"/>
  <c r="J89" i="208"/>
  <c r="K153" i="208"/>
  <c r="J154" i="208"/>
  <c r="J187" i="208"/>
  <c r="K186" i="208"/>
  <c r="E73" i="208"/>
  <c r="F107" i="208"/>
  <c r="F73" i="208" s="1"/>
  <c r="F68" i="208"/>
  <c r="E65" i="208"/>
  <c r="F99" i="208"/>
  <c r="F65" i="208" s="1"/>
  <c r="F139" i="208"/>
  <c r="E72" i="208"/>
  <c r="D24" i="208"/>
  <c r="F111" i="208"/>
  <c r="F77" i="208" s="1"/>
  <c r="E77" i="208"/>
  <c r="F123" i="208"/>
  <c r="F56" i="208" s="1"/>
  <c r="E56" i="208"/>
  <c r="K345" i="208"/>
  <c r="J346" i="208"/>
  <c r="K314" i="208"/>
  <c r="J315" i="208"/>
  <c r="E55" i="208"/>
  <c r="E67" i="208"/>
  <c r="E57" i="208"/>
  <c r="F91" i="208"/>
  <c r="F57" i="208" s="1"/>
  <c r="F72" i="208"/>
  <c r="J220" i="208"/>
  <c r="E60" i="208"/>
  <c r="F103" i="208"/>
  <c r="F69" i="208" s="1"/>
  <c r="E69" i="208"/>
  <c r="J122" i="208"/>
  <c r="D26" i="208"/>
  <c r="E78" i="208"/>
  <c r="F95" i="208"/>
  <c r="F61" i="208" s="1"/>
  <c r="E61" i="208"/>
  <c r="F71" i="208"/>
  <c r="I61" i="208"/>
  <c r="K250" i="208"/>
  <c r="E64" i="208"/>
  <c r="J252" i="208"/>
  <c r="J379" i="208"/>
  <c r="J282" i="208"/>
  <c r="J412" i="208"/>
  <c r="K411" i="208"/>
  <c r="C100" i="207"/>
  <c r="F71" i="207"/>
  <c r="E71" i="207"/>
  <c r="H43" i="207" s="1"/>
  <c r="D43" i="207" s="1"/>
  <c r="G12" i="207" s="1"/>
  <c r="H12" i="207" s="1"/>
  <c r="F64" i="207"/>
  <c r="E64" i="207"/>
  <c r="H57" i="207"/>
  <c r="G57" i="207"/>
  <c r="G58" i="207" s="1"/>
  <c r="G37" i="207" s="1"/>
  <c r="D37" i="207" s="1"/>
  <c r="G6" i="207" s="1"/>
  <c r="H6" i="207" s="1"/>
  <c r="D50" i="207"/>
  <c r="D49" i="207"/>
  <c r="G18" i="207" s="1"/>
  <c r="H18" i="207" s="1"/>
  <c r="D48" i="207"/>
  <c r="G17" i="207" s="1"/>
  <c r="H17" i="207" s="1"/>
  <c r="D47" i="207"/>
  <c r="D46" i="207"/>
  <c r="G15" i="207" s="1"/>
  <c r="H15" i="207" s="1"/>
  <c r="D45" i="207"/>
  <c r="G14" i="207" s="1"/>
  <c r="H14" i="207" s="1"/>
  <c r="F44" i="207"/>
  <c r="D44" i="207" s="1"/>
  <c r="G13" i="207" s="1"/>
  <c r="H13" i="207" s="1"/>
  <c r="D42" i="207"/>
  <c r="G11" i="207" s="1"/>
  <c r="H11" i="207" s="1"/>
  <c r="D41" i="207"/>
  <c r="G10" i="207" s="1"/>
  <c r="H10" i="207" s="1"/>
  <c r="F29" i="207" s="1"/>
  <c r="D40" i="207"/>
  <c r="G9" i="207" s="1"/>
  <c r="H9" i="207" s="1"/>
  <c r="D39" i="207"/>
  <c r="G8" i="207" s="1"/>
  <c r="H8" i="207" s="1"/>
  <c r="D38" i="207"/>
  <c r="G7" i="207" s="1"/>
  <c r="H7" i="207" s="1"/>
  <c r="F24" i="207"/>
  <c r="E20" i="207"/>
  <c r="G19" i="207"/>
  <c r="H19" i="207" s="1"/>
  <c r="G16" i="207"/>
  <c r="H16" i="207" s="1"/>
  <c r="A7" i="207"/>
  <c r="A8" i="207" s="1"/>
  <c r="A9" i="207" s="1"/>
  <c r="A10" i="207" s="1"/>
  <c r="E73" i="209" l="1"/>
  <c r="J70" i="209" s="1"/>
  <c r="J72" i="209" s="1"/>
  <c r="A13" i="209"/>
  <c r="A14" i="209" s="1"/>
  <c r="A15" i="209" s="1"/>
  <c r="H15" i="209"/>
  <c r="A38" i="209"/>
  <c r="H56" i="209"/>
  <c r="K315" i="208"/>
  <c r="J316" i="208"/>
  <c r="J123" i="208"/>
  <c r="K122" i="208"/>
  <c r="K187" i="208"/>
  <c r="J188" i="208"/>
  <c r="J283" i="208"/>
  <c r="K282" i="208"/>
  <c r="J221" i="208"/>
  <c r="K220" i="208"/>
  <c r="K346" i="208"/>
  <c r="J347" i="208"/>
  <c r="K154" i="208"/>
  <c r="J155" i="208"/>
  <c r="K379" i="208"/>
  <c r="J380" i="208"/>
  <c r="K412" i="208"/>
  <c r="J413" i="208"/>
  <c r="J253" i="208"/>
  <c r="K252" i="208"/>
  <c r="J90" i="208"/>
  <c r="K89" i="208"/>
  <c r="K55" i="208" s="1"/>
  <c r="J55" i="208"/>
  <c r="A11" i="207"/>
  <c r="A12" i="207" s="1"/>
  <c r="A13" i="207" s="1"/>
  <c r="A14" i="207" s="1"/>
  <c r="A15" i="207" s="1"/>
  <c r="A16" i="207" s="1"/>
  <c r="A17" i="207" s="1"/>
  <c r="A18" i="207" s="1"/>
  <c r="A19" i="207" s="1"/>
  <c r="G24" i="207"/>
  <c r="H20" i="207"/>
  <c r="F23" i="207" s="1"/>
  <c r="F25" i="207" s="1"/>
  <c r="F27" i="207" s="1"/>
  <c r="F30" i="207" s="1"/>
  <c r="E8" i="100" l="1"/>
  <c r="H57" i="209"/>
  <c r="A41" i="209"/>
  <c r="A42" i="209" s="1"/>
  <c r="A43" i="209" s="1"/>
  <c r="A44" i="209" s="1"/>
  <c r="A45" i="209" s="1"/>
  <c r="A48" i="209" s="1"/>
  <c r="A18" i="209"/>
  <c r="K316" i="208"/>
  <c r="J317" i="208"/>
  <c r="K380" i="208"/>
  <c r="J381" i="208"/>
  <c r="K283" i="208"/>
  <c r="J284" i="208"/>
  <c r="J156" i="208"/>
  <c r="K155" i="208"/>
  <c r="K188" i="208"/>
  <c r="J189" i="208"/>
  <c r="J414" i="208"/>
  <c r="K413" i="208"/>
  <c r="K221" i="208"/>
  <c r="J222" i="208"/>
  <c r="K90" i="208"/>
  <c r="J56" i="208"/>
  <c r="J91" i="208"/>
  <c r="J348" i="208"/>
  <c r="K347" i="208"/>
  <c r="K253" i="208"/>
  <c r="J254" i="208"/>
  <c r="J124" i="208"/>
  <c r="K123" i="208"/>
  <c r="C77" i="207"/>
  <c r="A20" i="207"/>
  <c r="E21" i="100" l="1"/>
  <c r="F6" i="100"/>
  <c r="A19" i="209"/>
  <c r="A20" i="209" s="1"/>
  <c r="A21" i="209" s="1"/>
  <c r="A49" i="209"/>
  <c r="A51" i="209" s="1"/>
  <c r="A52" i="209" s="1"/>
  <c r="A53" i="209" s="1"/>
  <c r="A54" i="209" s="1"/>
  <c r="A55" i="209" s="1"/>
  <c r="A56" i="209" s="1"/>
  <c r="A57" i="209" s="1"/>
  <c r="A58" i="209" s="1"/>
  <c r="A59" i="209" s="1"/>
  <c r="A60" i="209" s="1"/>
  <c r="K348" i="208"/>
  <c r="J349" i="208"/>
  <c r="J92" i="208"/>
  <c r="K91" i="208"/>
  <c r="K57" i="208" s="1"/>
  <c r="J57" i="208"/>
  <c r="K56" i="208"/>
  <c r="K156" i="208"/>
  <c r="J157" i="208"/>
  <c r="J318" i="208"/>
  <c r="K317" i="208"/>
  <c r="K124" i="208"/>
  <c r="J125" i="208"/>
  <c r="J223" i="208"/>
  <c r="K222" i="208"/>
  <c r="K284" i="208"/>
  <c r="J285" i="208"/>
  <c r="K189" i="208"/>
  <c r="J190" i="208"/>
  <c r="J255" i="208"/>
  <c r="K254" i="208"/>
  <c r="J382" i="208"/>
  <c r="K381" i="208"/>
  <c r="K414" i="208"/>
  <c r="J415" i="208"/>
  <c r="A23" i="207"/>
  <c r="G23" i="207"/>
  <c r="H60" i="209" l="1"/>
  <c r="A23" i="209"/>
  <c r="H29" i="209"/>
  <c r="A62" i="209"/>
  <c r="A64" i="209" s="1"/>
  <c r="H64" i="209"/>
  <c r="H21" i="209"/>
  <c r="J350" i="208"/>
  <c r="K349" i="208"/>
  <c r="J319" i="208"/>
  <c r="K318" i="208"/>
  <c r="J416" i="208"/>
  <c r="K415" i="208"/>
  <c r="K285" i="208"/>
  <c r="J286" i="208"/>
  <c r="J158" i="208"/>
  <c r="K157" i="208"/>
  <c r="J191" i="208"/>
  <c r="K190" i="208"/>
  <c r="J383" i="208"/>
  <c r="K382" i="208"/>
  <c r="K223" i="208"/>
  <c r="J224" i="208"/>
  <c r="J126" i="208"/>
  <c r="K125" i="208"/>
  <c r="K255" i="208"/>
  <c r="J256" i="208"/>
  <c r="K92" i="208"/>
  <c r="J93" i="208"/>
  <c r="J58" i="208"/>
  <c r="A24" i="207"/>
  <c r="A25" i="207" s="1"/>
  <c r="G68" i="209" l="1"/>
  <c r="A68" i="209"/>
  <c r="A24" i="209"/>
  <c r="A25" i="209" s="1"/>
  <c r="H30" i="209"/>
  <c r="K350" i="208"/>
  <c r="J351" i="208"/>
  <c r="J225" i="208"/>
  <c r="K224" i="208"/>
  <c r="K158" i="208"/>
  <c r="J159" i="208"/>
  <c r="J287" i="208"/>
  <c r="K286" i="208"/>
  <c r="J59" i="208"/>
  <c r="J94" i="208"/>
  <c r="K93" i="208"/>
  <c r="J127" i="208"/>
  <c r="K126" i="208"/>
  <c r="K58" i="208"/>
  <c r="K383" i="208"/>
  <c r="J384" i="208"/>
  <c r="K416" i="208"/>
  <c r="J417" i="208"/>
  <c r="J257" i="208"/>
  <c r="K256" i="208"/>
  <c r="K191" i="208"/>
  <c r="J192" i="208"/>
  <c r="K319" i="208"/>
  <c r="J320" i="208"/>
  <c r="A26" i="207"/>
  <c r="A27" i="207" s="1"/>
  <c r="G25" i="207"/>
  <c r="A69" i="209" l="1"/>
  <c r="A70" i="209" s="1"/>
  <c r="J60" i="208"/>
  <c r="K94" i="208"/>
  <c r="K60" i="208" s="1"/>
  <c r="J95" i="208"/>
  <c r="J321" i="208"/>
  <c r="K320" i="208"/>
  <c r="K384" i="208"/>
  <c r="J385" i="208"/>
  <c r="K287" i="208"/>
  <c r="J288" i="208"/>
  <c r="J160" i="208"/>
  <c r="K159" i="208"/>
  <c r="J418" i="208"/>
  <c r="K417" i="208"/>
  <c r="J352" i="208"/>
  <c r="K351" i="208"/>
  <c r="K192" i="208"/>
  <c r="J193" i="208"/>
  <c r="J128" i="208"/>
  <c r="K127" i="208"/>
  <c r="K257" i="208"/>
  <c r="J258" i="208"/>
  <c r="K59" i="208"/>
  <c r="K225" i="208"/>
  <c r="J226" i="208"/>
  <c r="A28" i="207"/>
  <c r="G27" i="207"/>
  <c r="A71" i="209" l="1"/>
  <c r="A72" i="209" s="1"/>
  <c r="A73" i="209" s="1"/>
  <c r="G70" i="209"/>
  <c r="J129" i="208"/>
  <c r="K128" i="208"/>
  <c r="K160" i="208"/>
  <c r="J161" i="208"/>
  <c r="K288" i="208"/>
  <c r="J289" i="208"/>
  <c r="J386" i="208"/>
  <c r="K385" i="208"/>
  <c r="K352" i="208"/>
  <c r="J353" i="208"/>
  <c r="K193" i="208"/>
  <c r="J194" i="208"/>
  <c r="J227" i="208"/>
  <c r="K226" i="208"/>
  <c r="J259" i="208"/>
  <c r="K258" i="208"/>
  <c r="K418" i="208"/>
  <c r="J419" i="208"/>
  <c r="J322" i="208"/>
  <c r="K321" i="208"/>
  <c r="J96" i="208"/>
  <c r="J61" i="208"/>
  <c r="K95" i="208"/>
  <c r="K61" i="208" s="1"/>
  <c r="A29" i="207"/>
  <c r="G29" i="207"/>
  <c r="G73" i="209" l="1"/>
  <c r="G72" i="209"/>
  <c r="J420" i="208"/>
  <c r="K419" i="208"/>
  <c r="J130" i="208"/>
  <c r="K129" i="208"/>
  <c r="J354" i="208"/>
  <c r="K353" i="208"/>
  <c r="K289" i="208"/>
  <c r="J290" i="208"/>
  <c r="K322" i="208"/>
  <c r="J323" i="208"/>
  <c r="J260" i="208"/>
  <c r="K259" i="208"/>
  <c r="J387" i="208"/>
  <c r="K386" i="208"/>
  <c r="K96" i="208"/>
  <c r="K62" i="208" s="1"/>
  <c r="J62" i="208"/>
  <c r="J97" i="208"/>
  <c r="J228" i="208"/>
  <c r="K227" i="208"/>
  <c r="J195" i="208"/>
  <c r="K194" i="208"/>
  <c r="J162" i="208"/>
  <c r="K161" i="208"/>
  <c r="A30" i="207"/>
  <c r="A37" i="207" s="1"/>
  <c r="G30" i="207"/>
  <c r="J291" i="208" l="1"/>
  <c r="K290" i="208"/>
  <c r="K162" i="208"/>
  <c r="J163" i="208"/>
  <c r="K387" i="208"/>
  <c r="J388" i="208"/>
  <c r="K354" i="208"/>
  <c r="J355" i="208"/>
  <c r="J196" i="208"/>
  <c r="K195" i="208"/>
  <c r="J261" i="208"/>
  <c r="K260" i="208"/>
  <c r="J131" i="208"/>
  <c r="K130" i="208"/>
  <c r="J229" i="208"/>
  <c r="K228" i="208"/>
  <c r="K323" i="208"/>
  <c r="J324" i="208"/>
  <c r="J98" i="208"/>
  <c r="J63" i="208"/>
  <c r="K97" i="208"/>
  <c r="K420" i="208"/>
  <c r="J421" i="208"/>
  <c r="G78" i="207"/>
  <c r="A38" i="207"/>
  <c r="A39" i="207" s="1"/>
  <c r="A40" i="207" s="1"/>
  <c r="A41" i="207" s="1"/>
  <c r="A42" i="207" s="1"/>
  <c r="A43" i="207" s="1"/>
  <c r="J356" i="208" l="1"/>
  <c r="K355" i="208"/>
  <c r="J230" i="208"/>
  <c r="K229" i="208"/>
  <c r="K388" i="208"/>
  <c r="J389" i="208"/>
  <c r="K63" i="208"/>
  <c r="J132" i="208"/>
  <c r="K131" i="208"/>
  <c r="J422" i="208"/>
  <c r="K421" i="208"/>
  <c r="J164" i="208"/>
  <c r="K163" i="208"/>
  <c r="K98" i="208"/>
  <c r="K64" i="208" s="1"/>
  <c r="J64" i="208"/>
  <c r="J99" i="208"/>
  <c r="J262" i="208"/>
  <c r="K261" i="208"/>
  <c r="J325" i="208"/>
  <c r="K324" i="208"/>
  <c r="K196" i="208"/>
  <c r="J197" i="208"/>
  <c r="K291" i="208"/>
  <c r="J292" i="208"/>
  <c r="C79" i="207"/>
  <c r="A44" i="207"/>
  <c r="K164" i="208" l="1"/>
  <c r="J165" i="208"/>
  <c r="J326" i="208"/>
  <c r="K325" i="208"/>
  <c r="K422" i="208"/>
  <c r="J423" i="208"/>
  <c r="J390" i="208"/>
  <c r="K389" i="208"/>
  <c r="K262" i="208"/>
  <c r="J263" i="208"/>
  <c r="K356" i="208"/>
  <c r="J357" i="208"/>
  <c r="J198" i="208"/>
  <c r="K197" i="208"/>
  <c r="J231" i="208"/>
  <c r="K230" i="208"/>
  <c r="K292" i="208"/>
  <c r="J293" i="208"/>
  <c r="J100" i="208"/>
  <c r="K99" i="208"/>
  <c r="J65" i="208"/>
  <c r="K132" i="208"/>
  <c r="J133" i="208"/>
  <c r="C73" i="207"/>
  <c r="A45" i="207"/>
  <c r="A46" i="207" s="1"/>
  <c r="A47" i="207" s="1"/>
  <c r="A48" i="207" s="1"/>
  <c r="A49" i="207" s="1"/>
  <c r="A50" i="207" s="1"/>
  <c r="J391" i="208" l="1"/>
  <c r="K390" i="208"/>
  <c r="J232" i="208"/>
  <c r="K231" i="208"/>
  <c r="K326" i="208"/>
  <c r="J327" i="208"/>
  <c r="J134" i="208"/>
  <c r="K133" i="208"/>
  <c r="J424" i="208"/>
  <c r="K423" i="208"/>
  <c r="J199" i="208"/>
  <c r="K198" i="208"/>
  <c r="K65" i="208"/>
  <c r="K293" i="208"/>
  <c r="J294" i="208"/>
  <c r="K165" i="208"/>
  <c r="J166" i="208"/>
  <c r="J358" i="208"/>
  <c r="K357" i="208"/>
  <c r="K100" i="208"/>
  <c r="J101" i="208"/>
  <c r="J66" i="208"/>
  <c r="J264" i="208"/>
  <c r="K263" i="208"/>
  <c r="K358" i="208" l="1"/>
  <c r="J359" i="208"/>
  <c r="K166" i="208"/>
  <c r="J167" i="208"/>
  <c r="J200" i="208"/>
  <c r="K199" i="208"/>
  <c r="J233" i="208"/>
  <c r="K232" i="208"/>
  <c r="K327" i="208"/>
  <c r="J328" i="208"/>
  <c r="K424" i="208"/>
  <c r="J425" i="208"/>
  <c r="J265" i="208"/>
  <c r="K264" i="208"/>
  <c r="J67" i="208"/>
  <c r="K101" i="208"/>
  <c r="J102" i="208"/>
  <c r="J295" i="208"/>
  <c r="K294" i="208"/>
  <c r="K391" i="208"/>
  <c r="J392" i="208"/>
  <c r="K66" i="208"/>
  <c r="K134" i="208"/>
  <c r="J135" i="208"/>
  <c r="C109" i="203"/>
  <c r="F71" i="203"/>
  <c r="E71" i="203"/>
  <c r="H43" i="203" s="1"/>
  <c r="D43" i="203" s="1"/>
  <c r="G12" i="203" s="1"/>
  <c r="H12" i="203" s="1"/>
  <c r="F65" i="203"/>
  <c r="E65" i="203"/>
  <c r="H58" i="203"/>
  <c r="G58" i="203"/>
  <c r="G59" i="203" s="1"/>
  <c r="G37" i="203" s="1"/>
  <c r="D37" i="203" s="1"/>
  <c r="G6" i="203" s="1"/>
  <c r="H6" i="203" s="1"/>
  <c r="D50" i="203"/>
  <c r="G19" i="203" s="1"/>
  <c r="H19" i="203" s="1"/>
  <c r="D49" i="203"/>
  <c r="G18" i="203" s="1"/>
  <c r="H18" i="203" s="1"/>
  <c r="D48" i="203"/>
  <c r="G17" i="203" s="1"/>
  <c r="H17" i="203" s="1"/>
  <c r="D47" i="203"/>
  <c r="D46" i="203"/>
  <c r="G15" i="203" s="1"/>
  <c r="H15" i="203" s="1"/>
  <c r="D45" i="203"/>
  <c r="F44" i="203"/>
  <c r="D44" i="203" s="1"/>
  <c r="G13" i="203" s="1"/>
  <c r="H13" i="203" s="1"/>
  <c r="D42" i="203"/>
  <c r="G11" i="203" s="1"/>
  <c r="H11" i="203" s="1"/>
  <c r="D41" i="203"/>
  <c r="G10" i="203" s="1"/>
  <c r="H10" i="203" s="1"/>
  <c r="D40" i="203"/>
  <c r="G9" i="203" s="1"/>
  <c r="H9" i="203" s="1"/>
  <c r="D39" i="203"/>
  <c r="G8" i="203" s="1"/>
  <c r="H8" i="203" s="1"/>
  <c r="D38" i="203"/>
  <c r="G7" i="203" s="1"/>
  <c r="H7" i="203" s="1"/>
  <c r="F24" i="203"/>
  <c r="E20" i="203"/>
  <c r="H16" i="203"/>
  <c r="G16" i="203"/>
  <c r="G14" i="203"/>
  <c r="H14" i="203" s="1"/>
  <c r="A7" i="203"/>
  <c r="A8" i="203" s="1"/>
  <c r="A9" i="203" s="1"/>
  <c r="A10" i="203" s="1"/>
  <c r="J168" i="208" l="1"/>
  <c r="K167" i="208"/>
  <c r="J68" i="208"/>
  <c r="K102" i="208"/>
  <c r="J103" i="208"/>
  <c r="K328" i="208"/>
  <c r="J329" i="208"/>
  <c r="K135" i="208"/>
  <c r="J136" i="208"/>
  <c r="K67" i="208"/>
  <c r="J360" i="208"/>
  <c r="K359" i="208"/>
  <c r="K295" i="208"/>
  <c r="J296" i="208"/>
  <c r="K392" i="208"/>
  <c r="J393" i="208"/>
  <c r="J234" i="208"/>
  <c r="K233" i="208"/>
  <c r="J266" i="208"/>
  <c r="K265" i="208"/>
  <c r="J426" i="208"/>
  <c r="K425" i="208"/>
  <c r="K200" i="208"/>
  <c r="J201" i="208"/>
  <c r="F29" i="203"/>
  <c r="H20" i="203"/>
  <c r="F23" i="203" s="1"/>
  <c r="F25" i="203" s="1"/>
  <c r="F27" i="203" s="1"/>
  <c r="F30" i="203" s="1"/>
  <c r="A11" i="203"/>
  <c r="A12" i="203" s="1"/>
  <c r="A13" i="203" s="1"/>
  <c r="A14" i="203" s="1"/>
  <c r="A15" i="203" s="1"/>
  <c r="A16" i="203" s="1"/>
  <c r="A17" i="203" s="1"/>
  <c r="A18" i="203" s="1"/>
  <c r="A19" i="203" s="1"/>
  <c r="G24" i="203"/>
  <c r="J394" i="208" l="1"/>
  <c r="K393" i="208"/>
  <c r="K136" i="208"/>
  <c r="J137" i="208"/>
  <c r="K168" i="208"/>
  <c r="J169" i="208"/>
  <c r="K426" i="208"/>
  <c r="J427" i="208"/>
  <c r="K360" i="208"/>
  <c r="J361" i="208"/>
  <c r="J235" i="208"/>
  <c r="K234" i="208"/>
  <c r="K266" i="208"/>
  <c r="J267" i="208"/>
  <c r="K296" i="208"/>
  <c r="J297" i="208"/>
  <c r="J330" i="208"/>
  <c r="K329" i="208"/>
  <c r="J104" i="208"/>
  <c r="K103" i="208"/>
  <c r="K69" i="208" s="1"/>
  <c r="J69" i="208"/>
  <c r="J202" i="208"/>
  <c r="K201" i="208"/>
  <c r="K68" i="208"/>
  <c r="A20" i="203"/>
  <c r="C77" i="203"/>
  <c r="K394" i="208" l="1"/>
  <c r="J395" i="208"/>
  <c r="K297" i="208"/>
  <c r="J298" i="208"/>
  <c r="J203" i="208"/>
  <c r="K202" i="208"/>
  <c r="J331" i="208"/>
  <c r="K330" i="208"/>
  <c r="J428" i="208"/>
  <c r="K427" i="208"/>
  <c r="J170" i="208"/>
  <c r="K169" i="208"/>
  <c r="K235" i="208"/>
  <c r="J236" i="208"/>
  <c r="J362" i="208"/>
  <c r="K361" i="208"/>
  <c r="J268" i="208"/>
  <c r="K267" i="208"/>
  <c r="K104" i="208"/>
  <c r="J70" i="208"/>
  <c r="J105" i="208"/>
  <c r="J138" i="208"/>
  <c r="K137" i="208"/>
  <c r="G23" i="203"/>
  <c r="A23" i="203"/>
  <c r="K138" i="208" l="1"/>
  <c r="J139" i="208"/>
  <c r="J204" i="208"/>
  <c r="K203" i="208"/>
  <c r="J237" i="208"/>
  <c r="K236" i="208"/>
  <c r="K70" i="208"/>
  <c r="K170" i="208"/>
  <c r="J171" i="208"/>
  <c r="K395" i="208"/>
  <c r="J396" i="208"/>
  <c r="K331" i="208"/>
  <c r="J332" i="208"/>
  <c r="K105" i="208"/>
  <c r="J106" i="208"/>
  <c r="J71" i="208"/>
  <c r="K428" i="208"/>
  <c r="J429" i="208"/>
  <c r="K362" i="208"/>
  <c r="J363" i="208"/>
  <c r="J299" i="208"/>
  <c r="K298" i="208"/>
  <c r="J269" i="208"/>
  <c r="K268" i="208"/>
  <c r="A24" i="203"/>
  <c r="A25" i="203" s="1"/>
  <c r="J270" i="208" l="1"/>
  <c r="K269" i="208"/>
  <c r="K71" i="208"/>
  <c r="J333" i="208"/>
  <c r="K332" i="208"/>
  <c r="J364" i="208"/>
  <c r="K363" i="208"/>
  <c r="K237" i="208"/>
  <c r="J238" i="208"/>
  <c r="K106" i="208"/>
  <c r="J72" i="208"/>
  <c r="J107" i="208"/>
  <c r="K299" i="208"/>
  <c r="J300" i="208"/>
  <c r="K396" i="208"/>
  <c r="J397" i="208"/>
  <c r="K204" i="208"/>
  <c r="J205" i="208"/>
  <c r="J430" i="208"/>
  <c r="K429" i="208"/>
  <c r="J172" i="208"/>
  <c r="K171" i="208"/>
  <c r="K139" i="208"/>
  <c r="J140" i="208"/>
  <c r="G25" i="203"/>
  <c r="A26" i="203"/>
  <c r="A27" i="203" s="1"/>
  <c r="J398" i="208" l="1"/>
  <c r="K397" i="208"/>
  <c r="K300" i="208"/>
  <c r="J301" i="208"/>
  <c r="K364" i="208"/>
  <c r="J365" i="208"/>
  <c r="J108" i="208"/>
  <c r="K107" i="208"/>
  <c r="K73" i="208" s="1"/>
  <c r="J73" i="208"/>
  <c r="K140" i="208"/>
  <c r="J141" i="208"/>
  <c r="K172" i="208"/>
  <c r="J173" i="208"/>
  <c r="J334" i="208"/>
  <c r="K333" i="208"/>
  <c r="K430" i="208"/>
  <c r="J431" i="208"/>
  <c r="J206" i="208"/>
  <c r="K205" i="208"/>
  <c r="K72" i="208"/>
  <c r="J239" i="208"/>
  <c r="K238" i="208"/>
  <c r="K270" i="208"/>
  <c r="J271" i="208"/>
  <c r="A28" i="203"/>
  <c r="G27" i="203"/>
  <c r="K239" i="208" l="1"/>
  <c r="J240" i="208"/>
  <c r="K240" i="208" s="1"/>
  <c r="K241" i="208" s="1"/>
  <c r="K334" i="208"/>
  <c r="J335" i="208"/>
  <c r="K301" i="208"/>
  <c r="J302" i="208"/>
  <c r="K365" i="208"/>
  <c r="J366" i="208"/>
  <c r="J142" i="208"/>
  <c r="K141" i="208"/>
  <c r="K108" i="208"/>
  <c r="K74" i="208" s="1"/>
  <c r="J109" i="208"/>
  <c r="J74" i="208"/>
  <c r="J207" i="208"/>
  <c r="K206" i="208"/>
  <c r="J174" i="208"/>
  <c r="K173" i="208"/>
  <c r="J272" i="208"/>
  <c r="K271" i="208"/>
  <c r="J432" i="208"/>
  <c r="K431" i="208"/>
  <c r="K398" i="208"/>
  <c r="J399" i="208"/>
  <c r="A29" i="203"/>
  <c r="G29" i="203"/>
  <c r="J303" i="208" l="1"/>
  <c r="K302" i="208"/>
  <c r="K335" i="208"/>
  <c r="J336" i="208"/>
  <c r="K366" i="208"/>
  <c r="J367" i="208"/>
  <c r="J208" i="208"/>
  <c r="K207" i="208"/>
  <c r="K432" i="208"/>
  <c r="J433" i="208"/>
  <c r="K399" i="208"/>
  <c r="J400" i="208"/>
  <c r="J75" i="208"/>
  <c r="K109" i="208"/>
  <c r="K75" i="208" s="1"/>
  <c r="J110" i="208"/>
  <c r="J273" i="208"/>
  <c r="K273" i="208" s="1"/>
  <c r="K274" i="208" s="1"/>
  <c r="K272" i="208"/>
  <c r="K174" i="208"/>
  <c r="J175" i="208"/>
  <c r="K142" i="208"/>
  <c r="J143" i="208"/>
  <c r="A30" i="203"/>
  <c r="A37" i="203" s="1"/>
  <c r="G30" i="203"/>
  <c r="K303" i="208" l="1"/>
  <c r="J304" i="208"/>
  <c r="K304" i="208" s="1"/>
  <c r="K305" i="208" s="1"/>
  <c r="J368" i="208"/>
  <c r="K368" i="208" s="1"/>
  <c r="K369" i="208" s="1"/>
  <c r="K367" i="208"/>
  <c r="K208" i="208"/>
  <c r="J209" i="208"/>
  <c r="K209" i="208" s="1"/>
  <c r="K210" i="208" s="1"/>
  <c r="K143" i="208"/>
  <c r="J144" i="208"/>
  <c r="K336" i="208"/>
  <c r="J337" i="208"/>
  <c r="K337" i="208" s="1"/>
  <c r="K338" i="208" s="1"/>
  <c r="J76" i="208"/>
  <c r="K110" i="208"/>
  <c r="J111" i="208"/>
  <c r="K400" i="208"/>
  <c r="J401" i="208"/>
  <c r="K401" i="208" s="1"/>
  <c r="K402" i="208" s="1"/>
  <c r="J176" i="208"/>
  <c r="K176" i="208" s="1"/>
  <c r="K177" i="208" s="1"/>
  <c r="K175" i="208"/>
  <c r="J434" i="208"/>
  <c r="K434" i="208" s="1"/>
  <c r="K433" i="208"/>
  <c r="G78" i="203"/>
  <c r="A38" i="203"/>
  <c r="A39" i="203" s="1"/>
  <c r="A40" i="203" s="1"/>
  <c r="A41" i="203" s="1"/>
  <c r="A42" i="203" s="1"/>
  <c r="A43" i="203" s="1"/>
  <c r="K144" i="208" l="1"/>
  <c r="J145" i="208"/>
  <c r="K145" i="208" s="1"/>
  <c r="J112" i="208"/>
  <c r="K111" i="208"/>
  <c r="J77" i="208"/>
  <c r="K76" i="208"/>
  <c r="K435" i="208"/>
  <c r="C79" i="203"/>
  <c r="A44" i="203"/>
  <c r="K77" i="208" l="1"/>
  <c r="K112" i="208"/>
  <c r="J78" i="208"/>
  <c r="K146" i="208"/>
  <c r="A45" i="203"/>
  <c r="A46" i="203" s="1"/>
  <c r="A47" i="203" s="1"/>
  <c r="A48" i="203" s="1"/>
  <c r="A49" i="203" s="1"/>
  <c r="A50" i="203" s="1"/>
  <c r="C73" i="203"/>
  <c r="K78" i="208" l="1"/>
  <c r="K79" i="208" s="1"/>
  <c r="K113" i="208"/>
  <c r="I12" i="86"/>
  <c r="J12" i="86" l="1"/>
  <c r="K12" i="86" s="1"/>
  <c r="I13" i="86" s="1"/>
  <c r="J13" i="86" l="1"/>
  <c r="K13" i="86" s="1"/>
  <c r="I14" i="86" s="1"/>
  <c r="J14" i="86" l="1"/>
  <c r="K14" i="86"/>
  <c r="I15" i="86" s="1"/>
  <c r="J15" i="86" s="1"/>
  <c r="K15" i="86" l="1"/>
  <c r="I16" i="86" s="1"/>
  <c r="J16" i="86" s="1"/>
  <c r="K16" i="86" s="1"/>
  <c r="I17" i="86" s="1"/>
  <c r="J17" i="86" s="1"/>
  <c r="K17" i="86" l="1"/>
  <c r="I18" i="86" s="1"/>
  <c r="J18" i="86" s="1"/>
  <c r="K18" i="86" l="1"/>
  <c r="I19" i="86" s="1"/>
  <c r="J19" i="86" s="1"/>
  <c r="K19" i="86" l="1"/>
  <c r="I20" i="86" s="1"/>
  <c r="J20" i="86" s="1"/>
  <c r="K20" i="86" l="1"/>
  <c r="I21" i="86" s="1"/>
  <c r="J21" i="86" s="1"/>
  <c r="K21" i="86" l="1"/>
  <c r="I22" i="86" s="1"/>
  <c r="J22" i="86" s="1"/>
  <c r="K22" i="86" l="1"/>
  <c r="I23" i="86" s="1"/>
  <c r="J23" i="86" s="1"/>
  <c r="K23" i="86" l="1"/>
  <c r="H24" i="86" l="1"/>
  <c r="D8" i="194"/>
  <c r="H25" i="86" l="1"/>
  <c r="I24" i="86"/>
  <c r="D12" i="86"/>
  <c r="F8" i="100" l="1"/>
  <c r="J24" i="86"/>
  <c r="K24" i="86" s="1"/>
  <c r="I25" i="86" s="1"/>
  <c r="H26" i="86"/>
  <c r="D13" i="86"/>
  <c r="E12" i="86"/>
  <c r="J25" i="86" l="1"/>
  <c r="K25" i="86" s="1"/>
  <c r="I26" i="86" s="1"/>
  <c r="H27" i="86"/>
  <c r="H28" i="86" s="1"/>
  <c r="H29" i="86" s="1"/>
  <c r="H30" i="86" s="1"/>
  <c r="H31" i="86" s="1"/>
  <c r="H32" i="86" s="1"/>
  <c r="H33" i="86" s="1"/>
  <c r="H34" i="86" s="1"/>
  <c r="H35" i="86" s="1"/>
  <c r="H36" i="86" s="1"/>
  <c r="F12" i="86"/>
  <c r="G12" i="86"/>
  <c r="E13" i="86" s="1"/>
  <c r="D14" i="86"/>
  <c r="J26" i="86" l="1"/>
  <c r="K26" i="86" s="1"/>
  <c r="I27" i="86" s="1"/>
  <c r="F13" i="86"/>
  <c r="G13" i="86"/>
  <c r="E14" i="86" s="1"/>
  <c r="D15" i="86"/>
  <c r="J27" i="86" l="1"/>
  <c r="K27" i="86" s="1"/>
  <c r="I28" i="86" s="1"/>
  <c r="F14" i="86"/>
  <c r="G14" i="86" s="1"/>
  <c r="E15" i="86" s="1"/>
  <c r="D16" i="86"/>
  <c r="D17" i="86" s="1"/>
  <c r="J28" i="86" l="1"/>
  <c r="K28" i="86" s="1"/>
  <c r="I29" i="86" s="1"/>
  <c r="F15" i="86"/>
  <c r="G15" i="86" s="1"/>
  <c r="E16" i="86" s="1"/>
  <c r="D18" i="86"/>
  <c r="D19" i="86" s="1"/>
  <c r="D20" i="86" s="1"/>
  <c r="D21" i="86" s="1"/>
  <c r="D22" i="86" s="1"/>
  <c r="D23" i="86" s="1"/>
  <c r="D36" i="86" s="1"/>
  <c r="J29" i="86" l="1"/>
  <c r="K29" i="86"/>
  <c r="I30" i="86" s="1"/>
  <c r="F16" i="86"/>
  <c r="G16" i="86"/>
  <c r="E17" i="86" s="1"/>
  <c r="J30" i="86" l="1"/>
  <c r="K30" i="86" s="1"/>
  <c r="I31" i="86" s="1"/>
  <c r="F17" i="86"/>
  <c r="G17" i="86" s="1"/>
  <c r="E18" i="86" s="1"/>
  <c r="J31" i="86" l="1"/>
  <c r="K31" i="86" s="1"/>
  <c r="I32" i="86" s="1"/>
  <c r="F18" i="86"/>
  <c r="G18" i="86" s="1"/>
  <c r="E19" i="86" s="1"/>
  <c r="J32" i="86" l="1"/>
  <c r="K32" i="86" s="1"/>
  <c r="I33" i="86" s="1"/>
  <c r="F19" i="86"/>
  <c r="G19" i="86" s="1"/>
  <c r="E20" i="86" s="1"/>
  <c r="J33" i="86" l="1"/>
  <c r="K33" i="86" s="1"/>
  <c r="I34" i="86" s="1"/>
  <c r="F20" i="86"/>
  <c r="G20" i="86" s="1"/>
  <c r="E21" i="86" s="1"/>
  <c r="J34" i="86" l="1"/>
  <c r="K34" i="86" s="1"/>
  <c r="I35" i="86" s="1"/>
  <c r="F21" i="86"/>
  <c r="G21" i="86" s="1"/>
  <c r="E22" i="86" s="1"/>
  <c r="J35" i="86" l="1"/>
  <c r="K35" i="86" s="1"/>
  <c r="K36" i="86" s="1"/>
  <c r="F22" i="86"/>
  <c r="G22" i="86"/>
  <c r="E23" i="86" s="1"/>
  <c r="F18" i="100" l="1"/>
  <c r="F23" i="86"/>
  <c r="G23" i="86" s="1"/>
  <c r="E24" i="86" s="1"/>
  <c r="F16" i="100" l="1"/>
  <c r="F21" i="100"/>
  <c r="F14" i="100"/>
  <c r="F24" i="86"/>
  <c r="G24" i="86" s="1"/>
  <c r="E25" i="86" s="1"/>
  <c r="F25" i="86" l="1"/>
  <c r="G25" i="86"/>
  <c r="E26" i="86" s="1"/>
  <c r="F26" i="86" l="1"/>
  <c r="G26" i="86"/>
  <c r="E27" i="86" s="1"/>
  <c r="F27" i="86" l="1"/>
  <c r="G27" i="86" s="1"/>
  <c r="E28" i="86" s="1"/>
  <c r="F28" i="86" l="1"/>
  <c r="G28" i="86" s="1"/>
  <c r="E29" i="86" s="1"/>
  <c r="F29" i="86" l="1"/>
  <c r="G29" i="86" s="1"/>
  <c r="E30" i="86" s="1"/>
  <c r="F30" i="86" l="1"/>
  <c r="G30" i="86" s="1"/>
  <c r="E31" i="86" s="1"/>
  <c r="F31" i="86" l="1"/>
  <c r="G31" i="86" s="1"/>
  <c r="E32" i="86" s="1"/>
  <c r="F32" i="86" l="1"/>
  <c r="G32" i="86" s="1"/>
  <c r="E33" i="86" s="1"/>
  <c r="F33" i="86" l="1"/>
  <c r="G33" i="86" s="1"/>
  <c r="E34" i="86" s="1"/>
  <c r="F34" i="86" l="1"/>
  <c r="G34" i="86" s="1"/>
  <c r="E35" i="86" s="1"/>
  <c r="F35" i="86" l="1"/>
  <c r="G35" i="86" s="1"/>
  <c r="G36" i="8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F44" authorId="0" shapeId="0" xr:uid="{8CABDEFA-7FBE-4C58-8E94-813F0044EF4C}">
      <text>
        <r>
          <rPr>
            <b/>
            <sz val="9"/>
            <color indexed="81"/>
            <rFont val="Tahoma"/>
            <family val="2"/>
          </rPr>
          <t>Changed from $38,103,246 to $38,301,035 due to CWIP balance adjustment of $197,789.</t>
        </r>
      </text>
    </comment>
    <comment ref="F45" authorId="0" shapeId="0" xr:uid="{CC715B61-3136-4E90-AB5E-D70A4AE4CF93}">
      <text>
        <r>
          <rPr>
            <b/>
            <sz val="9"/>
            <color indexed="81"/>
            <rFont val="Tahoma"/>
            <family val="2"/>
          </rPr>
          <t xml:space="preserve">Changed from $46,589,551 to $46,923,675 due to CWIP balance adjustment of $334,124.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E40" authorId="0" shapeId="0" xr:uid="{C0CA21FE-21BC-4471-A26E-4A0B47E28EC7}">
      <text>
        <r>
          <rPr>
            <b/>
            <sz val="9"/>
            <color indexed="81"/>
            <rFont val="Tahoma"/>
            <family val="2"/>
          </rPr>
          <t xml:space="preserve">Changed from $7,741,758 to $7,758,094 due to removal of outside counsel cost related to employment litigation or arbitration matters which should have been excluded.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Hansen, Berton J</author>
  </authors>
  <commentList>
    <comment ref="F62" authorId="0" shapeId="0" xr:uid="{73134184-AD69-477D-9944-A9C18D00D848}">
      <text>
        <r>
          <rPr>
            <sz val="9"/>
            <color indexed="81"/>
            <rFont val="Tahoma"/>
            <family val="2"/>
          </rPr>
          <t>Settlement term 3: New Line 39a reversing Line 39 Incentive Adder.  Will not apply to True Up Years of 2016 and 2017 as the True Up TRR for those years will be calculated pursuant to the Original Formula Rate (workpaper).</t>
        </r>
      </text>
    </comment>
    <comment ref="E84" authorId="0" shapeId="0" xr:uid="{65EE249D-104C-41DC-9F8E-155DC3FE068B}">
      <text>
        <r>
          <rPr>
            <sz val="9"/>
            <color indexed="81"/>
            <rFont val="Tahoma"/>
            <family val="2"/>
          </rPr>
          <t>11.2% for 2018 True Up TRR pursuant to Settlement Term #3</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F33" authorId="0" shapeId="0" xr:uid="{A3A7FCD3-5DC5-4CB2-A271-BC2106FBCA49}">
      <text>
        <r>
          <rPr>
            <b/>
            <sz val="8"/>
            <color indexed="81"/>
            <rFont val="Tahoma"/>
            <family val="2"/>
          </rPr>
          <t>Changed from $46,589,551 to $46,923,675 due to CWIP balance adjustment of $334,124.</t>
        </r>
      </text>
    </comment>
    <comment ref="F34" authorId="0" shapeId="0" xr:uid="{30FAE1C4-0A70-4E5D-B054-D541B45BB21A}">
      <text>
        <r>
          <rPr>
            <b/>
            <sz val="8"/>
            <color indexed="81"/>
            <rFont val="Tahoma"/>
            <family val="2"/>
          </rPr>
          <t>Changed from $52,872,088 to $53,082,889 due to CWIP balance adjustment of $210,802.</t>
        </r>
        <r>
          <rPr>
            <sz val="9"/>
            <color indexed="81"/>
            <rFont val="Tahoma"/>
            <family val="2"/>
          </rPr>
          <t xml:space="preserve">
</t>
        </r>
      </text>
    </comment>
    <comment ref="G34" authorId="0" shapeId="0" xr:uid="{4008416C-460E-4EB8-B78E-91DDA762BFA2}">
      <text>
        <r>
          <rPr>
            <b/>
            <sz val="8"/>
            <color indexed="81"/>
            <rFont val="Tahoma"/>
            <family val="2"/>
          </rPr>
          <t>Changed from $19,158,216 to $19,130,665 due to CWIP balance adjustment of -$27,550.</t>
        </r>
        <r>
          <rPr>
            <sz val="9"/>
            <color indexed="81"/>
            <rFont val="Tahoma"/>
            <family val="2"/>
          </rPr>
          <t xml:space="preserve">
</t>
        </r>
      </text>
    </comment>
    <comment ref="H34" authorId="0" shapeId="0" xr:uid="{B5F6C974-1F86-42EF-9737-792560CD4151}">
      <text>
        <r>
          <rPr>
            <b/>
            <sz val="8"/>
            <color indexed="81"/>
            <rFont val="Tahoma"/>
            <family val="2"/>
          </rPr>
          <t>Changed from $37,337,194 to $37,104,777 due to CWIP balance adjustment of -$232,417.</t>
        </r>
        <r>
          <rPr>
            <sz val="9"/>
            <color indexed="81"/>
            <rFont val="Tahoma"/>
            <family val="2"/>
          </rPr>
          <t xml:space="preserve">
</t>
        </r>
      </text>
    </comment>
    <comment ref="F35" authorId="0" shapeId="0" xr:uid="{7D3B8998-7242-49F0-A8D7-B12FF3BC6581}">
      <text>
        <r>
          <rPr>
            <b/>
            <sz val="8"/>
            <color indexed="81"/>
            <rFont val="Tahoma"/>
            <family val="2"/>
          </rPr>
          <t>Changed from $60,403,301 to $60,706,832 due to CWIP balance adjustment of $303,531.</t>
        </r>
        <r>
          <rPr>
            <sz val="9"/>
            <color indexed="81"/>
            <rFont val="Tahoma"/>
            <family val="2"/>
          </rPr>
          <t xml:space="preserve">
</t>
        </r>
      </text>
    </comment>
    <comment ref="G35" authorId="0" shapeId="0" xr:uid="{4F068A02-E642-48B3-A18E-D0201FF308D4}">
      <text>
        <r>
          <rPr>
            <b/>
            <sz val="8"/>
            <color indexed="81"/>
            <rFont val="Tahoma"/>
            <family val="2"/>
          </rPr>
          <t>Changed from $19,209,869 to $19,228,633 due to CWIP balance adjustment of $18,763.</t>
        </r>
        <r>
          <rPr>
            <sz val="9"/>
            <color indexed="81"/>
            <rFont val="Tahoma"/>
            <family val="2"/>
          </rPr>
          <t xml:space="preserve">
</t>
        </r>
      </text>
    </comment>
    <comment ref="H35" authorId="0" shapeId="0" xr:uid="{5B2FEEF6-54DE-4D36-8963-8D2288251CB0}">
      <text>
        <r>
          <rPr>
            <b/>
            <sz val="8"/>
            <color indexed="81"/>
            <rFont val="Tahoma"/>
            <family val="2"/>
          </rPr>
          <t>Changed from $37,662,041 to $37,429,624 due to CWIP balance adjustment of -$232,417.</t>
        </r>
        <r>
          <rPr>
            <sz val="9"/>
            <color indexed="81"/>
            <rFont val="Tahoma"/>
            <family val="2"/>
          </rPr>
          <t xml:space="preserve">
</t>
        </r>
      </text>
    </comment>
    <comment ref="F36" authorId="0" shapeId="0" xr:uid="{50776E9A-94D4-43FA-9032-0C61CE599270}">
      <text>
        <r>
          <rPr>
            <b/>
            <sz val="8"/>
            <color indexed="81"/>
            <rFont val="Tahoma"/>
            <family val="2"/>
          </rPr>
          <t>Changed from $67,699,424 to $68,324,885 due to CWIP balance adjustment of $625,461.</t>
        </r>
      </text>
    </comment>
    <comment ref="G36" authorId="0" shapeId="0" xr:uid="{1DA9E37F-ECB7-4301-9CA6-7CE3FD763CD3}">
      <text>
        <r>
          <rPr>
            <b/>
            <sz val="8"/>
            <color indexed="81"/>
            <rFont val="Tahoma"/>
            <family val="2"/>
          </rPr>
          <t>Changed from $19,263,257 to $19,427,202 due to CWIP balance adjustment of $163,945.</t>
        </r>
        <r>
          <rPr>
            <sz val="9"/>
            <color indexed="81"/>
            <rFont val="Tahoma"/>
            <family val="2"/>
          </rPr>
          <t xml:space="preserve">
</t>
        </r>
      </text>
    </comment>
    <comment ref="H36" authorId="0" shapeId="0" xr:uid="{327ED14D-E3CD-4B38-AB63-37C7831C4FBE}">
      <text>
        <r>
          <rPr>
            <b/>
            <sz val="8"/>
            <color indexed="81"/>
            <rFont val="Tahoma"/>
            <family val="2"/>
          </rPr>
          <t>Changed from $47,972,163 to $47,739,746 due to CWIP balance adjustment of -$232,417.</t>
        </r>
        <r>
          <rPr>
            <sz val="9"/>
            <color indexed="81"/>
            <rFont val="Tahoma"/>
            <family val="2"/>
          </rPr>
          <t xml:space="preserve">
</t>
        </r>
      </text>
    </comment>
    <comment ref="F37" authorId="0" shapeId="0" xr:uid="{726EEDD8-1592-4EBF-B508-98261F78466B}">
      <text>
        <r>
          <rPr>
            <b/>
            <sz val="8"/>
            <color indexed="81"/>
            <rFont val="Tahoma"/>
            <family val="2"/>
          </rPr>
          <t>Changed from $74,865,328 to $75,211,108 due to CWIP balance adjustment of $345,781.</t>
        </r>
      </text>
    </comment>
    <comment ref="G37" authorId="0" shapeId="0" xr:uid="{6E02AD08-414B-423E-A1E4-7B31B69FB338}">
      <text>
        <r>
          <rPr>
            <b/>
            <sz val="8"/>
            <color indexed="81"/>
            <rFont val="Tahoma"/>
            <family val="2"/>
          </rPr>
          <t>Changed from $19,494,339 to $19,474,016 due to CWIP balance adjustment of -$20,324.</t>
        </r>
        <r>
          <rPr>
            <sz val="9"/>
            <color indexed="81"/>
            <rFont val="Tahoma"/>
            <family val="2"/>
          </rPr>
          <t xml:space="preserve">
</t>
        </r>
      </text>
    </comment>
    <comment ref="H37" authorId="0" shapeId="0" xr:uid="{ED7C839E-2ADA-4FD1-95CB-2CA69FB8F069}">
      <text>
        <r>
          <rPr>
            <b/>
            <sz val="8"/>
            <color indexed="81"/>
            <rFont val="Tahoma"/>
            <family val="2"/>
          </rPr>
          <t>Changed from $48,828,868 to $48,596,451 due to CWIP balance adjustment of -$232,417.</t>
        </r>
        <r>
          <rPr>
            <sz val="9"/>
            <color indexed="81"/>
            <rFont val="Tahoma"/>
            <family val="2"/>
          </rPr>
          <t xml:space="preserve">
</t>
        </r>
      </text>
    </comment>
    <comment ref="F38" authorId="0" shapeId="0" xr:uid="{D578D11C-0734-4BF1-AE97-1FD0AD3F26F3}">
      <text>
        <r>
          <rPr>
            <b/>
            <sz val="8"/>
            <color indexed="81"/>
            <rFont val="Tahoma"/>
            <family val="2"/>
          </rPr>
          <t>Changed from $81,351,559 to $81,827,122 due to CWIP balance adjustment of $475,562.</t>
        </r>
      </text>
    </comment>
    <comment ref="G38" authorId="0" shapeId="0" xr:uid="{B09CF9D9-53DD-4B9A-BC1D-FD09406B46F3}">
      <text>
        <r>
          <rPr>
            <b/>
            <sz val="8"/>
            <color indexed="81"/>
            <rFont val="Tahoma"/>
            <family val="2"/>
          </rPr>
          <t>Changed from $19,590,062 to $19,823,934 due to CWIP balance adjustment of $233,872.</t>
        </r>
        <r>
          <rPr>
            <sz val="9"/>
            <color indexed="81"/>
            <rFont val="Tahoma"/>
            <family val="2"/>
          </rPr>
          <t xml:space="preserve">
</t>
        </r>
      </text>
    </comment>
    <comment ref="H38" authorId="0" shapeId="0" xr:uid="{107785AA-F229-4212-8854-2C9ADB9B5690}">
      <text>
        <r>
          <rPr>
            <b/>
            <sz val="8"/>
            <color indexed="81"/>
            <rFont val="Tahoma"/>
            <family val="2"/>
          </rPr>
          <t>Changed from $50,069,337 to $50,093,267 due to CWIP balance adjustment of $23,930.</t>
        </r>
        <r>
          <rPr>
            <sz val="9"/>
            <color indexed="81"/>
            <rFont val="Tahoma"/>
            <family val="2"/>
          </rPr>
          <t xml:space="preserve">
</t>
        </r>
      </text>
    </comment>
    <comment ref="F39" authorId="0" shapeId="0" xr:uid="{34BC13FA-760E-4B9C-950E-5C411187778C}">
      <text>
        <r>
          <rPr>
            <b/>
            <sz val="8"/>
            <color indexed="81"/>
            <rFont val="Tahoma"/>
            <family val="2"/>
          </rPr>
          <t>Changed from $84,101,356 to $84,541,920 due to CWIP balance adjustment of $440,564.</t>
        </r>
      </text>
    </comment>
    <comment ref="G39" authorId="0" shapeId="0" xr:uid="{1F32ABF2-5EA5-4E61-ADBD-EF2E4979B810}">
      <text>
        <r>
          <rPr>
            <b/>
            <sz val="8"/>
            <color indexed="81"/>
            <rFont val="Tahoma"/>
            <family val="2"/>
          </rPr>
          <t>Changed from $19,640,938 to $19,874,810 due to CWIP balance adjustment of $233,872.</t>
        </r>
        <r>
          <rPr>
            <sz val="9"/>
            <color indexed="81"/>
            <rFont val="Tahoma"/>
            <family val="2"/>
          </rPr>
          <t xml:space="preserve">
</t>
        </r>
      </text>
    </comment>
    <comment ref="H39" authorId="0" shapeId="0" xr:uid="{98B5B2FF-111D-4648-9E02-E8CB2DFD7EBA}">
      <text>
        <r>
          <rPr>
            <b/>
            <sz val="8"/>
            <color indexed="81"/>
            <rFont val="Tahoma"/>
            <family val="2"/>
          </rPr>
          <t>Changed from $50,519,065 to $50,542,995 due to CWIP balance adjustment of $23,930.</t>
        </r>
        <r>
          <rPr>
            <sz val="9"/>
            <color indexed="81"/>
            <rFont val="Tahoma"/>
            <family val="2"/>
          </rPr>
          <t xml:space="preserve">
</t>
        </r>
      </text>
    </comment>
    <comment ref="F40" authorId="0" shapeId="0" xr:uid="{C9255D71-3FE9-4AD7-91F1-9EFA14C270F6}">
      <text>
        <r>
          <rPr>
            <b/>
            <sz val="8"/>
            <color indexed="81"/>
            <rFont val="Tahoma"/>
            <family val="2"/>
          </rPr>
          <t>Changed from $87,696,225 to $88,136,789 due to CWIP balance adjustment of $440,564.</t>
        </r>
      </text>
    </comment>
    <comment ref="G40" authorId="0" shapeId="0" xr:uid="{119924C6-C8F3-4E9E-85C0-750EF4467EAA}">
      <text>
        <r>
          <rPr>
            <b/>
            <sz val="8"/>
            <color indexed="81"/>
            <rFont val="Tahoma"/>
            <family val="2"/>
          </rPr>
          <t>Changed from $19,733,199 to $19,974,367 due to CWIP balance adjustment of $241,168.</t>
        </r>
        <r>
          <rPr>
            <sz val="9"/>
            <color indexed="81"/>
            <rFont val="Tahoma"/>
            <family val="2"/>
          </rPr>
          <t xml:space="preserve">
</t>
        </r>
      </text>
    </comment>
    <comment ref="H40" authorId="0" shapeId="0" xr:uid="{CAB14CD8-E43E-4899-A029-ECF0FA74B8A8}">
      <text>
        <r>
          <rPr>
            <b/>
            <sz val="8"/>
            <color indexed="81"/>
            <rFont val="Tahoma"/>
            <family val="2"/>
          </rPr>
          <t>Changed from $50,936,029 to $50,959,960 due to CWIP balance adjustment of $23,930.</t>
        </r>
        <r>
          <rPr>
            <sz val="9"/>
            <color indexed="81"/>
            <rFont val="Tahoma"/>
            <family val="2"/>
          </rPr>
          <t xml:space="preserve">
</t>
        </r>
      </text>
    </comment>
    <comment ref="F41" authorId="0" shapeId="0" xr:uid="{3B22FA19-AF23-4D74-B292-E90B0CD4A9AD}">
      <text>
        <r>
          <rPr>
            <b/>
            <sz val="8"/>
            <color indexed="81"/>
            <rFont val="Tahoma"/>
            <family val="2"/>
          </rPr>
          <t>Changed from $96,053,875 to $96,501,126 due to CWIP balance adjustment of $447,252.</t>
        </r>
      </text>
    </comment>
    <comment ref="G41" authorId="0" shapeId="0" xr:uid="{3D2DD4A8-B47F-47DB-98A5-5B90A4426900}">
      <text>
        <r>
          <rPr>
            <b/>
            <sz val="8"/>
            <color indexed="81"/>
            <rFont val="Tahoma"/>
            <family val="2"/>
          </rPr>
          <t>Changed from $19,787,598 to $20,028,766 due to CWIP balance adjustment of $241,168.</t>
        </r>
        <r>
          <rPr>
            <sz val="9"/>
            <color indexed="81"/>
            <rFont val="Tahoma"/>
            <family val="2"/>
          </rPr>
          <t xml:space="preserve">
</t>
        </r>
      </text>
    </comment>
    <comment ref="H41" authorId="0" shapeId="0" xr:uid="{926481AA-4E76-4AF3-89E6-B8094049858B}">
      <text>
        <r>
          <rPr>
            <b/>
            <sz val="8"/>
            <color indexed="81"/>
            <rFont val="Tahoma"/>
            <family val="2"/>
          </rPr>
          <t>Changed from $51,581,083 to $51,605,585 due to CWIP balance adjustment of $24,501.</t>
        </r>
        <r>
          <rPr>
            <sz val="9"/>
            <color indexed="81"/>
            <rFont val="Tahoma"/>
            <family val="2"/>
          </rPr>
          <t xml:space="preserve">
</t>
        </r>
      </text>
    </comment>
    <comment ref="F42" authorId="0" shapeId="0" xr:uid="{70557E68-A89A-4954-A4E8-0824CAD07861}">
      <text>
        <r>
          <rPr>
            <b/>
            <sz val="8"/>
            <color indexed="81"/>
            <rFont val="Tahoma"/>
            <family val="2"/>
          </rPr>
          <t>Changed from $95,968,190 to $96,424,303 due to CWIP balance adjustment of $456,113.</t>
        </r>
      </text>
    </comment>
    <comment ref="G42" authorId="0" shapeId="0" xr:uid="{5F949148-C6B5-4884-8D5B-EE62FAEFD9DA}">
      <text>
        <r>
          <rPr>
            <b/>
            <sz val="8"/>
            <color indexed="81"/>
            <rFont val="Tahoma"/>
            <family val="2"/>
          </rPr>
          <t>Changed from $19,827,433 to $20,028,766 due to CWIP balance adjustment of $241,917.</t>
        </r>
        <r>
          <rPr>
            <sz val="9"/>
            <color indexed="81"/>
            <rFont val="Tahoma"/>
            <family val="2"/>
          </rPr>
          <t xml:space="preserve">
</t>
        </r>
      </text>
    </comment>
    <comment ref="H42" authorId="0" shapeId="0" xr:uid="{6EB5A692-C5A4-4C21-8690-3C86727ED32D}">
      <text>
        <r>
          <rPr>
            <b/>
            <sz val="8"/>
            <color indexed="81"/>
            <rFont val="Tahoma"/>
            <family val="2"/>
          </rPr>
          <t>Changed from $51,960,707 to $51,994,339 due to CWIP balance adjustment of $33,632.</t>
        </r>
        <r>
          <rPr>
            <sz val="9"/>
            <color indexed="81"/>
            <rFont val="Tahoma"/>
            <family val="2"/>
          </rPr>
          <t xml:space="preserve">
</t>
        </r>
      </text>
    </comment>
    <comment ref="F43" authorId="0" shapeId="0" xr:uid="{8B4EC99B-EC01-47D5-8D08-7C1E29C79843}">
      <text>
        <r>
          <rPr>
            <b/>
            <sz val="8"/>
            <color indexed="81"/>
            <rFont val="Tahoma"/>
            <family val="2"/>
          </rPr>
          <t>Changed from $108,480,754 to $108,937,124 due to CWIP balance adjustment of $456,371.</t>
        </r>
      </text>
    </comment>
    <comment ref="G43" authorId="0" shapeId="0" xr:uid="{E8ED1E96-63CD-4254-9B9C-9270980888F5}">
      <text>
        <r>
          <rPr>
            <b/>
            <sz val="8"/>
            <color indexed="81"/>
            <rFont val="Tahoma"/>
            <family val="2"/>
          </rPr>
          <t>Changed from $19,881,323 to $20,119,849 due to CWIP balance adjustment of $238,526.</t>
        </r>
        <r>
          <rPr>
            <sz val="9"/>
            <color indexed="81"/>
            <rFont val="Tahoma"/>
            <family val="2"/>
          </rPr>
          <t xml:space="preserve">
</t>
        </r>
      </text>
    </comment>
    <comment ref="H43" authorId="0" shapeId="0" xr:uid="{0B97A947-05FF-4EDA-BD6F-4E22AB2DC4D1}">
      <text>
        <r>
          <rPr>
            <b/>
            <sz val="8"/>
            <color indexed="81"/>
            <rFont val="Tahoma"/>
            <family val="2"/>
          </rPr>
          <t>Changed from $52,396,221 to $52,429,852 due to CWIP balance adjustment of $33,632.</t>
        </r>
        <r>
          <rPr>
            <sz val="9"/>
            <color indexed="81"/>
            <rFont val="Tahoma"/>
            <family val="2"/>
          </rPr>
          <t xml:space="preserve">
</t>
        </r>
      </text>
    </comment>
    <comment ref="F44" authorId="0" shapeId="0" xr:uid="{770186AE-E841-4FA6-BA5E-DFF9621D0F5A}">
      <text>
        <r>
          <rPr>
            <b/>
            <sz val="8"/>
            <color indexed="81"/>
            <rFont val="Tahoma"/>
            <family val="2"/>
          </rPr>
          <t>Changed from $113,377,826 to $108,937,124 due to CWIP balance adjustment of $456,371.</t>
        </r>
      </text>
    </comment>
    <comment ref="G44" authorId="0" shapeId="0" xr:uid="{6324626B-EDB5-4EFE-A30E-77A3B0A41565}">
      <text>
        <r>
          <rPr>
            <b/>
            <sz val="8"/>
            <color indexed="81"/>
            <rFont val="Tahoma"/>
            <family val="2"/>
          </rPr>
          <t>Changed from $19,925,080 to $20,163,606 due to CWIP balance adjustment of $238,526.</t>
        </r>
        <r>
          <rPr>
            <sz val="9"/>
            <color indexed="81"/>
            <rFont val="Tahoma"/>
            <family val="2"/>
          </rPr>
          <t xml:space="preserve">
</t>
        </r>
      </text>
    </comment>
    <comment ref="H44" authorId="0" shapeId="0" xr:uid="{DBF8ED89-1FBD-4A8D-85CD-FFA1E085F3A3}">
      <text>
        <r>
          <rPr>
            <b/>
            <sz val="8"/>
            <color indexed="81"/>
            <rFont val="Tahoma"/>
            <family val="2"/>
          </rPr>
          <t>Changed from $55,474,492 to $55,508,124 due to CWIP balance adjustment of $33,632.</t>
        </r>
        <r>
          <rPr>
            <sz val="9"/>
            <color indexed="81"/>
            <rFont val="Tahoma"/>
            <family val="2"/>
          </rPr>
          <t xml:space="preserve">
</t>
        </r>
      </text>
    </comment>
    <comment ref="F45" authorId="0" shapeId="0" xr:uid="{21E66221-18D3-4ED0-A4AE-0693908195ED}">
      <text>
        <r>
          <rPr>
            <b/>
            <sz val="8"/>
            <color indexed="81"/>
            <rFont val="Tahoma"/>
            <family val="2"/>
          </rPr>
          <t>Changed from $123,208,374 to $123,664,745 due to CWIP balance adjustment of $456,371.</t>
        </r>
      </text>
    </comment>
    <comment ref="G45" authorId="0" shapeId="0" xr:uid="{033DA52B-14AF-4A05-8877-84655DD7EEEC}">
      <text>
        <r>
          <rPr>
            <b/>
            <sz val="8"/>
            <color indexed="81"/>
            <rFont val="Tahoma"/>
            <family val="2"/>
          </rPr>
          <t>Changed from $20,101,220 to $20,339,747 due to CWIP balance adjustment of $238,526.</t>
        </r>
        <r>
          <rPr>
            <sz val="9"/>
            <color indexed="81"/>
            <rFont val="Tahoma"/>
            <family val="2"/>
          </rPr>
          <t xml:space="preserve">
</t>
        </r>
      </text>
    </comment>
    <comment ref="H45" authorId="0" shapeId="0" xr:uid="{5CFFB57C-E247-40A6-9556-9D5783037907}">
      <text>
        <r>
          <rPr>
            <b/>
            <sz val="8"/>
            <color indexed="81"/>
            <rFont val="Tahoma"/>
            <family val="2"/>
          </rPr>
          <t>Changed from $65,187,847 to $65,221,478 due to CWIP balance adjustment of $33,632.</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B9D67ED7-34D4-4F53-BC9B-4C3B960E992E}">
      <text>
        <r>
          <rPr>
            <b/>
            <sz val="9"/>
            <color indexed="81"/>
            <rFont val="Tahoma"/>
            <family val="2"/>
          </rPr>
          <t xml:space="preserve">Change from $8,742,733 to $8,764,418 due to removal of outside counsel cost related to employment litigation or arbitration matters which should have been excluded. </t>
        </r>
      </text>
    </comment>
  </commentList>
</comments>
</file>

<file path=xl/sharedStrings.xml><?xml version="1.0" encoding="utf-8"?>
<sst xmlns="http://schemas.openxmlformats.org/spreadsheetml/2006/main" count="2139" uniqueCount="475">
  <si>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</si>
  <si>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</si>
  <si>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</si>
  <si>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</si>
  <si>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</si>
  <si>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</si>
  <si>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</si>
  <si>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</si>
  <si>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</si>
  <si>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</si>
  <si>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</si>
  <si>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</si>
  <si>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</si>
  <si>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</si>
  <si>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</si>
  <si>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</si>
  <si>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</si>
  <si>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</si>
  <si>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</si>
  <si>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</si>
  <si>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</si>
  <si>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</si>
  <si>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</si>
  <si>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</si>
  <si>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</si>
  <si>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</si>
  <si>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</si>
  <si>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</si>
  <si>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</si>
  <si>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</si>
  <si>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</si>
  <si>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</si>
  <si>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</si>
  <si>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</si>
  <si>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</si>
  <si>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</si>
  <si>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</si>
  <si>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</si>
  <si>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</si>
  <si>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</si>
  <si>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</si>
  <si>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</si>
  <si>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</si>
  <si>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</si>
  <si>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</si>
  <si>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</si>
  <si>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</si>
  <si>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</si>
  <si>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</si>
  <si>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</si>
  <si>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</si>
  <si>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</si>
  <si>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</si>
  <si>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</si>
  <si>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</si>
  <si>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</si>
  <si>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</si>
  <si>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</si>
  <si>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</si>
  <si>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</si>
  <si>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</si>
  <si>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</si>
  <si>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</si>
  <si>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</si>
  <si>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</si>
  <si>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</si>
  <si>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</si>
  <si>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</si>
  <si>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</si>
  <si>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</si>
  <si>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</si>
  <si>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</si>
  <si>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</si>
  <si>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</si>
  <si>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</si>
  <si>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</si>
  <si>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</si>
  <si>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</si>
  <si>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</si>
  <si>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</si>
  <si>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</si>
  <si>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</si>
  <si>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</si>
  <si>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</si>
  <si>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</si>
  <si>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</si>
  <si>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</si>
  <si>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</si>
  <si>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</si>
  <si>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</si>
  <si>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</si>
  <si>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</si>
  <si>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</si>
  <si>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</si>
  <si>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</si>
  <si>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</si>
  <si>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</si>
  <si>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</si>
  <si>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</si>
  <si>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</si>
  <si>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</si>
  <si>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</si>
  <si>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</si>
  <si>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</si>
  <si>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</si>
  <si>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</si>
  <si>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</si>
  <si>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</si>
  <si>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</si>
  <si>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</si>
  <si>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</si>
  <si>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</si>
  <si>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</si>
  <si>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</si>
  <si>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</si>
  <si>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</si>
  <si>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</si>
  <si>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</si>
  <si>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</si>
  <si>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</si>
  <si>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</si>
  <si>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</si>
  <si>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</si>
  <si>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</si>
  <si>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</si>
  <si>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</si>
  <si>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</si>
  <si>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</si>
  <si>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</si>
  <si>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</si>
  <si>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</si>
  <si>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</si>
  <si>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</si>
  <si>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</si>
  <si>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</si>
  <si>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</si>
  <si>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</si>
  <si>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</si>
  <si>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</si>
  <si>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</si>
  <si>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</si>
  <si>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</si>
  <si>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</si>
  <si>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</si>
  <si>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</si>
  <si>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</si>
  <si>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</si>
  <si>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</si>
  <si>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</si>
  <si>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</si>
  <si>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</si>
  <si>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</si>
  <si>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</si>
  <si>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</si>
  <si>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27a</t>
  </si>
  <si>
    <t>PBOPs True Up TRR Adjustment</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</si>
  <si>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</si>
  <si>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</si>
  <si>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</si>
  <si>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</si>
  <si>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</si>
  <si>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</si>
  <si>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</si>
  <si>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</si>
  <si>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</si>
  <si>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</si>
  <si>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</si>
  <si>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</si>
  <si>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</si>
  <si>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</si>
  <si>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</si>
  <si>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</si>
  <si>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</si>
  <si>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</si>
  <si>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</si>
  <si>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</si>
  <si>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</si>
  <si>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</si>
  <si>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</si>
  <si>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</si>
  <si>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</si>
  <si>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</si>
  <si>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</si>
  <si>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</si>
  <si>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</si>
  <si>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</si>
  <si>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</si>
  <si>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</si>
  <si>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</si>
  <si>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</si>
  <si>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</si>
  <si>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</si>
  <si>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</si>
  <si>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</si>
  <si>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</si>
  <si>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</si>
  <si>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</si>
  <si>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</si>
  <si>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</si>
  <si>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</si>
  <si>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</si>
  <si>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</si>
  <si>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</si>
  <si>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</si>
  <si>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</si>
  <si>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</si>
  <si>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</si>
  <si>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</si>
  <si>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</si>
  <si>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</si>
  <si>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</si>
  <si>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</si>
  <si>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</si>
  <si>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</si>
  <si>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</si>
  <si>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</si>
  <si>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</si>
  <si>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</si>
  <si>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</si>
  <si>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</si>
  <si>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</si>
  <si>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</si>
  <si>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</si>
  <si>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</si>
  <si>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</si>
  <si>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</si>
  <si>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</si>
  <si>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</si>
  <si>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</si>
  <si>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</si>
  <si>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</si>
  <si>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</si>
  <si>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</si>
  <si>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</si>
  <si>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</si>
  <si>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</si>
  <si>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</si>
  <si>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</si>
  <si>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</si>
  <si>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</si>
  <si>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</si>
  <si>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</si>
  <si>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</si>
  <si>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</si>
  <si>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</si>
  <si>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</si>
  <si>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</si>
  <si>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</si>
  <si>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</si>
  <si>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</si>
  <si>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</si>
  <si>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</si>
  <si>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</si>
  <si>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</si>
  <si>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</si>
  <si>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</si>
  <si>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</si>
  <si>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</si>
  <si>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</si>
  <si>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</si>
  <si>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</si>
  <si>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</si>
  <si>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</si>
  <si>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</si>
  <si>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</si>
  <si>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</si>
  <si>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</si>
  <si>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</si>
  <si>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</si>
  <si>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</si>
  <si>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</si>
  <si>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A</t>
  </si>
  <si>
    <t>One-Time Adj*</t>
  </si>
  <si>
    <t>* Variance Includes Adjustment for:</t>
  </si>
  <si>
    <t>Explanation of One Time Adjustment to Prior Period</t>
  </si>
  <si>
    <t>B</t>
  </si>
  <si>
    <t>2017</t>
  </si>
  <si>
    <t>Changes to 2017</t>
  </si>
  <si>
    <t xml:space="preserve">One Time Adjustment for Revised 2017 True Up TRR </t>
  </si>
  <si>
    <t>(1) 2017 A&amp;G exclusion for outside counsel</t>
  </si>
  <si>
    <t>TO13 TUTRR</t>
  </si>
  <si>
    <t>Jan 1, 2017</t>
  </si>
  <si>
    <t>Dec 31, 2017</t>
  </si>
  <si>
    <t>ER16-2433</t>
  </si>
  <si>
    <t>One Time Adjustment for Revised 2017 True Up TRR</t>
  </si>
  <si>
    <t>TO13/TO2020</t>
  </si>
  <si>
    <t>Changes to 2018</t>
  </si>
  <si>
    <t>*  The TO2021 One-Time Adjustment is equal to the TO13/TO2020 TUTRR Change, plus interest through December 31, 2018.</t>
  </si>
  <si>
    <t>TO2021</t>
  </si>
  <si>
    <t>One Time Adjustment for Revised 2018 True Up TRR</t>
  </si>
  <si>
    <t>2018</t>
  </si>
  <si>
    <t>Revised TO13 True Up TRR in TO2020 Filing</t>
  </si>
  <si>
    <t xml:space="preserve">One Time Adjustment for Revised 2018 True Up TRR </t>
  </si>
  <si>
    <t>(1) 2018 A&amp;G exclusion for outside counsel</t>
  </si>
  <si>
    <t xml:space="preserve">Filed TO2020 True Up TRR </t>
  </si>
  <si>
    <t>A&amp;G Exclusion</t>
  </si>
  <si>
    <t>TO2020 Annual Update - WP Schedule 3 - One Time Adj Prior Period, Page 37, Line 45.</t>
  </si>
  <si>
    <t>1/8 (O&amp;M + A&amp;G)</t>
  </si>
  <si>
    <t>TO2020 TUTRR</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</si>
  <si>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</si>
  <si>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</si>
  <si>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</si>
  <si>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Current Authorized PBOPs Expense Amount:</t>
  </si>
  <si>
    <t>Prior Year Authorized PBOPs Expense Amount:</t>
  </si>
  <si>
    <t>Authorized PBOPs Expense Amount during Prior Year</t>
  </si>
  <si>
    <t>3) Any penalties or fines.</t>
  </si>
  <si>
    <t>in accordance with the tariff protocols.  Accordingly, any amount different than the authorized PBOPs expense</t>
  </si>
  <si>
    <t>during the Prior Year is excluded from account 926 (see note 3). Docket or Decision approving authorized PBOPs amount:</t>
  </si>
  <si>
    <t>ER19-1226</t>
  </si>
  <si>
    <t>TO2020 Annual Update - WP Schedule 3 - One Time Adj Prior Period, Page 37, Line 45</t>
  </si>
  <si>
    <t>In preparing the TO2021 Draft Annual Update, SCE discovered that it had outside counsel expenses related to employment litigation or arbitration matters that were subsequently resolved by the Company which were not excluded.  The amount of expenses were overstated by $16,366, which should have been excluded in 2017.  As such, SCE is including an additional TO13 A&amp;G exclusion of $16,336 to remove these additional expenses.  SCE has incorporated this correction that changes the TO13 A&amp;G exclusions and the impact of this change is a decrease in the 2017 True Up TRR of $937.</t>
  </si>
  <si>
    <t>39a</t>
  </si>
  <si>
    <t>True Up Incentive Adder Reversal</t>
  </si>
  <si>
    <t>Negative of Line 39, Note 1</t>
  </si>
  <si>
    <t>Line 38 + Line 39 + Line 39a</t>
  </si>
  <si>
    <t>TO2020 Annual Update - Attachment 5, Schedule 4, Line 46</t>
  </si>
  <si>
    <t>Second Formula Rate ER18-169 Settlement</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</si>
  <si>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</si>
  <si>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</si>
  <si>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</si>
  <si>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27-Allocators, Line 5</t>
  </si>
  <si>
    <t>27-Allocators, Line 18</t>
  </si>
  <si>
    <t>TO2020 Annual Update Filing - Attachment 5 - Schedule 4 , Page 13, Line 46.</t>
  </si>
  <si>
    <t>In preparing the TO2021 Draft Annual Update, SCE discovered that it had outside counsel expenses related to employment litigation or arbitration matters that were subsequently resolved by the Company which were not excluded.  The amount of expenses were overstated by $21,685, which should have been excluded in 2018.  As such, SCE is including an additional TO2020 A&amp;G exclusion of $21,685 to remove these additional expenses.  SCE has incorporated this correction that changes the TO2020 A&amp;G exclusions and the impact of this change is a decrease in the 2018 True Up TRR of $1,275.</t>
  </si>
  <si>
    <t xml:space="preserve">Total One-Time Adj with Interest: </t>
  </si>
  <si>
    <t xml:space="preserve">Prior Year CWIP and Forecast Period Incremental CWIP by Project </t>
  </si>
  <si>
    <t>Prior Year CWIP is the amount of Construction Work In Progress for projects that have received Commission approval</t>
  </si>
  <si>
    <t>to include CWIP in Rate Base.</t>
  </si>
  <si>
    <t>1) Prior Year CWIP, Total and by Project</t>
  </si>
  <si>
    <t>Col 5</t>
  </si>
  <si>
    <t>Col 6</t>
  </si>
  <si>
    <t xml:space="preserve"> = Sum of all</t>
  </si>
  <si>
    <t>columns</t>
  </si>
  <si>
    <t>Devers to</t>
  </si>
  <si>
    <t>South of</t>
  </si>
  <si>
    <t>West of</t>
  </si>
  <si>
    <t>Line</t>
  </si>
  <si>
    <t>Total CWIP</t>
  </si>
  <si>
    <t>Tehachapi</t>
  </si>
  <si>
    <t>Colorado River</t>
  </si>
  <si>
    <t>Kramer</t>
  </si>
  <si>
    <t>Devers</t>
  </si>
  <si>
    <t>Red Bluff</t>
  </si>
  <si>
    <t xml:space="preserve">June </t>
  </si>
  <si>
    <t xml:space="preserve">October </t>
  </si>
  <si>
    <t>13 Month Averages:</t>
  </si>
  <si>
    <t>Col 7</t>
  </si>
  <si>
    <t>Col 8</t>
  </si>
  <si>
    <t>Col 9</t>
  </si>
  <si>
    <t>Col 10</t>
  </si>
  <si>
    <t>Col 11</t>
  </si>
  <si>
    <t>Col 12</t>
  </si>
  <si>
    <t xml:space="preserve">Colorado </t>
  </si>
  <si>
    <t>Whirlwind</t>
  </si>
  <si>
    <t>River</t>
  </si>
  <si>
    <t>Substation</t>
  </si>
  <si>
    <t>ELM</t>
  </si>
  <si>
    <t>Expansion</t>
  </si>
  <si>
    <t>Mesa</t>
  </si>
  <si>
    <t>Alberhill</t>
  </si>
  <si>
    <t>Series Caps</t>
  </si>
  <si>
    <t>---</t>
  </si>
  <si>
    <t>2) Total Forecast Period CWIP Expenditures (see Note 1)</t>
  </si>
  <si>
    <t>See Note 2</t>
  </si>
  <si>
    <t>Unloaded</t>
  </si>
  <si>
    <t>Forecast</t>
  </si>
  <si>
    <t>Corporate</t>
  </si>
  <si>
    <t xml:space="preserve">Total </t>
  </si>
  <si>
    <t>Total</t>
  </si>
  <si>
    <t>Prior Period</t>
  </si>
  <si>
    <t>Over Heads</t>
  </si>
  <si>
    <t>Forecast Period</t>
  </si>
  <si>
    <t>Expenditures</t>
  </si>
  <si>
    <t>Overheads</t>
  </si>
  <si>
    <t>CWIP Exp</t>
  </si>
  <si>
    <t>Plant Adds</t>
  </si>
  <si>
    <t>CWIP Closed</t>
  </si>
  <si>
    <t>Closed to PIS</t>
  </si>
  <si>
    <t>Period CWIP</t>
  </si>
  <si>
    <t>Incremental CWIP</t>
  </si>
  <si>
    <t>13-Month Averages:</t>
  </si>
  <si>
    <t>3) Forecast Period CWIP Expenditures by Project (see Note 1)</t>
  </si>
  <si>
    <t>3a) Project:</t>
  </si>
  <si>
    <t>= C1 * 
16-Plnt Add Line 74</t>
  </si>
  <si>
    <t>= C1 + C2</t>
  </si>
  <si>
    <t>= (C4 - C5) *
16-Plnt Add Line 74</t>
  </si>
  <si>
    <t>= Prior Month C7
+ C3 - C4 - C6</t>
  </si>
  <si>
    <t>= C7 - 
Dec Prior Year C7</t>
  </si>
  <si>
    <t>3b) Project:</t>
  </si>
  <si>
    <t>Devers to Colorado River</t>
  </si>
  <si>
    <t>3c) Project:</t>
  </si>
  <si>
    <t>South of Kramer</t>
  </si>
  <si>
    <t>3d) Project:</t>
  </si>
  <si>
    <t>West of Devers</t>
  </si>
  <si>
    <t>3e) Project:</t>
  </si>
  <si>
    <t>3f) Project:</t>
  </si>
  <si>
    <t>Whirlwind Substation Expansion</t>
  </si>
  <si>
    <t>Unload</t>
  </si>
  <si>
    <t>3g) Project:</t>
  </si>
  <si>
    <t>Colorado River Substation Expansion</t>
  </si>
  <si>
    <t>3h) Project:</t>
  </si>
  <si>
    <t>3i) Project:</t>
  </si>
  <si>
    <t>3j) Project:</t>
  </si>
  <si>
    <t>ELM Series Capacitors</t>
  </si>
  <si>
    <t>3k) Project:</t>
  </si>
  <si>
    <t>add additional projects below this line (See Instruction 3)</t>
  </si>
  <si>
    <t xml:space="preserve">1) Forecast Period is the calendar year two years after the Prior Year (i.e., PY+2).   </t>
  </si>
  <si>
    <t>2) Sum of project specific values from lines 55-79, 81-105, 107-131, 133-157, 159-183, 185-209, 211-235, 237-261, 263-287, 289-313,…</t>
  </si>
  <si>
    <t>1) Enter recorded amounts of CWIP during Prior Year on Lines 1-13, 15-27 (including December of year previous to Prior Year).</t>
  </si>
  <si>
    <t>2) Enter forecast project specific values on lines 55-79, 81-105, 107-131, 133-157, 159-183, 185-209, 211-235, 237-261, 263-287, 289-313,...</t>
  </si>
  <si>
    <t>3) If Commission approval is granted to include CWIP in Rate Base for additional projects, include additional tables for each of those additional projects.</t>
  </si>
  <si>
    <t>Total Adj</t>
  </si>
  <si>
    <t>2.</t>
  </si>
  <si>
    <t>D</t>
  </si>
  <si>
    <t>E</t>
  </si>
  <si>
    <t>G = C + F</t>
  </si>
  <si>
    <t>C = A + B</t>
  </si>
  <si>
    <t>F = D + E</t>
  </si>
  <si>
    <t>Total Adjustment</t>
  </si>
  <si>
    <t>Total One-Time Adjustment for 2018 Reflected in November TO2021 Filing</t>
  </si>
  <si>
    <t>Total One-Time Adjustment for 2017 through 2018 Reflected in November TO2021 Filing</t>
  </si>
  <si>
    <t>Total One-Time Adjustment for 2017 Reflected in the November TO2021 Filing</t>
  </si>
  <si>
    <t>During the discovery period in the TO2021 Annual Update, SCE discovered that it had miscalculated the CWIP balances related to the Mesa, Alberhill, and ELM CWIP incentive projects.  In 2017, Mesa's recorded balances increased by $334,124.  SCE has incorporated this correction that changes the TO13 CWIP recorded balances and the impact of this change is an increase in the 2017 True Up TRR of $4,498.</t>
  </si>
  <si>
    <t>During the discovery period in the TO2021 Annual Update, SCE discovered that it had miscalculated the CWIP balances related to the Mesa, Alberhill, and ELM CWIP incentive projects.  In 2018, Mesa, Alberhill and ELM's recorded balances increased by $456,731, $238,526 and $33,632.  SCE has incorporated these corrections that change the TO2020 CWIP recorded balances and the impact of this change is an increase in the 2018 True Up TRR of $52,901.</t>
  </si>
  <si>
    <t>(2) 2017 CWIP Balance Adjustment</t>
  </si>
  <si>
    <t>(2) 2018 CWIP Balance Adjustment</t>
  </si>
  <si>
    <t>CWIP Balance Adj</t>
  </si>
  <si>
    <t>6-PlantInService, Line 18</t>
  </si>
  <si>
    <t>6-PlantInService, Line 24</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</si>
  <si>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</si>
  <si>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</si>
  <si>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</si>
  <si>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</si>
  <si>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</si>
  <si>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</si>
  <si>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</si>
  <si>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</si>
  <si>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</si>
  <si>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</si>
  <si>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</si>
  <si>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</si>
  <si>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</si>
  <si>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</si>
  <si>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</si>
  <si>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</si>
  <si>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</si>
  <si>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</si>
  <si>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</si>
  <si>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</si>
  <si>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</si>
  <si>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</si>
  <si>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</si>
  <si>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</si>
  <si>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</si>
  <si>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13, C2</t>
  </si>
  <si>
    <t>22-NUCs, Line 9</t>
  </si>
  <si>
    <t>34-UnfundedReserves, Line 7</t>
  </si>
  <si>
    <t>23-RegAssets, Line 15</t>
  </si>
  <si>
    <t>35-PBOPs L 14</t>
  </si>
  <si>
    <t>15-IncentiveAdder L 20</t>
  </si>
  <si>
    <t>28-FFU, L 5</t>
  </si>
  <si>
    <t>1-Base TRR L 59</t>
  </si>
  <si>
    <t>1-Base TRR L 63</t>
  </si>
  <si>
    <t>1-Base TRR L 72</t>
  </si>
  <si>
    <t>1-Base TRR L 76</t>
  </si>
  <si>
    <t>1-Base TRR L 52</t>
  </si>
  <si>
    <t>1-Base TRR L 47 * Line d</t>
  </si>
  <si>
    <t>14-IncentivePlant, L 12, C2</t>
  </si>
  <si>
    <t>22-NUCs, Line 7</t>
  </si>
  <si>
    <t>27-Allocators, Line 9</t>
  </si>
  <si>
    <t>27-Allocators, Line 22</t>
  </si>
  <si>
    <t>Revised TO13 True Up TRR in TO2021 Filing</t>
  </si>
  <si>
    <r>
      <t>TO2021 Annual Filing - WP Schedule 3 - One Time Adj Prior Period, Page</t>
    </r>
    <r>
      <rPr>
        <sz val="11"/>
        <rFont val="Calibri"/>
        <family val="2"/>
        <scheme val="minor"/>
      </rPr>
      <t xml:space="preserve"> 5</t>
    </r>
    <r>
      <rPr>
        <sz val="11"/>
        <color theme="1"/>
        <rFont val="Calibri"/>
        <family val="2"/>
        <scheme val="minor"/>
      </rPr>
      <t>, Line 45.</t>
    </r>
  </si>
  <si>
    <t>Revised TO2020 True Up TRR in TO2021 Filing</t>
  </si>
  <si>
    <r>
      <t>TO2021 Annual Update Filing - WP Schedule 3 - One Time Adj Prior Period, Page</t>
    </r>
    <r>
      <rPr>
        <sz val="11"/>
        <rFont val="Calibri"/>
        <family val="2"/>
        <scheme val="minor"/>
      </rPr>
      <t xml:space="preserve"> 12</t>
    </r>
    <r>
      <rPr>
        <sz val="11"/>
        <color theme="1"/>
        <rFont val="Calibri"/>
        <family val="2"/>
        <scheme val="minor"/>
      </rPr>
      <t>, Line 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</si>
</sst>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s>
  <fonts count="7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trike/>
      <sz val="10"/>
      <color rgb="FFFF0000"/>
      <name val="Arial"/>
      <family val="2"/>
    </font>
    <font>
      <b/>
      <sz val="10"/>
      <color rgb="FFFF0000"/>
      <name val="Arial"/>
      <family val="2"/>
    </font>
    <font>
      <b/>
      <sz val="8"/>
      <color indexed="81"/>
      <name val="Tahoma"/>
      <family val="2"/>
    </font>
  </fonts>
  <fills count="40">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s>
  <borders count="36">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
      <left style="thick">
        <color rgb="FFFF0000"/>
      </left>
      <right style="thick">
        <color rgb="FFFF0000"/>
      </right>
      <top style="thick">
        <color rgb="FFFF0000"/>
      </top>
      <bottom style="thick">
        <color rgb="FFFF0000"/>
      </bottom>
      <diagonal/>
    </border>
    <border>
      <left style="medium">
        <color rgb="FFFF0000"/>
      </left>
      <right/>
      <top/>
      <bottom/>
      <diagonal/>
    </border>
    <border>
      <left/>
      <right style="medium">
        <color indexed="64"/>
      </right>
      <top/>
      <bottom style="medium">
        <color auto="1"/>
      </bottom>
      <diagonal/>
    </border>
    <border>
      <left style="medium">
        <color rgb="FFFF0000"/>
      </left>
      <right/>
      <top/>
      <bottom style="medium">
        <color rgb="FFFF0000"/>
      </bottom>
      <diagonal/>
    </border>
  </borders>
  <cellStyleXfs count="229">
    <xf numFmtId="0" fontId="0" fillId="0" borderId="0"/>
    <xf numFmtId="0" fontId="29" fillId="8" borderId="0" applyNumberFormat="0" applyBorder="0" applyAlignment="0" applyProtection="0"/>
    <xf numFmtId="0" fontId="29" fillId="9" borderId="0" applyNumberFormat="0" applyBorder="0" applyAlignment="0" applyProtection="0"/>
    <xf numFmtId="0" fontId="30" fillId="10"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30" fillId="1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20" borderId="0" applyNumberFormat="0" applyBorder="0" applyAlignment="0" applyProtection="0"/>
    <xf numFmtId="0" fontId="29" fillId="13" borderId="0" applyNumberFormat="0" applyBorder="0" applyAlignment="0" applyProtection="0"/>
    <xf numFmtId="0" fontId="30" fillId="21" borderId="0" applyNumberFormat="0" applyBorder="0" applyAlignment="0" applyProtection="0"/>
    <xf numFmtId="43"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9" fontId="35" fillId="0" borderId="0" applyFont="0" applyFill="0" applyBorder="0" applyAlignment="0" applyProtection="0"/>
    <xf numFmtId="9" fontId="27" fillId="0" borderId="0" applyFont="0" applyFill="0" applyBorder="0" applyAlignment="0" applyProtection="0"/>
    <xf numFmtId="4" fontId="34" fillId="25" borderId="1" applyNumberFormat="0" applyProtection="0">
      <alignment vertical="center"/>
    </xf>
    <xf numFmtId="4" fontId="36" fillId="25" borderId="1" applyNumberFormat="0" applyProtection="0">
      <alignment vertical="center"/>
    </xf>
    <xf numFmtId="4" fontId="34" fillId="25" borderId="1" applyNumberFormat="0" applyProtection="0">
      <alignment horizontal="left" vertical="center" indent="1"/>
    </xf>
    <xf numFmtId="0" fontId="34" fillId="25" borderId="1" applyNumberFormat="0" applyProtection="0">
      <alignment horizontal="left" vertical="top" indent="1"/>
    </xf>
    <xf numFmtId="4" fontId="34" fillId="27" borderId="0" applyNumberFormat="0" applyProtection="0">
      <alignment horizontal="left" vertical="center" indent="1"/>
    </xf>
    <xf numFmtId="4" fontId="32" fillId="2" borderId="1" applyNumberFormat="0" applyProtection="0">
      <alignment horizontal="right" vertical="center"/>
    </xf>
    <xf numFmtId="4" fontId="32" fillId="4" borderId="1" applyNumberFormat="0" applyProtection="0">
      <alignment horizontal="right" vertical="center"/>
    </xf>
    <xf numFmtId="4" fontId="32" fillId="11" borderId="1" applyNumberFormat="0" applyProtection="0">
      <alignment horizontal="right" vertical="center"/>
    </xf>
    <xf numFmtId="4" fontId="32" fillId="6" borderId="1" applyNumberFormat="0" applyProtection="0">
      <alignment horizontal="right" vertical="center"/>
    </xf>
    <xf numFmtId="4" fontId="32" fillId="7" borderId="1" applyNumberFormat="0" applyProtection="0">
      <alignment horizontal="right" vertical="center"/>
    </xf>
    <xf numFmtId="4" fontId="32" fillId="19" borderId="1" applyNumberFormat="0" applyProtection="0">
      <alignment horizontal="right" vertical="center"/>
    </xf>
    <xf numFmtId="4" fontId="32" fillId="15" borderId="1" applyNumberFormat="0" applyProtection="0">
      <alignment horizontal="right" vertical="center"/>
    </xf>
    <xf numFmtId="4" fontId="32" fillId="28" borderId="1" applyNumberFormat="0" applyProtection="0">
      <alignment horizontal="right" vertical="center"/>
    </xf>
    <xf numFmtId="4" fontId="32" fillId="5" borderId="1" applyNumberFormat="0" applyProtection="0">
      <alignment horizontal="right" vertical="center"/>
    </xf>
    <xf numFmtId="4" fontId="34" fillId="29" borderId="2" applyNumberFormat="0" applyProtection="0">
      <alignment horizontal="left" vertical="center" indent="1"/>
    </xf>
    <xf numFmtId="4" fontId="32" fillId="30" borderId="0" applyNumberFormat="0" applyProtection="0">
      <alignment horizontal="left" vertical="center" indent="1"/>
    </xf>
    <xf numFmtId="4" fontId="37" fillId="31" borderId="0" applyNumberFormat="0" applyProtection="0">
      <alignment horizontal="left" vertical="center" indent="1"/>
    </xf>
    <xf numFmtId="4" fontId="32" fillId="27" borderId="1" applyNumberFormat="0" applyProtection="0">
      <alignment horizontal="right" vertical="center"/>
    </xf>
    <xf numFmtId="4" fontId="32" fillId="30" borderId="0" applyNumberFormat="0" applyProtection="0">
      <alignment horizontal="left" vertical="center" indent="1"/>
    </xf>
    <xf numFmtId="4" fontId="32" fillId="27" borderId="0" applyNumberFormat="0" applyProtection="0">
      <alignment horizontal="left" vertical="center" indent="1"/>
    </xf>
    <xf numFmtId="0" fontId="27" fillId="31" borderId="1" applyNumberFormat="0" applyProtection="0">
      <alignment horizontal="left" vertical="center" indent="1"/>
    </xf>
    <xf numFmtId="0" fontId="27" fillId="31" borderId="1" applyNumberFormat="0" applyProtection="0">
      <alignment horizontal="left" vertical="top" indent="1"/>
    </xf>
    <xf numFmtId="0" fontId="27" fillId="27" borderId="1" applyNumberFormat="0" applyProtection="0">
      <alignment horizontal="left" vertical="center" indent="1"/>
    </xf>
    <xf numFmtId="0" fontId="27" fillId="27" borderId="1" applyNumberFormat="0" applyProtection="0">
      <alignment horizontal="left" vertical="top" indent="1"/>
    </xf>
    <xf numFmtId="0" fontId="27" fillId="3" borderId="1" applyNumberFormat="0" applyProtection="0">
      <alignment horizontal="left" vertical="center" indent="1"/>
    </xf>
    <xf numFmtId="0" fontId="27" fillId="3" borderId="1" applyNumberFormat="0" applyProtection="0">
      <alignment horizontal="left" vertical="top" indent="1"/>
    </xf>
    <xf numFmtId="0" fontId="27" fillId="30" borderId="1" applyNumberFormat="0" applyProtection="0">
      <alignment horizontal="left" vertical="center" indent="1"/>
    </xf>
    <xf numFmtId="0" fontId="27" fillId="30" borderId="1" applyNumberFormat="0" applyProtection="0">
      <alignment horizontal="left" vertical="top" indent="1"/>
    </xf>
    <xf numFmtId="0" fontId="27" fillId="32" borderId="3" applyNumberFormat="0">
      <protection locked="0"/>
    </xf>
    <xf numFmtId="4" fontId="32" fillId="26" borderId="1" applyNumberFormat="0" applyProtection="0">
      <alignment vertical="center"/>
    </xf>
    <xf numFmtId="4" fontId="38" fillId="26" borderId="1" applyNumberFormat="0" applyProtection="0">
      <alignment vertical="center"/>
    </xf>
    <xf numFmtId="4" fontId="32" fillId="26" borderId="1" applyNumberFormat="0" applyProtection="0">
      <alignment horizontal="left" vertical="center" indent="1"/>
    </xf>
    <xf numFmtId="0" fontId="32" fillId="26" borderId="1" applyNumberFormat="0" applyProtection="0">
      <alignment horizontal="left" vertical="top" indent="1"/>
    </xf>
    <xf numFmtId="4" fontId="32" fillId="30" borderId="1" applyNumberFormat="0" applyProtection="0">
      <alignment horizontal="right" vertical="center"/>
    </xf>
    <xf numFmtId="4" fontId="38" fillId="30" borderId="1" applyNumberFormat="0" applyProtection="0">
      <alignment horizontal="right" vertical="center"/>
    </xf>
    <xf numFmtId="4" fontId="32" fillId="27" borderId="1" applyNumberFormat="0" applyProtection="0">
      <alignment horizontal="left" vertical="center" indent="1"/>
    </xf>
    <xf numFmtId="0" fontId="32" fillId="27" borderId="1" applyNumberFormat="0" applyProtection="0">
      <alignment horizontal="left" vertical="top" indent="1"/>
    </xf>
    <xf numFmtId="4" fontId="39" fillId="33" borderId="0" applyNumberFormat="0" applyProtection="0">
      <alignment horizontal="left" vertical="center" indent="1"/>
    </xf>
    <xf numFmtId="4" fontId="33" fillId="30" borderId="1" applyNumberFormat="0" applyProtection="0">
      <alignment horizontal="right" vertical="center"/>
    </xf>
    <xf numFmtId="0" fontId="40" fillId="0" borderId="0" applyNumberFormat="0" applyFill="0" applyBorder="0" applyAlignment="0" applyProtection="0"/>
    <xf numFmtId="0" fontId="25" fillId="0" borderId="0"/>
    <xf numFmtId="0" fontId="24" fillId="0" borderId="0"/>
    <xf numFmtId="0" fontId="24" fillId="0" borderId="0"/>
    <xf numFmtId="165" fontId="25" fillId="0" borderId="0" applyFont="0" applyFill="0" applyBorder="0" applyAlignment="0" applyProtection="0"/>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0" fontId="45"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0" fontId="23" fillId="0" borderId="0"/>
    <xf numFmtId="0" fontId="23" fillId="0" borderId="0"/>
    <xf numFmtId="0" fontId="22" fillId="0" borderId="0"/>
    <xf numFmtId="0" fontId="22"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25" fillId="0" borderId="0"/>
    <xf numFmtId="0" fontId="25" fillId="0" borderId="0"/>
    <xf numFmtId="0" fontId="25" fillId="0" borderId="0"/>
    <xf numFmtId="0" fontId="35" fillId="0" borderId="0"/>
    <xf numFmtId="0" fontId="35" fillId="0" borderId="0"/>
    <xf numFmtId="0" fontId="35" fillId="0" borderId="0"/>
    <xf numFmtId="0" fontId="35" fillId="0" borderId="0"/>
    <xf numFmtId="0" fontId="35" fillId="0" borderId="0"/>
    <xf numFmtId="43" fontId="42" fillId="0" borderId="0" applyFont="0" applyFill="0" applyBorder="0" applyAlignment="0" applyProtection="0"/>
    <xf numFmtId="9" fontId="25" fillId="0" borderId="0" applyFont="0" applyFill="0" applyBorder="0" applyAlignment="0" applyProtection="0"/>
    <xf numFmtId="0" fontId="25" fillId="0" borderId="0"/>
    <xf numFmtId="0" fontId="18" fillId="0" borderId="0"/>
    <xf numFmtId="0" fontId="18" fillId="0" borderId="0"/>
    <xf numFmtId="0" fontId="18" fillId="0" borderId="0"/>
    <xf numFmtId="43"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9" fontId="17" fillId="0" borderId="0" applyFont="0" applyFill="0" applyBorder="0" applyAlignment="0" applyProtection="0"/>
    <xf numFmtId="0" fontId="16" fillId="0" borderId="0"/>
    <xf numFmtId="43" fontId="16" fillId="0" borderId="0" applyFont="0" applyFill="0" applyBorder="0" applyAlignment="0" applyProtection="0"/>
    <xf numFmtId="9" fontId="16" fillId="0" borderId="0" applyFont="0" applyFill="0" applyBorder="0" applyAlignment="0" applyProtection="0"/>
    <xf numFmtId="4" fontId="34" fillId="29" borderId="8" applyNumberFormat="0" applyProtection="0">
      <alignment horizontal="left" vertical="center" indent="1"/>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14" fillId="0" borderId="0"/>
    <xf numFmtId="0" fontId="14" fillId="0" borderId="0"/>
    <xf numFmtId="0" fontId="46" fillId="0" borderId="0"/>
    <xf numFmtId="43" fontId="25" fillId="0" borderId="0" applyFont="0" applyFill="0" applyBorder="0" applyAlignment="0" applyProtection="0"/>
    <xf numFmtId="43" fontId="49"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0" fontId="13" fillId="0" borderId="0"/>
    <xf numFmtId="44" fontId="58" fillId="0" borderId="0" applyFont="0" applyFill="0" applyBorder="0" applyAlignment="0" applyProtection="0"/>
    <xf numFmtId="0" fontId="12" fillId="0" borderId="0"/>
    <xf numFmtId="9" fontId="12" fillId="0" borderId="0" applyFont="0" applyFill="0" applyBorder="0" applyAlignment="0" applyProtection="0"/>
    <xf numFmtId="43" fontId="12" fillId="0" borderId="0" applyFont="0" applyFill="0" applyBorder="0" applyAlignment="0" applyProtection="0"/>
    <xf numFmtId="44" fontId="25" fillId="0" borderId="0" applyFont="0" applyFill="0" applyBorder="0" applyAlignment="0" applyProtection="0"/>
    <xf numFmtId="0" fontId="11" fillId="0" borderId="0"/>
    <xf numFmtId="0" fontId="11" fillId="0" borderId="0"/>
    <xf numFmtId="0" fontId="10" fillId="0" borderId="0"/>
    <xf numFmtId="43" fontId="10" fillId="0" borderId="0" applyFont="0" applyFill="0" applyBorder="0" applyAlignment="0" applyProtection="0"/>
    <xf numFmtId="0" fontId="8" fillId="0" borderId="0"/>
    <xf numFmtId="43" fontId="8" fillId="0" borderId="0" applyFont="0" applyFill="0" applyBorder="0" applyAlignment="0" applyProtection="0"/>
    <xf numFmtId="0" fontId="4" fillId="0" borderId="0"/>
    <xf numFmtId="43" fontId="4" fillId="0" borderId="0" applyFont="0" applyFill="0" applyBorder="0" applyAlignment="0" applyProtection="0"/>
  </cellStyleXfs>
  <cellXfs count="302">
    <xf numFmtId="0" fontId="0" fillId="0" borderId="0" xfId="0"/>
    <xf numFmtId="0" fontId="16" fillId="0" borderId="0" xfId="157"/>
    <xf numFmtId="0" fontId="41" fillId="35" borderId="4" xfId="157" applyFont="1" applyFill="1" applyBorder="1"/>
    <xf numFmtId="0" fontId="16" fillId="35" borderId="5" xfId="157" applyFill="1" applyBorder="1"/>
    <xf numFmtId="0" fontId="16" fillId="0" borderId="0" xfId="157" applyBorder="1"/>
    <xf numFmtId="0" fontId="26" fillId="0" borderId="0" xfId="157" applyFont="1" applyBorder="1" applyAlignment="1">
      <alignment horizontal="center"/>
    </xf>
    <xf numFmtId="0" fontId="28" fillId="0" borderId="0" xfId="157" quotePrefix="1" applyFont="1" applyBorder="1" applyAlignment="1">
      <alignment horizontal="center"/>
    </xf>
    <xf numFmtId="0" fontId="28" fillId="0" borderId="7" xfId="157" quotePrefix="1" applyFont="1" applyBorder="1" applyAlignment="1">
      <alignment horizontal="center"/>
    </xf>
    <xf numFmtId="0" fontId="41" fillId="0" borderId="0" xfId="157" applyFont="1" applyBorder="1" applyAlignment="1">
      <alignment horizontal="center" vertical="top" wrapText="1"/>
    </xf>
    <xf numFmtId="0" fontId="42" fillId="0" borderId="0" xfId="157" applyFont="1" applyBorder="1"/>
    <xf numFmtId="0" fontId="26" fillId="0" borderId="7" xfId="157" applyFont="1" applyBorder="1" applyAlignment="1">
      <alignment horizontal="center"/>
    </xf>
    <xf numFmtId="0" fontId="41" fillId="0" borderId="0" xfId="157" applyFont="1" applyBorder="1" applyAlignment="1">
      <alignment horizontal="center"/>
    </xf>
    <xf numFmtId="0" fontId="43" fillId="0" borderId="0" xfId="157" applyFont="1" applyBorder="1" applyAlignment="1">
      <alignment horizontal="center"/>
    </xf>
    <xf numFmtId="0" fontId="16" fillId="0" borderId="6" xfId="157" applyBorder="1"/>
    <xf numFmtId="10" fontId="0" fillId="0" borderId="0" xfId="159" applyNumberFormat="1" applyFont="1" applyBorder="1"/>
    <xf numFmtId="164" fontId="42" fillId="34" borderId="0" xfId="157" applyNumberFormat="1" applyFont="1" applyFill="1" applyBorder="1"/>
    <xf numFmtId="164" fontId="42" fillId="0" borderId="0" xfId="157" applyNumberFormat="1" applyFont="1" applyBorder="1" applyAlignment="1">
      <alignment horizontal="right"/>
    </xf>
    <xf numFmtId="164" fontId="42" fillId="0" borderId="7" xfId="157" applyNumberFormat="1" applyFont="1" applyBorder="1" applyAlignment="1">
      <alignment horizontal="right"/>
    </xf>
    <xf numFmtId="0" fontId="41" fillId="0" borderId="0" xfId="157" applyFont="1" applyAlignment="1">
      <alignment horizontal="center"/>
    </xf>
    <xf numFmtId="0" fontId="41" fillId="0" borderId="0" xfId="157" applyFont="1"/>
    <xf numFmtId="0" fontId="26" fillId="0" borderId="0" xfId="157" applyFont="1" applyAlignment="1">
      <alignment horizontal="center"/>
    </xf>
    <xf numFmtId="0" fontId="16" fillId="0" borderId="0" xfId="157" quotePrefix="1"/>
    <xf numFmtId="164" fontId="16" fillId="0" borderId="0" xfId="157" applyNumberFormat="1"/>
    <xf numFmtId="0" fontId="16" fillId="0" borderId="0" xfId="157" applyAlignment="1">
      <alignment horizontal="right"/>
    </xf>
    <xf numFmtId="164" fontId="16" fillId="0" borderId="0" xfId="157" applyNumberFormat="1" applyFont="1"/>
    <xf numFmtId="0" fontId="28" fillId="0" borderId="0" xfId="157" applyFont="1" applyBorder="1" applyAlignment="1">
      <alignment horizontal="center" vertical="top"/>
    </xf>
    <xf numFmtId="0" fontId="44" fillId="0" borderId="0" xfId="157" applyFont="1" applyBorder="1" applyAlignment="1">
      <alignment horizontal="center" vertical="top"/>
    </xf>
    <xf numFmtId="0" fontId="44" fillId="0" borderId="6" xfId="157" applyFont="1" applyBorder="1" applyAlignment="1">
      <alignment horizontal="center" vertical="top"/>
    </xf>
    <xf numFmtId="0" fontId="28" fillId="0" borderId="7" xfId="157" applyFont="1" applyBorder="1" applyAlignment="1">
      <alignment horizontal="center" vertical="top"/>
    </xf>
    <xf numFmtId="0" fontId="41" fillId="35" borderId="12" xfId="157" applyFont="1" applyFill="1" applyBorder="1"/>
    <xf numFmtId="0" fontId="16" fillId="35" borderId="13" xfId="157" applyFill="1" applyBorder="1"/>
    <xf numFmtId="0" fontId="51" fillId="36" borderId="0" xfId="209" applyFont="1" applyFill="1" applyBorder="1" applyAlignment="1">
      <alignment vertical="top"/>
    </xf>
    <xf numFmtId="0" fontId="50" fillId="0" borderId="9" xfId="157" applyFont="1" applyBorder="1" applyAlignment="1"/>
    <xf numFmtId="0" fontId="50" fillId="0" borderId="10" xfId="157" applyFont="1" applyBorder="1" applyAlignment="1"/>
    <xf numFmtId="0" fontId="16" fillId="0" borderId="12" xfId="157" applyBorder="1"/>
    <xf numFmtId="0" fontId="16" fillId="0" borderId="13" xfId="157" applyBorder="1"/>
    <xf numFmtId="0" fontId="26" fillId="0" borderId="13" xfId="157" applyFont="1" applyBorder="1" applyAlignment="1">
      <alignment horizontal="center"/>
    </xf>
    <xf numFmtId="0" fontId="28" fillId="0" borderId="13" xfId="157" quotePrefix="1" applyFont="1" applyBorder="1" applyAlignment="1">
      <alignment horizontal="center"/>
    </xf>
    <xf numFmtId="0" fontId="28" fillId="0" borderId="14" xfId="157" quotePrefix="1" applyFont="1" applyBorder="1" applyAlignment="1">
      <alignment horizontal="center"/>
    </xf>
    <xf numFmtId="166" fontId="16" fillId="0" borderId="0" xfId="211" applyNumberFormat="1" applyFont="1"/>
    <xf numFmtId="0" fontId="26" fillId="0" borderId="0" xfId="93" applyFont="1" applyAlignment="1">
      <alignment horizontal="center"/>
    </xf>
    <xf numFmtId="0" fontId="59" fillId="36" borderId="0" xfId="209" applyFont="1" applyFill="1" applyBorder="1" applyAlignment="1">
      <alignment horizontal="left" vertical="top"/>
    </xf>
    <xf numFmtId="0" fontId="59" fillId="36" borderId="0" xfId="209" applyFont="1" applyFill="1" applyBorder="1" applyAlignment="1">
      <alignment horizontal="left" vertical="top" wrapText="1"/>
    </xf>
    <xf numFmtId="0" fontId="59" fillId="36" borderId="0" xfId="209" applyFont="1" applyFill="1" applyBorder="1" applyAlignment="1">
      <alignment horizontal="center" vertical="center"/>
    </xf>
    <xf numFmtId="171" fontId="59" fillId="0" borderId="0" xfId="216" applyNumberFormat="1" applyFont="1" applyFill="1" applyBorder="1" applyAlignment="1">
      <alignment horizontal="left" vertical="center"/>
    </xf>
    <xf numFmtId="171" fontId="60" fillId="0" borderId="0" xfId="216" applyNumberFormat="1" applyFont="1" applyFill="1" applyBorder="1" applyAlignment="1">
      <alignment horizontal="center" vertical="center"/>
    </xf>
    <xf numFmtId="171" fontId="60" fillId="0" borderId="0" xfId="216" applyNumberFormat="1" applyFont="1" applyFill="1" applyBorder="1" applyAlignment="1">
      <alignment horizontal="center" vertical="center" wrapText="1"/>
    </xf>
    <xf numFmtId="0" fontId="48" fillId="36" borderId="0" xfId="209" applyFont="1" applyFill="1" applyBorder="1" applyAlignment="1">
      <alignment horizontal="left" vertical="top"/>
    </xf>
    <xf numFmtId="164" fontId="25" fillId="0" borderId="0" xfId="157" applyNumberFormat="1" applyFont="1" applyFill="1" applyBorder="1" applyAlignment="1">
      <alignment horizontal="center" vertical="center"/>
    </xf>
    <xf numFmtId="164" fontId="42" fillId="34" borderId="6" xfId="157" applyNumberFormat="1" applyFont="1" applyFill="1" applyBorder="1"/>
    <xf numFmtId="0" fontId="41" fillId="0" borderId="0" xfId="157" applyFont="1" applyFill="1" applyBorder="1" applyAlignment="1">
      <alignment horizontal="right"/>
    </xf>
    <xf numFmtId="164" fontId="41" fillId="0" borderId="7" xfId="157" applyNumberFormat="1" applyFont="1" applyFill="1" applyBorder="1"/>
    <xf numFmtId="0" fontId="16" fillId="0" borderId="0" xfId="157" applyFill="1"/>
    <xf numFmtId="0" fontId="63" fillId="36" borderId="0" xfId="209" applyFont="1" applyFill="1" applyBorder="1" applyAlignment="1">
      <alignment horizontal="center" vertical="center"/>
    </xf>
    <xf numFmtId="0" fontId="41" fillId="0" borderId="0" xfId="157" applyFont="1" applyFill="1" applyBorder="1"/>
    <xf numFmtId="0" fontId="16" fillId="0" borderId="10" xfId="157" applyBorder="1"/>
    <xf numFmtId="0" fontId="59" fillId="0" borderId="0" xfId="209" applyFont="1" applyFill="1" applyBorder="1" applyAlignment="1">
      <alignment horizontal="left" vertical="top"/>
    </xf>
    <xf numFmtId="0" fontId="59" fillId="0" borderId="0" xfId="209" applyFont="1" applyFill="1" applyBorder="1" applyAlignment="1">
      <alignment horizontal="center" vertical="center"/>
    </xf>
    <xf numFmtId="0" fontId="48" fillId="0" borderId="0" xfId="209" quotePrefix="1" applyFont="1" applyFill="1" applyBorder="1" applyAlignment="1">
      <alignment horizontal="right" vertical="top"/>
    </xf>
    <xf numFmtId="0" fontId="48" fillId="0" borderId="0" xfId="209" applyFont="1" applyFill="1" applyBorder="1" applyAlignment="1">
      <alignment vertical="top" wrapText="1"/>
    </xf>
    <xf numFmtId="0" fontId="60" fillId="0" borderId="0" xfId="209" applyFont="1" applyFill="1" applyBorder="1" applyAlignment="1">
      <alignment horizontal="center" vertical="center" wrapText="1"/>
    </xf>
    <xf numFmtId="164" fontId="26" fillId="0" borderId="0" xfId="157" applyNumberFormat="1" applyFont="1" applyFill="1" applyBorder="1" applyAlignment="1">
      <alignment horizontal="center" vertical="center"/>
    </xf>
    <xf numFmtId="0" fontId="48" fillId="36" borderId="0" xfId="209" applyFont="1" applyFill="1" applyBorder="1" applyAlignment="1">
      <alignment horizontal="left" vertical="top" wrapText="1"/>
    </xf>
    <xf numFmtId="0" fontId="16" fillId="0" borderId="6" xfId="157" applyFill="1" applyBorder="1"/>
    <xf numFmtId="0" fontId="16" fillId="0" borderId="0" xfId="157" applyFill="1" applyBorder="1"/>
    <xf numFmtId="164" fontId="41" fillId="0" borderId="0" xfId="157" applyNumberFormat="1" applyFont="1" applyFill="1" applyBorder="1"/>
    <xf numFmtId="164" fontId="41" fillId="0" borderId="6" xfId="157" applyNumberFormat="1" applyFont="1" applyFill="1" applyBorder="1"/>
    <xf numFmtId="0" fontId="60" fillId="0" borderId="0" xfId="209" quotePrefix="1" applyFont="1" applyFill="1" applyBorder="1" applyAlignment="1">
      <alignment horizontal="center" vertical="center" wrapText="1"/>
    </xf>
    <xf numFmtId="0" fontId="59" fillId="0" borderId="10" xfId="209" applyFont="1" applyFill="1" applyBorder="1" applyAlignment="1">
      <alignment horizontal="left" vertical="top"/>
    </xf>
    <xf numFmtId="0" fontId="60" fillId="0" borderId="10" xfId="209" applyFont="1" applyFill="1" applyBorder="1" applyAlignment="1">
      <alignment horizontal="center" vertical="center"/>
    </xf>
    <xf numFmtId="164" fontId="53" fillId="34" borderId="0" xfId="93" applyNumberFormat="1" applyFont="1" applyFill="1"/>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0" fontId="59" fillId="0" borderId="0" xfId="209" applyFont="1" applyFill="1" applyBorder="1" applyAlignment="1">
      <alignment horizontal="left" vertical="top" wrapText="1"/>
    </xf>
    <xf numFmtId="0" fontId="48" fillId="0" borderId="0" xfId="209" applyFont="1" applyFill="1" applyBorder="1" applyAlignment="1">
      <alignment horizontal="left" vertical="top"/>
    </xf>
    <xf numFmtId="0" fontId="48" fillId="0" borderId="0" xfId="209" applyFont="1" applyFill="1" applyBorder="1" applyAlignment="1">
      <alignment horizontal="center" vertical="top" wrapText="1"/>
    </xf>
    <xf numFmtId="0" fontId="59" fillId="0" borderId="0" xfId="209" applyFont="1" applyFill="1" applyBorder="1" applyAlignment="1">
      <alignment horizontal="center" vertical="center" wrapText="1"/>
    </xf>
    <xf numFmtId="164" fontId="26" fillId="0" borderId="10" xfId="157" applyNumberFormat="1" applyFont="1" applyFill="1" applyBorder="1" applyAlignment="1">
      <alignment horizontal="center" vertical="center"/>
    </xf>
    <xf numFmtId="164" fontId="26" fillId="0" borderId="11" xfId="157" applyNumberFormat="1" applyFont="1" applyFill="1" applyBorder="1" applyAlignment="1">
      <alignment horizontal="center" vertical="center"/>
    </xf>
    <xf numFmtId="164" fontId="59" fillId="36" borderId="0" xfId="209" applyNumberFormat="1" applyFont="1" applyFill="1" applyBorder="1" applyAlignment="1">
      <alignment horizontal="left" vertical="top"/>
    </xf>
    <xf numFmtId="164" fontId="42" fillId="0" borderId="0" xfId="157" applyNumberFormat="1" applyFont="1" applyFill="1" applyBorder="1" applyAlignment="1">
      <alignment horizontal="right"/>
    </xf>
    <xf numFmtId="10" fontId="0" fillId="0" borderId="0" xfId="159" applyNumberFormat="1" applyFont="1" applyFill="1" applyBorder="1"/>
    <xf numFmtId="0" fontId="9" fillId="0" borderId="0" xfId="157" quotePrefix="1" applyFont="1" applyBorder="1" applyAlignment="1">
      <alignment horizontal="center"/>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0" fontId="8" fillId="0" borderId="0" xfId="225" applyFont="1"/>
    <xf numFmtId="0" fontId="41" fillId="38" borderId="3" xfId="225" applyFont="1" applyFill="1" applyBorder="1" applyAlignment="1">
      <alignment horizontal="center"/>
    </xf>
    <xf numFmtId="0" fontId="8" fillId="0" borderId="0" xfId="225" applyFont="1" applyFill="1"/>
    <xf numFmtId="166" fontId="8" fillId="0" borderId="30" xfId="225" applyNumberFormat="1" applyFont="1" applyFill="1" applyBorder="1"/>
    <xf numFmtId="166" fontId="62" fillId="0" borderId="29" xfId="226" applyNumberFormat="1" applyFont="1" applyFill="1" applyBorder="1"/>
    <xf numFmtId="166" fontId="41" fillId="0" borderId="31" xfId="225" applyNumberFormat="1" applyFont="1" applyFill="1" applyBorder="1"/>
    <xf numFmtId="0" fontId="7" fillId="0" borderId="0" xfId="157" quotePrefix="1" applyFont="1" applyBorder="1" applyAlignment="1">
      <alignment horizontal="center"/>
    </xf>
    <xf numFmtId="0" fontId="26" fillId="0" borderId="0" xfId="118" applyFont="1"/>
    <xf numFmtId="0" fontId="25" fillId="0" borderId="0" xfId="118"/>
    <xf numFmtId="0" fontId="26" fillId="0" borderId="0" xfId="118" applyFont="1" applyAlignment="1">
      <alignment horizontal="left"/>
    </xf>
    <xf numFmtId="0" fontId="26" fillId="0" borderId="0" xfId="118" applyFont="1" applyAlignment="1">
      <alignment horizontal="left" indent="1"/>
    </xf>
    <xf numFmtId="0" fontId="26" fillId="0" borderId="0" xfId="118" applyFont="1" applyAlignment="1">
      <alignment horizontal="center"/>
    </xf>
    <xf numFmtId="0" fontId="28" fillId="0" borderId="0" xfId="118" applyFont="1" applyAlignment="1">
      <alignment horizontal="left"/>
    </xf>
    <xf numFmtId="0" fontId="25" fillId="0" borderId="0" xfId="118" applyAlignment="1">
      <alignment horizontal="left" indent="1"/>
    </xf>
    <xf numFmtId="0" fontId="28" fillId="0" borderId="0" xfId="118" applyFont="1"/>
    <xf numFmtId="0" fontId="28" fillId="0" borderId="0" xfId="118" applyFont="1" applyAlignment="1">
      <alignment horizontal="center"/>
    </xf>
    <xf numFmtId="0" fontId="25" fillId="0" borderId="0" xfId="118" applyAlignment="1">
      <alignment horizontal="left"/>
    </xf>
    <xf numFmtId="164" fontId="25" fillId="0" borderId="0" xfId="118" applyNumberFormat="1"/>
    <xf numFmtId="0" fontId="53" fillId="0" borderId="0" xfId="118" applyFont="1"/>
    <xf numFmtId="164" fontId="53" fillId="37" borderId="0" xfId="118" applyNumberFormat="1" applyFont="1" applyFill="1"/>
    <xf numFmtId="164" fontId="25" fillId="37" borderId="0" xfId="118" applyNumberFormat="1" applyFill="1"/>
    <xf numFmtId="0" fontId="53" fillId="0" borderId="0" xfId="118" applyFont="1" applyAlignment="1">
      <alignment horizontal="left"/>
    </xf>
    <xf numFmtId="0" fontId="26" fillId="0" borderId="0" xfId="93" applyFont="1" applyAlignment="1">
      <alignment horizontal="left"/>
    </xf>
    <xf numFmtId="164" fontId="53" fillId="0" borderId="0" xfId="118" applyNumberFormat="1" applyFont="1"/>
    <xf numFmtId="0" fontId="25" fillId="0" borderId="0" xfId="93" applyAlignment="1">
      <alignment horizontal="left" indent="1"/>
    </xf>
    <xf numFmtId="167" fontId="25" fillId="0" borderId="0" xfId="118" applyNumberFormat="1"/>
    <xf numFmtId="0" fontId="25" fillId="0" borderId="0" xfId="101"/>
    <xf numFmtId="0" fontId="25" fillId="0" borderId="0" xfId="118" applyAlignment="1">
      <alignment horizontal="right"/>
    </xf>
    <xf numFmtId="0" fontId="26" fillId="37" borderId="15" xfId="118" applyFont="1" applyFill="1" applyBorder="1" applyAlignment="1">
      <alignment horizontal="center"/>
    </xf>
    <xf numFmtId="168" fontId="25" fillId="0" borderId="0" xfId="118" applyNumberFormat="1"/>
    <xf numFmtId="0" fontId="26" fillId="37" borderId="16" xfId="118" applyFont="1" applyFill="1" applyBorder="1" applyAlignment="1">
      <alignment horizontal="center"/>
    </xf>
    <xf numFmtId="164" fontId="25" fillId="37" borderId="16" xfId="118" applyNumberFormat="1" applyFill="1" applyBorder="1"/>
    <xf numFmtId="169" fontId="53" fillId="37" borderId="16" xfId="118" applyNumberFormat="1" applyFont="1" applyFill="1" applyBorder="1"/>
    <xf numFmtId="164" fontId="42" fillId="37" borderId="17" xfId="118" applyNumberFormat="1" applyFont="1" applyFill="1" applyBorder="1"/>
    <xf numFmtId="170" fontId="0" fillId="0" borderId="0" xfId="91" applyNumberFormat="1" applyFont="1"/>
    <xf numFmtId="0" fontId="25" fillId="0" borderId="0" xfId="93"/>
    <xf numFmtId="0" fontId="26" fillId="0" borderId="0" xfId="118" quotePrefix="1" applyFont="1" applyAlignment="1">
      <alignment horizontal="center"/>
    </xf>
    <xf numFmtId="10" fontId="25" fillId="0" borderId="0" xfId="118" applyNumberFormat="1"/>
    <xf numFmtId="15" fontId="25" fillId="34" borderId="0" xfId="118" quotePrefix="1" applyNumberFormat="1" applyFill="1" applyAlignment="1">
      <alignment horizontal="center"/>
    </xf>
    <xf numFmtId="0" fontId="25" fillId="34" borderId="0" xfId="118" quotePrefix="1" applyFill="1" applyAlignment="1">
      <alignment horizontal="center"/>
    </xf>
    <xf numFmtId="0" fontId="25" fillId="34" borderId="0" xfId="118" applyFill="1"/>
    <xf numFmtId="10" fontId="25" fillId="34" borderId="0" xfId="118" quotePrefix="1" applyNumberFormat="1" applyFill="1" applyAlignment="1">
      <alignment horizontal="right"/>
    </xf>
    <xf numFmtId="10" fontId="25" fillId="0" borderId="0" xfId="118" quotePrefix="1" applyNumberFormat="1" applyAlignment="1">
      <alignment horizontal="right"/>
    </xf>
    <xf numFmtId="0" fontId="25" fillId="0" borderId="0" xfId="118" quotePrefix="1" applyAlignment="1">
      <alignment horizontal="center"/>
    </xf>
    <xf numFmtId="167" fontId="53" fillId="0" borderId="0" xfId="118" applyNumberFormat="1" applyFont="1"/>
    <xf numFmtId="0" fontId="25" fillId="0" borderId="0" xfId="118" applyAlignment="1">
      <alignment horizontal="center"/>
    </xf>
    <xf numFmtId="3" fontId="25" fillId="0" borderId="0" xfId="118" applyNumberFormat="1" applyAlignment="1">
      <alignment horizontal="center"/>
    </xf>
    <xf numFmtId="0" fontId="25" fillId="0" borderId="0" xfId="93" applyAlignment="1">
      <alignment horizontal="left"/>
    </xf>
    <xf numFmtId="1" fontId="25" fillId="0" borderId="0" xfId="93" applyNumberFormat="1" applyAlignment="1">
      <alignment horizontal="center"/>
    </xf>
    <xf numFmtId="0" fontId="28" fillId="0" borderId="0" xfId="93" applyFont="1" applyAlignment="1">
      <alignment horizontal="center"/>
    </xf>
    <xf numFmtId="0" fontId="25" fillId="0" borderId="0" xfId="93" applyAlignment="1">
      <alignment horizontal="right"/>
    </xf>
    <xf numFmtId="0" fontId="28" fillId="0" borderId="0" xfId="118" quotePrefix="1" applyFont="1" applyAlignment="1">
      <alignment horizontal="center"/>
    </xf>
    <xf numFmtId="170" fontId="25" fillId="0" borderId="0" xfId="118" applyNumberFormat="1"/>
    <xf numFmtId="1" fontId="25" fillId="0" borderId="0" xfId="93" applyNumberFormat="1" applyAlignment="1">
      <alignment horizontal="right"/>
    </xf>
    <xf numFmtId="170" fontId="25" fillId="0" borderId="0" xfId="118" applyNumberFormat="1" applyAlignment="1">
      <alignment horizontal="left" indent="1"/>
    </xf>
    <xf numFmtId="167" fontId="54" fillId="0" borderId="0" xfId="118" applyNumberFormat="1" applyFont="1"/>
    <xf numFmtId="167" fontId="55" fillId="0" borderId="0" xfId="118" applyNumberFormat="1" applyFont="1"/>
    <xf numFmtId="0" fontId="25" fillId="39" borderId="0" xfId="118" applyFill="1"/>
    <xf numFmtId="164" fontId="25" fillId="39" borderId="0" xfId="118" applyNumberFormat="1" applyFill="1"/>
    <xf numFmtId="164" fontId="53" fillId="39" borderId="0" xfId="118" applyNumberFormat="1" applyFont="1" applyFill="1"/>
    <xf numFmtId="164" fontId="25" fillId="0" borderId="0" xfId="118" applyNumberFormat="1" applyAlignment="1">
      <alignment horizontal="right" indent="1"/>
    </xf>
    <xf numFmtId="164" fontId="25" fillId="34" borderId="0" xfId="118" applyNumberFormat="1" applyFill="1"/>
    <xf numFmtId="164" fontId="25" fillId="34" borderId="0" xfId="93" applyNumberFormat="1" applyFill="1"/>
    <xf numFmtId="164" fontId="25" fillId="37" borderId="0" xfId="118" applyNumberFormat="1" applyFill="1" applyAlignment="1">
      <alignment horizontal="right" indent="1"/>
    </xf>
    <xf numFmtId="164" fontId="25" fillId="0" borderId="0" xfId="93" applyNumberFormat="1"/>
    <xf numFmtId="164" fontId="56" fillId="0" borderId="0" xfId="93" applyNumberFormat="1" applyFont="1"/>
    <xf numFmtId="164" fontId="25" fillId="0" borderId="0" xfId="118" applyNumberFormat="1" applyAlignment="1">
      <alignment horizontal="right"/>
    </xf>
    <xf numFmtId="164" fontId="53" fillId="34" borderId="0" xfId="118" applyNumberFormat="1" applyFont="1" applyFill="1"/>
    <xf numFmtId="0" fontId="57" fillId="0" borderId="0" xfId="118" applyFont="1"/>
    <xf numFmtId="0" fontId="25" fillId="0" borderId="0" xfId="118" applyAlignment="1">
      <alignment horizontal="left" indent="2"/>
    </xf>
    <xf numFmtId="0" fontId="25" fillId="0" borderId="0" xfId="93" applyAlignment="1">
      <alignment horizontal="left" indent="2"/>
    </xf>
    <xf numFmtId="172" fontId="25" fillId="34" borderId="0" xfId="118" quotePrefix="1" applyNumberFormat="1" applyFill="1" applyAlignment="1">
      <alignment horizontal="center"/>
    </xf>
    <xf numFmtId="164" fontId="25" fillId="34" borderId="32" xfId="118" applyNumberFormat="1" applyFill="1" applyBorder="1"/>
    <xf numFmtId="164" fontId="25" fillId="34" borderId="0" xfId="118" applyNumberFormat="1" applyFill="1" applyAlignment="1">
      <alignment horizontal="right"/>
    </xf>
    <xf numFmtId="0" fontId="25" fillId="0" borderId="33" xfId="118" applyBorder="1" applyAlignment="1">
      <alignment wrapText="1"/>
    </xf>
    <xf numFmtId="0" fontId="25" fillId="0" borderId="0" xfId="118" applyAlignment="1">
      <alignment wrapText="1"/>
    </xf>
    <xf numFmtId="0" fontId="65" fillId="0" borderId="0" xfId="118" applyFont="1"/>
    <xf numFmtId="164" fontId="67" fillId="0" borderId="0" xfId="118" quotePrefix="1" applyNumberFormat="1" applyFont="1" applyAlignment="1">
      <alignment horizontal="right" wrapText="1"/>
    </xf>
    <xf numFmtId="0" fontId="5" fillId="0" borderId="0" xfId="157" applyFont="1" applyFill="1" applyBorder="1" applyAlignment="1">
      <alignment horizontal="right"/>
    </xf>
    <xf numFmtId="164" fontId="41" fillId="0" borderId="11" xfId="157" applyNumberFormat="1" applyFont="1" applyBorder="1"/>
    <xf numFmtId="0" fontId="16" fillId="35" borderId="14" xfId="157" applyFill="1" applyBorder="1"/>
    <xf numFmtId="0" fontId="16" fillId="35" borderId="34" xfId="157" applyFill="1" applyBorder="1"/>
    <xf numFmtId="0" fontId="41" fillId="0" borderId="10" xfId="157" applyFont="1" applyBorder="1" applyAlignment="1">
      <alignment horizontal="right"/>
    </xf>
    <xf numFmtId="0" fontId="48" fillId="0" borderId="0" xfId="209" applyFont="1" applyFill="1" applyBorder="1" applyAlignment="1">
      <alignment horizontal="left" vertical="top" wrapText="1"/>
    </xf>
    <xf numFmtId="0" fontId="26" fillId="0" borderId="0" xfId="0" applyFont="1"/>
    <xf numFmtId="0" fontId="25" fillId="0" borderId="0" xfId="0" applyFont="1"/>
    <xf numFmtId="0" fontId="28" fillId="0" borderId="0" xfId="0" quotePrefix="1" applyFont="1" applyAlignment="1">
      <alignment horizontal="center"/>
    </xf>
    <xf numFmtId="0" fontId="25" fillId="0" borderId="0" xfId="0" applyFont="1" applyAlignment="1">
      <alignment horizontal="center"/>
    </xf>
    <xf numFmtId="0" fontId="0" fillId="0" borderId="0" xfId="0" applyAlignment="1">
      <alignment horizontal="center"/>
    </xf>
    <xf numFmtId="0" fontId="26" fillId="0" borderId="0" xfId="0" applyFont="1" applyAlignment="1">
      <alignment horizontal="center"/>
    </xf>
    <xf numFmtId="164" fontId="26" fillId="34" borderId="0" xfId="0" applyNumberFormat="1" applyFont="1" applyFill="1" applyAlignment="1">
      <alignment horizontal="center"/>
    </xf>
    <xf numFmtId="0" fontId="28" fillId="0" borderId="0" xfId="0" applyFont="1"/>
    <xf numFmtId="0" fontId="28" fillId="0" borderId="0" xfId="0" applyFont="1" applyAlignment="1">
      <alignment horizontal="center"/>
    </xf>
    <xf numFmtId="164" fontId="28" fillId="34" borderId="0" xfId="0" applyNumberFormat="1" applyFont="1" applyFill="1" applyAlignment="1">
      <alignment horizontal="center"/>
    </xf>
    <xf numFmtId="1" fontId="25" fillId="34" borderId="0" xfId="93" applyNumberFormat="1" applyFill="1" applyAlignment="1">
      <alignment horizontal="center"/>
    </xf>
    <xf numFmtId="164" fontId="0" fillId="0" borderId="0" xfId="0" applyNumberFormat="1"/>
    <xf numFmtId="164" fontId="25" fillId="34" borderId="0" xfId="0" applyNumberFormat="1" applyFont="1" applyFill="1" applyAlignment="1">
      <alignment horizontal="right"/>
    </xf>
    <xf numFmtId="164" fontId="0" fillId="34" borderId="0" xfId="0" applyNumberFormat="1" applyFill="1"/>
    <xf numFmtId="164" fontId="25" fillId="0" borderId="0" xfId="0" applyNumberFormat="1" applyFont="1" applyAlignment="1">
      <alignment horizontal="center"/>
    </xf>
    <xf numFmtId="164" fontId="53" fillId="0" borderId="0" xfId="0" applyNumberFormat="1" applyFont="1"/>
    <xf numFmtId="164" fontId="53" fillId="34" borderId="0" xfId="0" applyNumberFormat="1" applyFont="1" applyFill="1" applyAlignment="1">
      <alignment horizontal="right"/>
    </xf>
    <xf numFmtId="164" fontId="53" fillId="34" borderId="0" xfId="0" applyNumberFormat="1" applyFont="1" applyFill="1"/>
    <xf numFmtId="1" fontId="25" fillId="0" borderId="0" xfId="93" quotePrefix="1" applyNumberFormat="1" applyAlignment="1">
      <alignment horizontal="right"/>
    </xf>
    <xf numFmtId="164" fontId="25" fillId="37" borderId="0" xfId="0" applyNumberFormat="1" applyFont="1" applyFill="1" applyAlignment="1">
      <alignment horizontal="right"/>
    </xf>
    <xf numFmtId="164" fontId="25" fillId="0" borderId="0" xfId="0" applyNumberFormat="1" applyFont="1" applyAlignment="1">
      <alignment horizontal="right"/>
    </xf>
    <xf numFmtId="164" fontId="26" fillId="0" borderId="0" xfId="0" applyNumberFormat="1" applyFont="1" applyAlignment="1">
      <alignment horizontal="center"/>
    </xf>
    <xf numFmtId="164" fontId="25" fillId="34" borderId="0" xfId="0" quotePrefix="1" applyNumberFormat="1" applyFont="1" applyFill="1" applyAlignment="1">
      <alignment horizontal="right"/>
    </xf>
    <xf numFmtId="164" fontId="25" fillId="34" borderId="0" xfId="0" quotePrefix="1" applyNumberFormat="1" applyFont="1" applyFill="1" applyAlignment="1">
      <alignment horizontal="center"/>
    </xf>
    <xf numFmtId="164" fontId="0" fillId="34" borderId="15" xfId="0" applyNumberFormat="1" applyFill="1" applyBorder="1"/>
    <xf numFmtId="164" fontId="53" fillId="34" borderId="17" xfId="0" applyNumberFormat="1" applyFont="1" applyFill="1" applyBorder="1"/>
    <xf numFmtId="164" fontId="53" fillId="34" borderId="0" xfId="0" quotePrefix="1" applyNumberFormat="1" applyFont="1" applyFill="1" applyAlignment="1">
      <alignment horizontal="right"/>
    </xf>
    <xf numFmtId="164" fontId="25" fillId="0" borderId="0" xfId="0" quotePrefix="1" applyNumberFormat="1" applyFont="1" applyAlignment="1">
      <alignment horizontal="center"/>
    </xf>
    <xf numFmtId="0" fontId="64" fillId="0" borderId="0" xfId="0" applyFont="1" applyAlignment="1">
      <alignment horizontal="center"/>
    </xf>
    <xf numFmtId="0" fontId="26" fillId="0" borderId="0" xfId="0" applyFont="1" applyAlignment="1">
      <alignment horizontal="center" wrapText="1"/>
    </xf>
    <xf numFmtId="0" fontId="25" fillId="0" borderId="0" xfId="0" quotePrefix="1" applyFont="1" applyAlignment="1">
      <alignment horizontal="center"/>
    </xf>
    <xf numFmtId="164" fontId="0" fillId="37" borderId="0" xfId="0" applyNumberFormat="1" applyFill="1"/>
    <xf numFmtId="164" fontId="56" fillId="0" borderId="0" xfId="128" applyNumberFormat="1" applyFont="1"/>
    <xf numFmtId="164" fontId="25" fillId="0" borderId="0" xfId="0" applyNumberFormat="1" applyFont="1"/>
    <xf numFmtId="164" fontId="65" fillId="0" borderId="0" xfId="128" applyNumberFormat="1" applyFont="1"/>
    <xf numFmtId="164" fontId="26" fillId="0" borderId="0" xfId="0" applyNumberFormat="1" applyFont="1" applyAlignment="1">
      <alignment horizontal="right" indent="1"/>
    </xf>
    <xf numFmtId="164" fontId="26" fillId="0" borderId="0" xfId="0" applyNumberFormat="1" applyFont="1"/>
    <xf numFmtId="164" fontId="68" fillId="0" borderId="0" xfId="128" applyNumberFormat="1" applyFont="1"/>
    <xf numFmtId="0" fontId="26" fillId="0" borderId="0" xfId="0" applyFont="1" applyAlignment="1">
      <alignment horizontal="left" indent="2"/>
    </xf>
    <xf numFmtId="0" fontId="25" fillId="0" borderId="0" xfId="0" quotePrefix="1" applyFont="1" applyAlignment="1">
      <alignment horizontal="center" wrapText="1"/>
    </xf>
    <xf numFmtId="0" fontId="64" fillId="0" borderId="0" xfId="0" quotePrefix="1" applyFont="1" applyAlignment="1">
      <alignment horizontal="center"/>
    </xf>
    <xf numFmtId="0" fontId="26" fillId="0" borderId="0" xfId="0" quotePrefix="1" applyFont="1" applyAlignment="1">
      <alignment horizontal="center"/>
    </xf>
    <xf numFmtId="0" fontId="0" fillId="0" borderId="0" xfId="0" applyAlignment="1">
      <alignment horizontal="left"/>
    </xf>
    <xf numFmtId="0" fontId="25" fillId="34" borderId="0" xfId="0" applyFont="1" applyFill="1"/>
    <xf numFmtId="0" fontId="0" fillId="34" borderId="0" xfId="0" applyFill="1"/>
    <xf numFmtId="0" fontId="25" fillId="0" borderId="0" xfId="0" applyFont="1" applyAlignment="1">
      <alignment horizontal="left" indent="1"/>
    </xf>
    <xf numFmtId="0" fontId="25" fillId="0" borderId="0" xfId="93" applyAlignment="1">
      <alignment horizontal="center"/>
    </xf>
    <xf numFmtId="0" fontId="53" fillId="0" borderId="0" xfId="0" applyFont="1"/>
    <xf numFmtId="0" fontId="25" fillId="0" borderId="0" xfId="93" quotePrefix="1" applyAlignment="1">
      <alignment horizontal="right"/>
    </xf>
    <xf numFmtId="0" fontId="25" fillId="0" borderId="0" xfId="0" applyFont="1" applyAlignment="1">
      <alignment horizontal="right"/>
    </xf>
    <xf numFmtId="164" fontId="25" fillId="0" borderId="0" xfId="91" applyNumberFormat="1" applyFont="1"/>
    <xf numFmtId="164" fontId="26" fillId="0" borderId="0" xfId="118" applyNumberFormat="1" applyFont="1" applyAlignment="1">
      <alignment horizontal="center"/>
    </xf>
    <xf numFmtId="164" fontId="28" fillId="0" borderId="0" xfId="118" applyNumberFormat="1" applyFont="1" applyAlignment="1">
      <alignment horizontal="center"/>
    </xf>
    <xf numFmtId="164" fontId="25" fillId="0" borderId="0" xfId="118" applyNumberFormat="1" applyAlignment="1">
      <alignment horizontal="center"/>
    </xf>
    <xf numFmtId="164" fontId="53" fillId="34" borderId="0" xfId="118" applyNumberFormat="1" applyFont="1" applyFill="1" applyAlignment="1">
      <alignment horizontal="right"/>
    </xf>
    <xf numFmtId="164" fontId="25" fillId="34" borderId="0" xfId="118" applyNumberFormat="1" applyFill="1" applyAlignment="1">
      <alignment horizontal="center"/>
    </xf>
    <xf numFmtId="164" fontId="26" fillId="34" borderId="0" xfId="118" applyNumberFormat="1" applyFont="1" applyFill="1" applyAlignment="1">
      <alignment horizontal="center"/>
    </xf>
    <xf numFmtId="164" fontId="28" fillId="34" borderId="0" xfId="118" applyNumberFormat="1" applyFont="1" applyFill="1" applyAlignment="1">
      <alignment horizontal="center"/>
    </xf>
    <xf numFmtId="164" fontId="25" fillId="34" borderId="15" xfId="118" applyNumberFormat="1" applyFill="1" applyBorder="1"/>
    <xf numFmtId="164" fontId="25" fillId="34" borderId="0" xfId="118" quotePrefix="1" applyNumberFormat="1" applyFill="1" applyAlignment="1">
      <alignment horizontal="center"/>
    </xf>
    <xf numFmtId="164" fontId="25" fillId="34" borderId="33" xfId="118" applyNumberFormat="1" applyFill="1" applyBorder="1"/>
    <xf numFmtId="164" fontId="25" fillId="34" borderId="16" xfId="118" applyNumberFormat="1" applyFill="1" applyBorder="1"/>
    <xf numFmtId="164" fontId="25" fillId="34" borderId="33" xfId="118" quotePrefix="1" applyNumberFormat="1" applyFill="1" applyBorder="1" applyAlignment="1">
      <alignment horizontal="right"/>
    </xf>
    <xf numFmtId="164" fontId="25" fillId="34" borderId="16" xfId="118" quotePrefix="1" applyNumberFormat="1" applyFill="1" applyBorder="1" applyAlignment="1">
      <alignment horizontal="right"/>
    </xf>
    <xf numFmtId="164" fontId="25" fillId="34" borderId="16" xfId="118" applyNumberFormat="1" applyFill="1" applyBorder="1" applyAlignment="1">
      <alignment horizontal="right"/>
    </xf>
    <xf numFmtId="164" fontId="53" fillId="34" borderId="35" xfId="118" quotePrefix="1" applyNumberFormat="1" applyFont="1" applyFill="1" applyBorder="1" applyAlignment="1">
      <alignment horizontal="right"/>
    </xf>
    <xf numFmtId="164" fontId="53" fillId="34" borderId="17" xfId="118" quotePrefix="1" applyNumberFormat="1" applyFont="1" applyFill="1" applyBorder="1" applyAlignment="1">
      <alignment horizontal="right"/>
    </xf>
    <xf numFmtId="164" fontId="53" fillId="34" borderId="17" xfId="118" applyNumberFormat="1" applyFont="1" applyFill="1" applyBorder="1" applyAlignment="1">
      <alignment horizontal="right"/>
    </xf>
    <xf numFmtId="164" fontId="25" fillId="0" borderId="0" xfId="118" quotePrefix="1" applyNumberFormat="1" applyAlignment="1">
      <alignment horizontal="center"/>
    </xf>
    <xf numFmtId="0" fontId="64" fillId="0" borderId="0" xfId="118" applyFont="1" applyAlignment="1">
      <alignment horizontal="center"/>
    </xf>
    <xf numFmtId="0" fontId="26" fillId="0" borderId="0" xfId="118" applyFont="1" applyAlignment="1">
      <alignment horizontal="center" wrapText="1"/>
    </xf>
    <xf numFmtId="164" fontId="26" fillId="0" borderId="0" xfId="118" applyNumberFormat="1" applyFont="1" applyAlignment="1">
      <alignment horizontal="right" indent="1"/>
    </xf>
    <xf numFmtId="164" fontId="26" fillId="0" borderId="0" xfId="118" applyNumberFormat="1" applyFont="1"/>
    <xf numFmtId="0" fontId="26" fillId="0" borderId="0" xfId="118" applyFont="1" applyAlignment="1">
      <alignment horizontal="left" indent="2"/>
    </xf>
    <xf numFmtId="0" fontId="25" fillId="0" borderId="0" xfId="118" quotePrefix="1" applyAlignment="1">
      <alignment horizontal="center" wrapText="1"/>
    </xf>
    <xf numFmtId="0" fontId="64" fillId="0" borderId="0" xfId="118" quotePrefix="1" applyFont="1" applyAlignment="1">
      <alignment horizontal="center"/>
    </xf>
    <xf numFmtId="170" fontId="53" fillId="0" borderId="0" xfId="118" applyNumberFormat="1" applyFont="1"/>
    <xf numFmtId="10" fontId="56" fillId="34" borderId="0" xfId="118" applyNumberFormat="1" applyFont="1" applyFill="1"/>
    <xf numFmtId="0" fontId="65" fillId="34" borderId="0" xfId="118" applyFont="1" applyFill="1"/>
    <xf numFmtId="0" fontId="4" fillId="0" borderId="0" xfId="227"/>
    <xf numFmtId="166" fontId="41" fillId="0" borderId="26" xfId="227" applyNumberFormat="1" applyFont="1" applyBorder="1"/>
    <xf numFmtId="166" fontId="62" fillId="0" borderId="22" xfId="228" applyNumberFormat="1" applyFont="1" applyFill="1" applyBorder="1"/>
    <xf numFmtId="166" fontId="4" fillId="0" borderId="21" xfId="227" applyNumberFormat="1" applyBorder="1"/>
    <xf numFmtId="0" fontId="41" fillId="38" borderId="3" xfId="227" applyFont="1" applyFill="1" applyBorder="1" applyAlignment="1">
      <alignment horizontal="center"/>
    </xf>
    <xf numFmtId="0" fontId="47" fillId="0" borderId="9" xfId="209" applyFont="1" applyFill="1" applyBorder="1" applyAlignment="1">
      <alignment horizontal="left" vertical="top" wrapText="1"/>
    </xf>
    <xf numFmtId="0" fontId="47" fillId="0" borderId="1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0" fontId="47" fillId="0" borderId="0" xfId="209" applyFont="1" applyFill="1" applyBorder="1" applyAlignment="1">
      <alignment horizontal="center" vertical="top" wrapText="1"/>
    </xf>
    <xf numFmtId="0" fontId="48" fillId="0" borderId="0" xfId="209" applyFont="1" applyFill="1" applyBorder="1" applyAlignment="1">
      <alignment horizontal="center" vertical="top" wrapText="1"/>
    </xf>
    <xf numFmtId="0" fontId="41" fillId="35" borderId="9" xfId="157" applyFont="1" applyFill="1" applyBorder="1" applyAlignment="1">
      <alignment horizontal="center"/>
    </xf>
    <xf numFmtId="0" fontId="41" fillId="35" borderId="10" xfId="157" applyFont="1" applyFill="1" applyBorder="1" applyAlignment="1">
      <alignment horizontal="center"/>
    </xf>
    <xf numFmtId="0" fontId="41" fillId="35" borderId="11" xfId="157" applyFont="1" applyFill="1" applyBorder="1" applyAlignment="1">
      <alignment horizontal="center"/>
    </xf>
    <xf numFmtId="0" fontId="41" fillId="0" borderId="24" xfId="225" applyFont="1" applyFill="1" applyBorder="1" applyAlignment="1">
      <alignment horizontal="right"/>
    </xf>
    <xf numFmtId="0" fontId="41" fillId="0" borderId="25" xfId="225" applyFont="1" applyFill="1" applyBorder="1" applyAlignment="1">
      <alignment horizontal="right"/>
    </xf>
    <xf numFmtId="0" fontId="8" fillId="0" borderId="3" xfId="225" applyFont="1" applyFill="1" applyBorder="1" applyAlignment="1">
      <alignment horizontal="left"/>
    </xf>
    <xf numFmtId="0" fontId="7" fillId="0" borderId="0" xfId="225" applyFont="1" applyAlignment="1">
      <alignment horizontal="left" wrapText="1"/>
    </xf>
    <xf numFmtId="0" fontId="8" fillId="0" borderId="0" xfId="225" applyFont="1" applyAlignment="1">
      <alignment horizontal="left" wrapText="1"/>
    </xf>
    <xf numFmtId="0" fontId="3" fillId="0" borderId="0" xfId="225" applyFont="1" applyAlignment="1">
      <alignment horizontal="left" wrapText="1"/>
    </xf>
    <xf numFmtId="0" fontId="2" fillId="0" borderId="18" xfId="225" applyFont="1" applyFill="1" applyBorder="1" applyAlignment="1">
      <alignment horizontal="left" wrapText="1"/>
    </xf>
    <xf numFmtId="0" fontId="8" fillId="0" borderId="19" xfId="225" applyFont="1" applyFill="1" applyBorder="1" applyAlignment="1">
      <alignment horizontal="left" wrapText="1"/>
    </xf>
    <xf numFmtId="0" fontId="8" fillId="0" borderId="20" xfId="225" applyFont="1" applyFill="1" applyBorder="1" applyAlignment="1">
      <alignment horizontal="left" wrapText="1"/>
    </xf>
    <xf numFmtId="0" fontId="2" fillId="0" borderId="3" xfId="225" applyFont="1" applyFill="1" applyBorder="1" applyAlignment="1">
      <alignment wrapText="1"/>
    </xf>
    <xf numFmtId="0" fontId="8" fillId="0" borderId="3" xfId="225" applyFont="1" applyFill="1" applyBorder="1" applyAlignment="1">
      <alignment wrapText="1"/>
    </xf>
    <xf numFmtId="0" fontId="52" fillId="38" borderId="3" xfId="225" applyFont="1" applyFill="1" applyBorder="1" applyAlignment="1">
      <alignment horizontal="center" vertical="center" wrapText="1"/>
    </xf>
    <xf numFmtId="0" fontId="41" fillId="38" borderId="3" xfId="225" quotePrefix="1" applyFont="1" applyFill="1" applyBorder="1" applyAlignment="1">
      <alignment horizontal="center"/>
    </xf>
    <xf numFmtId="0" fontId="41" fillId="38" borderId="3" xfId="225" applyFont="1" applyFill="1" applyBorder="1" applyAlignment="1">
      <alignment horizontal="center"/>
    </xf>
    <xf numFmtId="0" fontId="7" fillId="0" borderId="18" xfId="225" applyFont="1" applyFill="1" applyBorder="1" applyAlignment="1">
      <alignment horizontal="left" wrapText="1"/>
    </xf>
    <xf numFmtId="0" fontId="6" fillId="0" borderId="3" xfId="225" applyFont="1" applyFill="1" applyBorder="1" applyAlignment="1">
      <alignment wrapText="1"/>
    </xf>
    <xf numFmtId="0" fontId="54" fillId="0" borderId="33" xfId="118" applyFont="1" applyBorder="1" applyAlignment="1">
      <alignment horizontal="left" wrapText="1"/>
    </xf>
    <xf numFmtId="0" fontId="54" fillId="0" borderId="0" xfId="118" applyFont="1" applyAlignment="1">
      <alignment horizontal="left" wrapText="1"/>
    </xf>
    <xf numFmtId="0" fontId="25" fillId="34" borderId="0" xfId="0" applyFont="1" applyFill="1" applyAlignment="1">
      <alignment horizontal="center"/>
    </xf>
    <xf numFmtId="0" fontId="3" fillId="0" borderId="0" xfId="227" applyFont="1" applyAlignment="1">
      <alignment horizontal="left" wrapText="1"/>
    </xf>
    <xf numFmtId="0" fontId="4" fillId="0" borderId="0" xfId="227" applyAlignment="1">
      <alignment horizontal="left" wrapText="1"/>
    </xf>
    <xf numFmtId="0" fontId="52" fillId="38" borderId="3" xfId="227" applyFont="1" applyFill="1" applyBorder="1" applyAlignment="1">
      <alignment horizontal="center" vertical="center" wrapText="1"/>
    </xf>
    <xf numFmtId="0" fontId="41" fillId="38" borderId="3" xfId="227" quotePrefix="1" applyFont="1" applyFill="1" applyBorder="1" applyAlignment="1">
      <alignment horizontal="center"/>
    </xf>
    <xf numFmtId="0" fontId="41" fillId="38" borderId="3" xfId="227" applyFont="1" applyFill="1" applyBorder="1" applyAlignment="1">
      <alignment horizontal="center"/>
    </xf>
    <xf numFmtId="0" fontId="4" fillId="0" borderId="18" xfId="227" applyBorder="1" applyAlignment="1">
      <alignment horizontal="left"/>
    </xf>
    <xf numFmtId="0" fontId="4" fillId="0" borderId="19" xfId="227" applyBorder="1" applyAlignment="1">
      <alignment horizontal="left"/>
    </xf>
    <xf numFmtId="0" fontId="4" fillId="0" borderId="20" xfId="227" applyBorder="1" applyAlignment="1">
      <alignment horizontal="left"/>
    </xf>
    <xf numFmtId="0" fontId="4" fillId="0" borderId="22" xfId="227" applyBorder="1" applyAlignment="1">
      <alignment wrapText="1"/>
    </xf>
    <xf numFmtId="0" fontId="4" fillId="0" borderId="23" xfId="227" applyBorder="1" applyAlignment="1">
      <alignment wrapText="1"/>
    </xf>
    <xf numFmtId="0" fontId="2" fillId="0" borderId="18" xfId="227" applyFont="1" applyBorder="1" applyAlignment="1">
      <alignment horizontal="left" wrapText="1"/>
    </xf>
    <xf numFmtId="0" fontId="4" fillId="0" borderId="19" xfId="227" applyBorder="1" applyAlignment="1">
      <alignment horizontal="left" wrapText="1"/>
    </xf>
    <xf numFmtId="0" fontId="4" fillId="0" borderId="20" xfId="227" applyBorder="1" applyAlignment="1">
      <alignment horizontal="left" wrapText="1"/>
    </xf>
    <xf numFmtId="0" fontId="2" fillId="0" borderId="3" xfId="227" applyFont="1" applyBorder="1" applyAlignment="1">
      <alignment wrapText="1"/>
    </xf>
    <xf numFmtId="0" fontId="4" fillId="0" borderId="3" xfId="227" applyBorder="1" applyAlignment="1">
      <alignment wrapText="1"/>
    </xf>
    <xf numFmtId="0" fontId="41" fillId="0" borderId="24" xfId="227" applyFont="1" applyBorder="1" applyAlignment="1">
      <alignment horizontal="right"/>
    </xf>
    <xf numFmtId="0" fontId="41" fillId="0" borderId="25" xfId="227" applyFont="1" applyBorder="1" applyAlignment="1">
      <alignment horizontal="right"/>
    </xf>
    <xf numFmtId="0" fontId="4" fillId="0" borderId="27" xfId="227" applyBorder="1" applyAlignment="1">
      <alignment horizontal="left"/>
    </xf>
    <xf numFmtId="0" fontId="4" fillId="0" borderId="28" xfId="227" applyBorder="1" applyAlignment="1">
      <alignment horizontal="left"/>
    </xf>
    <xf numFmtId="0" fontId="25" fillId="34" borderId="0" xfId="118" applyFill="1" applyAlignment="1">
      <alignment horizontal="center"/>
    </xf>
    <xf numFmtId="0" fontId="25" fillId="0" borderId="0" xfId="118" applyAlignment="1">
      <alignment horizontal="left"/>
    </xf>
  </cellXfs>
  <cellStyles count="229">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0"/>
  <tableStyles count="0" defaultTableStyle="TableStyleMedium9" defaultPivotStyle="PivotStyleLight16"/>
  <colors>
    <mruColors>
      <color rgb="FFFFCCCC"/>
      <color rgb="FFCCFFCC"/>
      <color rgb="FFCCFFFF"/>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26"/>
  <sheetViews>
    <sheetView showGridLines="0" tabSelected="1" zoomScaleNormal="100" workbookViewId="0"/>
  </sheetViews>
  <sheetFormatPr defaultColWidth="9.1796875" defaultRowHeight="13" x14ac:dyDescent="0.25"/>
  <cols>
    <col min="1" max="1" width="5.26953125" style="41" customWidth="1"/>
    <col min="2" max="2" width="111.26953125" style="42" customWidth="1"/>
    <col min="3" max="3" width="5.453125" style="41" customWidth="1"/>
    <col min="4" max="4" width="19.7265625" style="43" customWidth="1"/>
    <col min="5" max="5" width="19.26953125" style="44" customWidth="1"/>
    <col min="6" max="6" width="13.54296875" style="44" customWidth="1"/>
    <col min="7" max="7" width="10.453125" style="41" bestFit="1" customWidth="1"/>
    <col min="8" max="16384" width="9.1796875" style="41"/>
  </cols>
  <sheetData>
    <row r="1" spans="1:7" ht="18" customHeight="1" x14ac:dyDescent="0.25">
      <c r="A1" s="56"/>
      <c r="B1" s="73"/>
      <c r="C1" s="56"/>
      <c r="D1" s="57"/>
    </row>
    <row r="2" spans="1:7" ht="18" customHeight="1" x14ac:dyDescent="0.25">
      <c r="A2" s="257" t="s">
        <v>274</v>
      </c>
      <c r="B2" s="258"/>
      <c r="C2" s="56"/>
      <c r="D2" s="57"/>
    </row>
    <row r="3" spans="1:7" ht="39" customHeight="1" x14ac:dyDescent="0.25">
      <c r="A3" s="258" t="s">
        <v>29</v>
      </c>
      <c r="B3" s="258"/>
      <c r="C3" s="56"/>
      <c r="D3" s="57"/>
      <c r="E3" s="46" t="s">
        <v>285</v>
      </c>
      <c r="F3" s="46" t="s">
        <v>288</v>
      </c>
    </row>
    <row r="4" spans="1:7" ht="15.75" customHeight="1" x14ac:dyDescent="0.25">
      <c r="A4" s="74"/>
      <c r="B4" s="75"/>
      <c r="C4" s="56"/>
      <c r="D4" s="57"/>
      <c r="E4" s="45" t="s">
        <v>270</v>
      </c>
      <c r="F4" s="45" t="s">
        <v>272</v>
      </c>
    </row>
    <row r="5" spans="1:7" ht="20.25" customHeight="1" x14ac:dyDescent="0.25">
      <c r="A5" s="255" t="s">
        <v>277</v>
      </c>
      <c r="B5" s="256"/>
      <c r="C5" s="56"/>
      <c r="D5" s="57"/>
    </row>
    <row r="6" spans="1:7" ht="78.5" customHeight="1" x14ac:dyDescent="0.25">
      <c r="A6" s="58" t="s">
        <v>28</v>
      </c>
      <c r="B6" s="72" t="s">
        <v>310</v>
      </c>
      <c r="C6" s="56"/>
      <c r="D6" s="57" t="s">
        <v>271</v>
      </c>
      <c r="E6" s="48">
        <f>'WP-2017 Sch4-TUTRR'!K73</f>
        <v>-936.5548882484436</v>
      </c>
      <c r="F6" s="48">
        <f>(E6/E10)*F10</f>
        <v>-999.94507771522649</v>
      </c>
      <c r="G6" s="56"/>
    </row>
    <row r="7" spans="1:7" ht="15.5" x14ac:dyDescent="0.25">
      <c r="A7" s="58"/>
      <c r="B7" s="72"/>
      <c r="C7" s="56"/>
      <c r="D7" s="57"/>
      <c r="E7" s="48"/>
      <c r="F7" s="48"/>
    </row>
    <row r="8" spans="1:7" ht="78.5" customHeight="1" x14ac:dyDescent="0.25">
      <c r="A8" s="58" t="s">
        <v>412</v>
      </c>
      <c r="B8" s="168" t="s">
        <v>422</v>
      </c>
      <c r="C8" s="56"/>
      <c r="D8" s="57" t="s">
        <v>275</v>
      </c>
      <c r="E8" s="48">
        <f>'WP-2017 Sch4-TUTRR'!K74</f>
        <v>4497.7999008893967</v>
      </c>
      <c r="F8" s="48">
        <f>(E8/E10)*F10</f>
        <v>4802.2309507708233</v>
      </c>
      <c r="G8" s="56"/>
    </row>
    <row r="9" spans="1:7" ht="15.5" x14ac:dyDescent="0.25">
      <c r="A9" s="58"/>
      <c r="B9" s="168"/>
      <c r="C9" s="56"/>
      <c r="D9" s="57"/>
      <c r="E9" s="48"/>
      <c r="F9" s="48"/>
      <c r="G9" s="56"/>
    </row>
    <row r="10" spans="1:7" ht="15.5" x14ac:dyDescent="0.25">
      <c r="A10" s="255" t="s">
        <v>421</v>
      </c>
      <c r="B10" s="256"/>
      <c r="C10" s="59"/>
      <c r="D10" s="60" t="s">
        <v>416</v>
      </c>
      <c r="E10" s="61">
        <f>SUM(E5:E9)</f>
        <v>3561.2450126409531</v>
      </c>
      <c r="F10" s="61">
        <f>'WP-Total Adj with Int'!G36</f>
        <v>3802.2858730555968</v>
      </c>
      <c r="G10" s="56"/>
    </row>
    <row r="11" spans="1:7" ht="15.5" x14ac:dyDescent="0.25">
      <c r="A11" s="83"/>
      <c r="B11" s="84"/>
      <c r="C11" s="59"/>
      <c r="D11" s="60"/>
      <c r="E11" s="61"/>
      <c r="F11" s="61"/>
      <c r="G11" s="56"/>
    </row>
    <row r="12" spans="1:7" ht="15.75" customHeight="1" x14ac:dyDescent="0.25">
      <c r="A12" s="71"/>
      <c r="B12" s="72"/>
      <c r="C12" s="59"/>
      <c r="D12" s="76"/>
      <c r="E12" s="48"/>
      <c r="F12" s="48"/>
    </row>
    <row r="13" spans="1:7" ht="20.25" customHeight="1" x14ac:dyDescent="0.25">
      <c r="A13" s="255" t="s">
        <v>286</v>
      </c>
      <c r="B13" s="256"/>
      <c r="C13" s="56"/>
      <c r="D13" s="57"/>
    </row>
    <row r="14" spans="1:7" ht="78.5" customHeight="1" x14ac:dyDescent="0.25">
      <c r="A14" s="58" t="s">
        <v>28</v>
      </c>
      <c r="B14" s="72" t="s">
        <v>323</v>
      </c>
      <c r="C14" s="56"/>
      <c r="D14" s="57" t="s">
        <v>413</v>
      </c>
      <c r="E14" s="48">
        <f>'WP-2018 Sch4-TUTRR'!K73</f>
        <v>-1275.206901550293</v>
      </c>
      <c r="F14" s="48">
        <f>(E14/E$18)*F$18</f>
        <v>-1305.6484176543463</v>
      </c>
    </row>
    <row r="15" spans="1:7" ht="12.75" customHeight="1" x14ac:dyDescent="0.25">
      <c r="A15" s="74"/>
      <c r="B15" s="72"/>
      <c r="C15" s="56"/>
      <c r="D15" s="57"/>
      <c r="E15" s="48"/>
      <c r="F15" s="48"/>
    </row>
    <row r="16" spans="1:7" ht="78.5" customHeight="1" x14ac:dyDescent="0.25">
      <c r="A16" s="58" t="s">
        <v>412</v>
      </c>
      <c r="B16" s="168" t="s">
        <v>423</v>
      </c>
      <c r="C16" s="56"/>
      <c r="D16" s="57" t="s">
        <v>414</v>
      </c>
      <c r="E16" s="48">
        <f>'WP-2018 Sch4-TUTRR'!K74</f>
        <v>52901.253173351193</v>
      </c>
      <c r="F16" s="48">
        <f>(E16/E$18)*F$18</f>
        <v>54164.102636009673</v>
      </c>
    </row>
    <row r="17" spans="1:9" ht="12.75" customHeight="1" x14ac:dyDescent="0.25">
      <c r="A17" s="74"/>
      <c r="B17" s="168"/>
      <c r="C17" s="56"/>
      <c r="D17" s="57"/>
      <c r="E17" s="48"/>
      <c r="F17" s="48"/>
    </row>
    <row r="18" spans="1:9" ht="15.75" customHeight="1" x14ac:dyDescent="0.25">
      <c r="A18" s="255" t="s">
        <v>419</v>
      </c>
      <c r="B18" s="256"/>
      <c r="C18" s="59"/>
      <c r="D18" s="67" t="s">
        <v>417</v>
      </c>
      <c r="E18" s="61">
        <f>SUM(E14:E17)</f>
        <v>51626.0462718009</v>
      </c>
      <c r="F18" s="61">
        <f>'WP-Total Adj with Int'!K36</f>
        <v>52858.454218355328</v>
      </c>
      <c r="G18" s="56"/>
      <c r="H18" s="56"/>
      <c r="I18" s="56"/>
    </row>
    <row r="19" spans="1:9" ht="15.75" customHeight="1" x14ac:dyDescent="0.25">
      <c r="A19" s="83"/>
      <c r="B19" s="84"/>
      <c r="C19" s="59"/>
      <c r="D19" s="67"/>
      <c r="E19" s="61"/>
      <c r="F19" s="61"/>
      <c r="G19" s="56"/>
      <c r="H19" s="56"/>
      <c r="I19" s="56"/>
    </row>
    <row r="20" spans="1:9" ht="12.75" customHeight="1" thickBot="1" x14ac:dyDescent="0.3">
      <c r="A20" s="74"/>
      <c r="B20" s="72"/>
      <c r="C20" s="56"/>
      <c r="D20" s="57"/>
      <c r="E20" s="48"/>
      <c r="F20" s="48"/>
    </row>
    <row r="21" spans="1:9" ht="16" thickBot="1" x14ac:dyDescent="0.3">
      <c r="A21" s="253" t="s">
        <v>420</v>
      </c>
      <c r="B21" s="254"/>
      <c r="C21" s="68"/>
      <c r="D21" s="69" t="s">
        <v>415</v>
      </c>
      <c r="E21" s="77">
        <f>E10+E18</f>
        <v>55187.291284441853</v>
      </c>
      <c r="F21" s="78">
        <f>F10+F18</f>
        <v>56660.740091410924</v>
      </c>
      <c r="G21" s="56"/>
    </row>
    <row r="22" spans="1:9" ht="15.5" x14ac:dyDescent="0.25">
      <c r="A22" s="83"/>
      <c r="B22" s="84"/>
      <c r="C22" s="56"/>
      <c r="D22" s="57"/>
      <c r="E22" s="48"/>
      <c r="F22" s="48"/>
      <c r="G22" s="56"/>
    </row>
    <row r="23" spans="1:9" ht="15.5" x14ac:dyDescent="0.25">
      <c r="A23" s="47"/>
      <c r="B23" s="62"/>
      <c r="E23" s="48"/>
      <c r="F23" s="48"/>
    </row>
    <row r="24" spans="1:9" ht="21" x14ac:dyDescent="0.25">
      <c r="A24" s="41" t="s">
        <v>287</v>
      </c>
      <c r="B24" s="31"/>
      <c r="C24" s="31"/>
      <c r="D24" s="53"/>
      <c r="E24" s="48"/>
      <c r="F24" s="48"/>
      <c r="G24" s="79"/>
    </row>
    <row r="25" spans="1:9" ht="15.5" x14ac:dyDescent="0.25">
      <c r="A25" s="47"/>
      <c r="B25" s="62"/>
      <c r="E25" s="48"/>
      <c r="F25" s="48"/>
    </row>
    <row r="26" spans="1:9" ht="29.25" customHeight="1" x14ac:dyDescent="0.25">
      <c r="E26" s="48"/>
      <c r="F26" s="48"/>
    </row>
  </sheetData>
  <mergeCells count="7">
    <mergeCell ref="A21:B21"/>
    <mergeCell ref="A18:B18"/>
    <mergeCell ref="A13:B13"/>
    <mergeCell ref="A2:B2"/>
    <mergeCell ref="A3:B3"/>
    <mergeCell ref="A5:B5"/>
    <mergeCell ref="A10:B10"/>
  </mergeCells>
  <printOptions horizontalCentered="1"/>
  <pageMargins left="0.7" right="0.7" top="0.75" bottom="0.75" header="0.3" footer="0.3"/>
  <pageSetup scale="70" fitToHeight="0" orientation="landscape" r:id="rId1"/>
  <headerFooter>
    <oddHeader>&amp;R&amp;8TO2021 Annual Update
Attachment 4
WP-Schedule 3-One Time Adj Prior Period
Page &amp;P of &amp;N</oddHeader>
    <oddFooter>&amp;R&amp;A</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FDBE9-A34D-466F-AD5B-4DCB616582FB}">
  <dimension ref="A1:X104"/>
  <sheetViews>
    <sheetView zoomScaleNormal="100" workbookViewId="0"/>
  </sheetViews>
  <sheetFormatPr defaultRowHeight="12.5" x14ac:dyDescent="0.25"/>
  <cols>
    <col min="1" max="1" width="4.7265625" style="93" customWidth="1"/>
    <col min="2" max="2" width="2.7265625" style="93" customWidth="1"/>
    <col min="3" max="3" width="8.7265625" style="93" customWidth="1"/>
    <col min="4" max="4" width="32.54296875" style="93" customWidth="1"/>
    <col min="5" max="5" width="14.7265625" style="93" customWidth="1"/>
    <col min="6" max="6" width="15.7265625" style="93" customWidth="1"/>
    <col min="7" max="8" width="14.7265625" style="93" customWidth="1"/>
    <col min="9" max="9" width="20" style="93" customWidth="1"/>
    <col min="10" max="10" width="15.81640625" style="93" customWidth="1"/>
    <col min="11" max="11" width="11" style="93" bestFit="1" customWidth="1"/>
    <col min="12" max="16384" width="8.7265625" style="93"/>
  </cols>
  <sheetData>
    <row r="1" spans="1:24" ht="13" x14ac:dyDescent="0.3">
      <c r="A1" s="92" t="s">
        <v>159</v>
      </c>
      <c r="F1" s="142" t="s">
        <v>156</v>
      </c>
      <c r="G1" s="125"/>
      <c r="H1" s="130"/>
      <c r="I1" s="130"/>
    </row>
    <row r="2" spans="1:24" ht="13" x14ac:dyDescent="0.3">
      <c r="E2" s="136" t="s">
        <v>148</v>
      </c>
      <c r="F2" s="136" t="s">
        <v>149</v>
      </c>
      <c r="G2" s="136" t="s">
        <v>150</v>
      </c>
      <c r="H2" s="136" t="s">
        <v>151</v>
      </c>
      <c r="I2" s="130"/>
    </row>
    <row r="3" spans="1:24" x14ac:dyDescent="0.25">
      <c r="G3" s="130" t="s">
        <v>160</v>
      </c>
    </row>
    <row r="4" spans="1:24" ht="13" x14ac:dyDescent="0.3">
      <c r="E4" s="96" t="s">
        <v>161</v>
      </c>
      <c r="F4" s="40" t="s">
        <v>157</v>
      </c>
      <c r="G4" s="96" t="s">
        <v>162</v>
      </c>
      <c r="I4" s="96"/>
    </row>
    <row r="5" spans="1:24" ht="13" x14ac:dyDescent="0.3">
      <c r="A5" s="97" t="s">
        <v>39</v>
      </c>
      <c r="B5" s="100"/>
      <c r="C5" s="100" t="s">
        <v>163</v>
      </c>
      <c r="D5" s="100" t="s">
        <v>31</v>
      </c>
      <c r="E5" s="100" t="s">
        <v>32</v>
      </c>
      <c r="F5" s="134" t="s">
        <v>33</v>
      </c>
      <c r="G5" s="100" t="s">
        <v>164</v>
      </c>
      <c r="H5" s="100" t="s">
        <v>84</v>
      </c>
      <c r="I5" s="100" t="s">
        <v>42</v>
      </c>
      <c r="K5" s="100"/>
      <c r="L5" s="100"/>
      <c r="M5" s="100"/>
      <c r="N5" s="100"/>
      <c r="O5" s="100"/>
      <c r="P5" s="100"/>
      <c r="Q5" s="100"/>
      <c r="R5" s="100"/>
      <c r="S5" s="100"/>
      <c r="T5" s="100"/>
      <c r="U5" s="100"/>
      <c r="V5" s="100"/>
      <c r="W5" s="100"/>
      <c r="X5" s="100"/>
    </row>
    <row r="6" spans="1:24" ht="13" x14ac:dyDescent="0.3">
      <c r="A6" s="96">
        <v>1</v>
      </c>
      <c r="C6" s="130">
        <v>920</v>
      </c>
      <c r="D6" s="93" t="s">
        <v>165</v>
      </c>
      <c r="E6" s="143">
        <v>380019593</v>
      </c>
      <c r="F6" s="130" t="s">
        <v>166</v>
      </c>
      <c r="G6" s="102">
        <f>D37</f>
        <v>171916034.41275966</v>
      </c>
      <c r="H6" s="102">
        <f t="shared" ref="H6:H19" si="0">E6-G6</f>
        <v>208103558.58724034</v>
      </c>
    </row>
    <row r="7" spans="1:24" ht="13" x14ac:dyDescent="0.3">
      <c r="A7" s="96">
        <f>A6+1</f>
        <v>2</v>
      </c>
      <c r="C7" s="130">
        <v>921</v>
      </c>
      <c r="D7" s="93" t="s">
        <v>167</v>
      </c>
      <c r="E7" s="143">
        <v>243397352</v>
      </c>
      <c r="F7" s="130" t="s">
        <v>168</v>
      </c>
      <c r="G7" s="102">
        <f t="shared" ref="G7:G19" si="1">D38</f>
        <v>8604255.4699999988</v>
      </c>
      <c r="H7" s="102">
        <f t="shared" si="0"/>
        <v>234793096.53</v>
      </c>
    </row>
    <row r="8" spans="1:24" ht="13" x14ac:dyDescent="0.3">
      <c r="A8" s="96">
        <f>A7+1</f>
        <v>3</v>
      </c>
      <c r="C8" s="130">
        <v>922</v>
      </c>
      <c r="D8" s="93" t="s">
        <v>169</v>
      </c>
      <c r="E8" s="143">
        <v>-153376384</v>
      </c>
      <c r="F8" s="130" t="s">
        <v>170</v>
      </c>
      <c r="G8" s="102">
        <f t="shared" si="1"/>
        <v>-62480935.075400002</v>
      </c>
      <c r="H8" s="102">
        <f t="shared" si="0"/>
        <v>-90895448.924600005</v>
      </c>
      <c r="I8" s="98" t="s">
        <v>171</v>
      </c>
    </row>
    <row r="9" spans="1:24" ht="13" x14ac:dyDescent="0.3">
      <c r="A9" s="96">
        <f t="shared" ref="A9:A20" si="2">A8+1</f>
        <v>4</v>
      </c>
      <c r="B9" s="96"/>
      <c r="C9" s="130">
        <v>923</v>
      </c>
      <c r="D9" s="93" t="s">
        <v>172</v>
      </c>
      <c r="E9" s="143">
        <v>54239013</v>
      </c>
      <c r="F9" s="130" t="s">
        <v>173</v>
      </c>
      <c r="G9" s="105">
        <f t="shared" si="1"/>
        <v>8764417.7079565898</v>
      </c>
      <c r="H9" s="105">
        <f t="shared" si="0"/>
        <v>45474595.29204341</v>
      </c>
    </row>
    <row r="10" spans="1:24" ht="13" x14ac:dyDescent="0.3">
      <c r="A10" s="96">
        <f t="shared" si="2"/>
        <v>5</v>
      </c>
      <c r="B10" s="96"/>
      <c r="C10" s="130">
        <v>924</v>
      </c>
      <c r="D10" s="93" t="s">
        <v>174</v>
      </c>
      <c r="E10" s="143">
        <v>16155127</v>
      </c>
      <c r="F10" s="130" t="s">
        <v>175</v>
      </c>
      <c r="G10" s="102">
        <f t="shared" si="1"/>
        <v>0</v>
      </c>
      <c r="H10" s="102">
        <f t="shared" si="0"/>
        <v>16155127</v>
      </c>
    </row>
    <row r="11" spans="1:24" ht="13" x14ac:dyDescent="0.3">
      <c r="A11" s="96">
        <f t="shared" si="2"/>
        <v>6</v>
      </c>
      <c r="B11" s="96"/>
      <c r="C11" s="130">
        <v>925</v>
      </c>
      <c r="D11" s="93" t="s">
        <v>176</v>
      </c>
      <c r="E11" s="143">
        <v>2996146771</v>
      </c>
      <c r="F11" s="130" t="s">
        <v>177</v>
      </c>
      <c r="G11" s="102">
        <f t="shared" si="1"/>
        <v>3991252.14</v>
      </c>
      <c r="H11" s="102">
        <f t="shared" si="0"/>
        <v>2992155518.8600001</v>
      </c>
    </row>
    <row r="12" spans="1:24" ht="13" x14ac:dyDescent="0.3">
      <c r="A12" s="96">
        <f t="shared" si="2"/>
        <v>7</v>
      </c>
      <c r="B12" s="96"/>
      <c r="C12" s="130">
        <v>926</v>
      </c>
      <c r="D12" s="93" t="s">
        <v>178</v>
      </c>
      <c r="E12" s="143">
        <v>115626278</v>
      </c>
      <c r="F12" s="130" t="s">
        <v>179</v>
      </c>
      <c r="G12" s="102">
        <f t="shared" si="1"/>
        <v>-12067035</v>
      </c>
      <c r="H12" s="102">
        <f t="shared" si="0"/>
        <v>127693313</v>
      </c>
    </row>
    <row r="13" spans="1:24" ht="13" x14ac:dyDescent="0.3">
      <c r="A13" s="96">
        <f t="shared" si="2"/>
        <v>8</v>
      </c>
      <c r="B13" s="96"/>
      <c r="C13" s="130">
        <v>927</v>
      </c>
      <c r="D13" s="93" t="s">
        <v>152</v>
      </c>
      <c r="E13" s="143">
        <v>113911175</v>
      </c>
      <c r="F13" s="130" t="s">
        <v>180</v>
      </c>
      <c r="G13" s="102">
        <f t="shared" si="1"/>
        <v>113911175</v>
      </c>
      <c r="H13" s="102">
        <f t="shared" si="0"/>
        <v>0</v>
      </c>
    </row>
    <row r="14" spans="1:24" ht="13" x14ac:dyDescent="0.3">
      <c r="A14" s="96">
        <f t="shared" si="2"/>
        <v>9</v>
      </c>
      <c r="B14" s="96"/>
      <c r="C14" s="130">
        <v>928</v>
      </c>
      <c r="D14" s="93" t="s">
        <v>181</v>
      </c>
      <c r="E14" s="143">
        <v>11239506</v>
      </c>
      <c r="F14" s="130" t="s">
        <v>182</v>
      </c>
      <c r="G14" s="102">
        <f t="shared" si="1"/>
        <v>11197494.479999999</v>
      </c>
      <c r="H14" s="102">
        <f t="shared" si="0"/>
        <v>42011.520000001416</v>
      </c>
    </row>
    <row r="15" spans="1:24" ht="13" x14ac:dyDescent="0.3">
      <c r="A15" s="96">
        <f t="shared" si="2"/>
        <v>10</v>
      </c>
      <c r="B15" s="96"/>
      <c r="C15" s="130">
        <v>929</v>
      </c>
      <c r="D15" s="93" t="s">
        <v>183</v>
      </c>
      <c r="E15" s="143">
        <v>0</v>
      </c>
      <c r="F15" s="130" t="s">
        <v>184</v>
      </c>
      <c r="G15" s="102">
        <f t="shared" si="1"/>
        <v>0</v>
      </c>
      <c r="H15" s="102">
        <f t="shared" si="0"/>
        <v>0</v>
      </c>
    </row>
    <row r="16" spans="1:24" ht="13" x14ac:dyDescent="0.3">
      <c r="A16" s="96">
        <f t="shared" si="2"/>
        <v>11</v>
      </c>
      <c r="B16" s="96"/>
      <c r="C16" s="130">
        <v>930.1</v>
      </c>
      <c r="D16" s="93" t="s">
        <v>185</v>
      </c>
      <c r="E16" s="143">
        <v>6438097</v>
      </c>
      <c r="F16" s="130" t="s">
        <v>186</v>
      </c>
      <c r="G16" s="102">
        <f t="shared" si="1"/>
        <v>0</v>
      </c>
      <c r="H16" s="102">
        <f t="shared" si="0"/>
        <v>6438097</v>
      </c>
    </row>
    <row r="17" spans="1:8" ht="13" x14ac:dyDescent="0.3">
      <c r="A17" s="96">
        <f t="shared" si="2"/>
        <v>12</v>
      </c>
      <c r="B17" s="96"/>
      <c r="C17" s="130">
        <v>930.2</v>
      </c>
      <c r="D17" s="93" t="s">
        <v>187</v>
      </c>
      <c r="E17" s="143">
        <v>23890761</v>
      </c>
      <c r="F17" s="130" t="s">
        <v>188</v>
      </c>
      <c r="G17" s="102">
        <f t="shared" si="1"/>
        <v>14064692.309999999</v>
      </c>
      <c r="H17" s="102">
        <f t="shared" si="0"/>
        <v>9826068.6900000013</v>
      </c>
    </row>
    <row r="18" spans="1:8" ht="13" x14ac:dyDescent="0.3">
      <c r="A18" s="96">
        <f t="shared" si="2"/>
        <v>13</v>
      </c>
      <c r="B18" s="96"/>
      <c r="C18" s="130">
        <v>931</v>
      </c>
      <c r="D18" s="93" t="s">
        <v>189</v>
      </c>
      <c r="E18" s="143">
        <v>8428057</v>
      </c>
      <c r="F18" s="130" t="s">
        <v>190</v>
      </c>
      <c r="G18" s="102">
        <f t="shared" si="1"/>
        <v>11993181.66</v>
      </c>
      <c r="H18" s="102">
        <f t="shared" si="0"/>
        <v>-3565124.66</v>
      </c>
    </row>
    <row r="19" spans="1:8" ht="13" x14ac:dyDescent="0.3">
      <c r="A19" s="96">
        <f t="shared" si="2"/>
        <v>14</v>
      </c>
      <c r="B19" s="96"/>
      <c r="C19" s="130">
        <v>935</v>
      </c>
      <c r="D19" s="93" t="s">
        <v>191</v>
      </c>
      <c r="E19" s="144">
        <v>18830965</v>
      </c>
      <c r="F19" s="130" t="s">
        <v>192</v>
      </c>
      <c r="G19" s="102">
        <f t="shared" si="1"/>
        <v>699127.86</v>
      </c>
      <c r="H19" s="108">
        <f t="shared" si="0"/>
        <v>18131837.140000001</v>
      </c>
    </row>
    <row r="20" spans="1:8" ht="13" x14ac:dyDescent="0.3">
      <c r="A20" s="96">
        <f t="shared" si="2"/>
        <v>15</v>
      </c>
      <c r="E20" s="102">
        <f>SUM(E6:E19)</f>
        <v>3834946311</v>
      </c>
      <c r="G20" s="112" t="s">
        <v>193</v>
      </c>
      <c r="H20" s="105">
        <f>SUM(H6:H19)</f>
        <v>3564352650.0346837</v>
      </c>
    </row>
    <row r="22" spans="1:8" ht="13" x14ac:dyDescent="0.3">
      <c r="F22" s="100" t="s">
        <v>32</v>
      </c>
      <c r="G22" s="100" t="s">
        <v>33</v>
      </c>
    </row>
    <row r="23" spans="1:8" ht="13" x14ac:dyDescent="0.3">
      <c r="A23" s="96">
        <f>A20+1</f>
        <v>16</v>
      </c>
      <c r="E23" s="112" t="s">
        <v>194</v>
      </c>
      <c r="F23" s="105">
        <f>H20</f>
        <v>3564352650.0346837</v>
      </c>
      <c r="G23" s="98" t="str">
        <f>"Line "&amp;A20&amp;""</f>
        <v>Line 15</v>
      </c>
    </row>
    <row r="24" spans="1:8" ht="13" x14ac:dyDescent="0.3">
      <c r="A24" s="96">
        <f t="shared" ref="A24:A30" si="3">A23+1</f>
        <v>17</v>
      </c>
      <c r="E24" s="112" t="s">
        <v>195</v>
      </c>
      <c r="F24" s="108">
        <f>E10</f>
        <v>16155127</v>
      </c>
      <c r="G24" s="98" t="str">
        <f>"Line "&amp;A10&amp;""</f>
        <v>Line 5</v>
      </c>
    </row>
    <row r="25" spans="1:8" ht="13" x14ac:dyDescent="0.3">
      <c r="A25" s="96">
        <f t="shared" si="3"/>
        <v>18</v>
      </c>
      <c r="E25" s="112" t="s">
        <v>196</v>
      </c>
      <c r="F25" s="105">
        <f>F23-F24</f>
        <v>3548197523.0346837</v>
      </c>
      <c r="G25" s="98" t="str">
        <f>"Line "&amp;A23&amp;" - Line "&amp;A24&amp;""</f>
        <v>Line 16 - Line 17</v>
      </c>
    </row>
    <row r="26" spans="1:8" ht="13" x14ac:dyDescent="0.3">
      <c r="A26" s="96">
        <f t="shared" si="3"/>
        <v>19</v>
      </c>
      <c r="E26" s="112" t="s">
        <v>197</v>
      </c>
      <c r="F26" s="129">
        <v>5.742655010962041E-2</v>
      </c>
      <c r="G26" s="98" t="s">
        <v>320</v>
      </c>
    </row>
    <row r="27" spans="1:8" ht="13" x14ac:dyDescent="0.3">
      <c r="A27" s="96">
        <f t="shared" si="3"/>
        <v>20</v>
      </c>
      <c r="E27" s="112" t="s">
        <v>198</v>
      </c>
      <c r="F27" s="105">
        <f>F25*F26</f>
        <v>203760742.85538229</v>
      </c>
      <c r="G27" s="98" t="str">
        <f>"Line "&amp;A25&amp;" * Line "&amp;A26&amp;""</f>
        <v>Line 18 * Line 19</v>
      </c>
    </row>
    <row r="28" spans="1:8" ht="13" x14ac:dyDescent="0.3">
      <c r="A28" s="96">
        <f t="shared" si="3"/>
        <v>21</v>
      </c>
      <c r="E28" s="112" t="s">
        <v>199</v>
      </c>
      <c r="F28" s="110">
        <v>0.18742153560119321</v>
      </c>
      <c r="G28" s="98" t="s">
        <v>321</v>
      </c>
    </row>
    <row r="29" spans="1:8" ht="13" x14ac:dyDescent="0.3">
      <c r="A29" s="96">
        <f t="shared" si="3"/>
        <v>22</v>
      </c>
      <c r="E29" s="112" t="s">
        <v>200</v>
      </c>
      <c r="F29" s="104">
        <f>H10*F28</f>
        <v>3027818.7101722974</v>
      </c>
      <c r="G29" s="98" t="str">
        <f>"Line "&amp;A10&amp;" Col 4 * Line "&amp;A28&amp;""</f>
        <v>Line 5 Col 4 * Line 21</v>
      </c>
    </row>
    <row r="30" spans="1:8" ht="13" x14ac:dyDescent="0.3">
      <c r="A30" s="96">
        <f t="shared" si="3"/>
        <v>23</v>
      </c>
      <c r="E30" s="112" t="s">
        <v>201</v>
      </c>
      <c r="F30" s="105">
        <f>F27+F29</f>
        <v>206788561.56555459</v>
      </c>
      <c r="G30" s="98" t="str">
        <f>"Line "&amp;A27&amp;" + Line "&amp;A29&amp;""</f>
        <v>Line 20 + Line 22</v>
      </c>
    </row>
    <row r="32" spans="1:8" ht="13" x14ac:dyDescent="0.3">
      <c r="B32" s="92" t="s">
        <v>202</v>
      </c>
      <c r="E32" s="136" t="s">
        <v>148</v>
      </c>
      <c r="F32" s="136" t="s">
        <v>149</v>
      </c>
      <c r="G32" s="136" t="s">
        <v>150</v>
      </c>
      <c r="H32" s="136" t="s">
        <v>151</v>
      </c>
    </row>
    <row r="33" spans="1:11" ht="13" x14ac:dyDescent="0.3">
      <c r="B33" s="92"/>
      <c r="E33" s="96" t="s">
        <v>203</v>
      </c>
      <c r="F33" s="136"/>
      <c r="G33" s="136"/>
      <c r="H33" s="136"/>
    </row>
    <row r="34" spans="1:11" ht="13" x14ac:dyDescent="0.3">
      <c r="E34" s="96" t="s">
        <v>204</v>
      </c>
    </row>
    <row r="35" spans="1:11" ht="13" x14ac:dyDescent="0.3">
      <c r="D35" s="96" t="s">
        <v>205</v>
      </c>
      <c r="E35" s="96" t="s">
        <v>206</v>
      </c>
      <c r="F35" s="96" t="s">
        <v>207</v>
      </c>
      <c r="G35" s="96"/>
      <c r="H35" s="96"/>
    </row>
    <row r="36" spans="1:11" ht="13" x14ac:dyDescent="0.3">
      <c r="C36" s="100" t="s">
        <v>163</v>
      </c>
      <c r="D36" s="136" t="s">
        <v>208</v>
      </c>
      <c r="E36" s="100" t="s">
        <v>209</v>
      </c>
      <c r="F36" s="100" t="s">
        <v>210</v>
      </c>
      <c r="G36" s="100" t="s">
        <v>211</v>
      </c>
      <c r="H36" s="100" t="s">
        <v>212</v>
      </c>
      <c r="I36" s="100" t="s">
        <v>42</v>
      </c>
    </row>
    <row r="37" spans="1:11" ht="13" x14ac:dyDescent="0.3">
      <c r="A37" s="96">
        <f>A30+1</f>
        <v>24</v>
      </c>
      <c r="C37" s="130">
        <v>920</v>
      </c>
      <c r="D37" s="145">
        <f>SUM(E37:H37)</f>
        <v>171916034.41275966</v>
      </c>
      <c r="E37" s="146">
        <v>52489732</v>
      </c>
      <c r="F37" s="146"/>
      <c r="G37" s="102">
        <f>G58</f>
        <v>119426302.41275966</v>
      </c>
      <c r="H37" s="146"/>
      <c r="I37" s="98" t="s">
        <v>213</v>
      </c>
    </row>
    <row r="38" spans="1:11" ht="13" x14ac:dyDescent="0.3">
      <c r="A38" s="96">
        <f>A37+1</f>
        <v>25</v>
      </c>
      <c r="C38" s="130">
        <v>921</v>
      </c>
      <c r="D38" s="145">
        <f t="shared" ref="D38:D50" si="4">SUM(E38:H38)</f>
        <v>8604255.4699999988</v>
      </c>
      <c r="E38" s="146">
        <v>8604255.4699999988</v>
      </c>
      <c r="F38" s="146"/>
      <c r="G38" s="146">
        <v>0</v>
      </c>
      <c r="H38" s="146"/>
      <c r="I38" s="98"/>
    </row>
    <row r="39" spans="1:11" ht="13.5" thickBot="1" x14ac:dyDescent="0.35">
      <c r="A39" s="96">
        <f t="shared" ref="A39:A50" si="5">A38+1</f>
        <v>26</v>
      </c>
      <c r="C39" s="130">
        <v>922</v>
      </c>
      <c r="D39" s="145">
        <f t="shared" si="4"/>
        <v>-62480935.075400002</v>
      </c>
      <c r="E39" s="146">
        <v>-7944352.0754000004</v>
      </c>
      <c r="F39" s="146"/>
      <c r="G39" s="147">
        <v>-54536583</v>
      </c>
      <c r="H39" s="146"/>
      <c r="I39" s="98"/>
    </row>
    <row r="40" spans="1:11" ht="14" thickTop="1" thickBot="1" x14ac:dyDescent="0.35">
      <c r="A40" s="96">
        <f t="shared" si="5"/>
        <v>27</v>
      </c>
      <c r="C40" s="130">
        <v>923</v>
      </c>
      <c r="D40" s="145">
        <f t="shared" si="4"/>
        <v>8764417.7079565898</v>
      </c>
      <c r="E40" s="157">
        <v>8764417.7079565898</v>
      </c>
      <c r="F40" s="146"/>
      <c r="G40" s="146">
        <v>0</v>
      </c>
      <c r="H40" s="146"/>
      <c r="I40" s="98"/>
      <c r="J40" s="100"/>
      <c r="K40" s="100"/>
    </row>
    <row r="41" spans="1:11" ht="13.5" thickTop="1" x14ac:dyDescent="0.3">
      <c r="A41" s="96">
        <f t="shared" si="5"/>
        <v>28</v>
      </c>
      <c r="C41" s="130">
        <v>924</v>
      </c>
      <c r="D41" s="145">
        <f t="shared" si="4"/>
        <v>0</v>
      </c>
      <c r="E41" s="146">
        <v>0</v>
      </c>
      <c r="F41" s="146"/>
      <c r="G41" s="146">
        <v>0</v>
      </c>
      <c r="H41" s="146"/>
      <c r="I41" s="98"/>
      <c r="K41" s="102"/>
    </row>
    <row r="42" spans="1:11" ht="13" x14ac:dyDescent="0.3">
      <c r="A42" s="96">
        <f t="shared" si="5"/>
        <v>29</v>
      </c>
      <c r="C42" s="130">
        <v>925</v>
      </c>
      <c r="D42" s="145">
        <f t="shared" si="4"/>
        <v>3991252.14</v>
      </c>
      <c r="E42" s="146">
        <v>3991252.14</v>
      </c>
      <c r="F42" s="146"/>
      <c r="G42" s="146">
        <v>0</v>
      </c>
      <c r="H42" s="146"/>
      <c r="I42" s="98"/>
      <c r="K42" s="102"/>
    </row>
    <row r="43" spans="1:11" ht="13" x14ac:dyDescent="0.3">
      <c r="A43" s="96">
        <f t="shared" si="5"/>
        <v>30</v>
      </c>
      <c r="C43" s="130">
        <v>926</v>
      </c>
      <c r="D43" s="145">
        <f t="shared" si="4"/>
        <v>-12067035</v>
      </c>
      <c r="E43" s="146">
        <v>9885298</v>
      </c>
      <c r="F43" s="146"/>
      <c r="G43" s="146">
        <v>0</v>
      </c>
      <c r="H43" s="102">
        <f>E71</f>
        <v>-21952333</v>
      </c>
      <c r="I43" s="98" t="s">
        <v>153</v>
      </c>
      <c r="K43" s="102"/>
    </row>
    <row r="44" spans="1:11" ht="13" x14ac:dyDescent="0.3">
      <c r="A44" s="96">
        <f t="shared" si="5"/>
        <v>31</v>
      </c>
      <c r="C44" s="130">
        <v>927</v>
      </c>
      <c r="D44" s="145">
        <f t="shared" si="4"/>
        <v>113911175</v>
      </c>
      <c r="E44" s="102">
        <v>0</v>
      </c>
      <c r="F44" s="102">
        <f>E13</f>
        <v>113911175</v>
      </c>
      <c r="G44" s="102">
        <v>0</v>
      </c>
      <c r="H44" s="102">
        <v>0</v>
      </c>
      <c r="I44" s="98" t="s">
        <v>214</v>
      </c>
      <c r="K44" s="102"/>
    </row>
    <row r="45" spans="1:11" ht="13" x14ac:dyDescent="0.3">
      <c r="A45" s="96">
        <f t="shared" si="5"/>
        <v>32</v>
      </c>
      <c r="C45" s="130">
        <v>928</v>
      </c>
      <c r="D45" s="145">
        <f t="shared" si="4"/>
        <v>11197494.479999999</v>
      </c>
      <c r="E45" s="146">
        <v>11197494.479999999</v>
      </c>
      <c r="F45" s="146"/>
      <c r="G45" s="146">
        <v>0</v>
      </c>
      <c r="H45" s="146"/>
      <c r="I45" s="98"/>
      <c r="K45" s="102"/>
    </row>
    <row r="46" spans="1:11" ht="13" x14ac:dyDescent="0.3">
      <c r="A46" s="96">
        <f t="shared" si="5"/>
        <v>33</v>
      </c>
      <c r="C46" s="130">
        <v>929</v>
      </c>
      <c r="D46" s="145">
        <f t="shared" si="4"/>
        <v>0</v>
      </c>
      <c r="E46" s="146">
        <v>0</v>
      </c>
      <c r="F46" s="146"/>
      <c r="G46" s="146">
        <v>0</v>
      </c>
      <c r="H46" s="146"/>
      <c r="I46" s="98"/>
      <c r="K46" s="102"/>
    </row>
    <row r="47" spans="1:11" ht="13" x14ac:dyDescent="0.3">
      <c r="A47" s="96">
        <f t="shared" si="5"/>
        <v>34</v>
      </c>
      <c r="C47" s="130">
        <v>930.1</v>
      </c>
      <c r="D47" s="145">
        <f t="shared" si="4"/>
        <v>0</v>
      </c>
      <c r="E47" s="146">
        <v>0</v>
      </c>
      <c r="F47" s="146"/>
      <c r="G47" s="146">
        <v>0</v>
      </c>
      <c r="H47" s="146"/>
      <c r="I47" s="98"/>
      <c r="K47" s="102"/>
    </row>
    <row r="48" spans="1:11" ht="13" x14ac:dyDescent="0.3">
      <c r="A48" s="96">
        <f t="shared" si="5"/>
        <v>35</v>
      </c>
      <c r="C48" s="130">
        <v>930.2</v>
      </c>
      <c r="D48" s="145">
        <f t="shared" si="4"/>
        <v>14064692.309999999</v>
      </c>
      <c r="E48" s="146">
        <v>14064692.309999999</v>
      </c>
      <c r="F48" s="146"/>
      <c r="G48" s="146">
        <v>0</v>
      </c>
      <c r="H48" s="146"/>
      <c r="I48" s="98"/>
      <c r="J48" s="102"/>
    </row>
    <row r="49" spans="1:10" ht="13" x14ac:dyDescent="0.3">
      <c r="A49" s="96">
        <f t="shared" si="5"/>
        <v>36</v>
      </c>
      <c r="C49" s="130">
        <v>931</v>
      </c>
      <c r="D49" s="145">
        <f t="shared" si="4"/>
        <v>11993181.66</v>
      </c>
      <c r="E49" s="146">
        <v>11993181.66</v>
      </c>
      <c r="F49" s="146"/>
      <c r="G49" s="146">
        <v>0</v>
      </c>
      <c r="H49" s="146"/>
      <c r="I49" s="98"/>
      <c r="J49" s="102"/>
    </row>
    <row r="50" spans="1:10" ht="13" x14ac:dyDescent="0.3">
      <c r="A50" s="96">
        <f t="shared" si="5"/>
        <v>37</v>
      </c>
      <c r="C50" s="130">
        <v>935</v>
      </c>
      <c r="D50" s="145">
        <f t="shared" si="4"/>
        <v>699127.86</v>
      </c>
      <c r="E50" s="146">
        <v>699127.86</v>
      </c>
      <c r="F50" s="146"/>
      <c r="G50" s="146">
        <v>0</v>
      </c>
      <c r="H50" s="146"/>
      <c r="I50" s="98"/>
    </row>
    <row r="51" spans="1:10" ht="13" x14ac:dyDescent="0.3">
      <c r="A51" s="96"/>
      <c r="C51" s="130"/>
      <c r="D51" s="145"/>
      <c r="E51" s="102"/>
      <c r="F51" s="102"/>
      <c r="G51" s="102"/>
      <c r="H51" s="102"/>
      <c r="I51" s="98"/>
    </row>
    <row r="52" spans="1:10" ht="13" x14ac:dyDescent="0.3">
      <c r="B52" s="92" t="s">
        <v>215</v>
      </c>
    </row>
    <row r="53" spans="1:10" ht="13" x14ac:dyDescent="0.3">
      <c r="B53" s="92"/>
      <c r="C53" s="93" t="s">
        <v>217</v>
      </c>
      <c r="G53" s="96"/>
      <c r="H53" s="96"/>
    </row>
    <row r="54" spans="1:10" ht="13" x14ac:dyDescent="0.3">
      <c r="B54" s="92"/>
      <c r="C54" s="120" t="s">
        <v>218</v>
      </c>
      <c r="D54" s="120"/>
      <c r="E54" s="120"/>
      <c r="G54" s="96"/>
      <c r="H54" s="96"/>
    </row>
    <row r="55" spans="1:10" ht="13" x14ac:dyDescent="0.3">
      <c r="B55" s="92"/>
      <c r="G55" s="100" t="s">
        <v>32</v>
      </c>
      <c r="H55" s="100" t="s">
        <v>33</v>
      </c>
    </row>
    <row r="56" spans="1:10" ht="13" x14ac:dyDescent="0.3">
      <c r="A56" s="96"/>
      <c r="B56" s="96" t="s">
        <v>118</v>
      </c>
      <c r="F56" s="112" t="s">
        <v>219</v>
      </c>
      <c r="G56" s="146">
        <v>137026591.07999963</v>
      </c>
      <c r="H56" s="98" t="s">
        <v>220</v>
      </c>
    </row>
    <row r="57" spans="1:10" ht="13" x14ac:dyDescent="0.3">
      <c r="A57" s="96"/>
      <c r="B57" s="96" t="s">
        <v>120</v>
      </c>
      <c r="F57" s="112" t="s">
        <v>221</v>
      </c>
      <c r="G57" s="108">
        <f>E61</f>
        <v>17600288.667239957</v>
      </c>
      <c r="H57" s="98" t="str">
        <f>"Note 2, "&amp;B61&amp;""</f>
        <v>Note 2, d</v>
      </c>
    </row>
    <row r="58" spans="1:10" ht="13" x14ac:dyDescent="0.3">
      <c r="A58" s="96"/>
      <c r="B58" s="96" t="s">
        <v>123</v>
      </c>
      <c r="F58" s="112" t="s">
        <v>222</v>
      </c>
      <c r="G58" s="102">
        <f>G56-G57</f>
        <v>119426302.41275966</v>
      </c>
    </row>
    <row r="59" spans="1:10" ht="13" x14ac:dyDescent="0.3">
      <c r="A59" s="96"/>
      <c r="C59" s="120" t="s">
        <v>223</v>
      </c>
      <c r="D59" s="120"/>
      <c r="E59" s="120"/>
      <c r="G59" s="102"/>
    </row>
    <row r="60" spans="1:10" ht="13" x14ac:dyDescent="0.3">
      <c r="A60" s="96"/>
      <c r="D60" s="99" t="s">
        <v>224</v>
      </c>
      <c r="E60" s="100" t="s">
        <v>32</v>
      </c>
      <c r="F60" s="100" t="s">
        <v>33</v>
      </c>
      <c r="G60" s="102"/>
    </row>
    <row r="61" spans="1:10" ht="13" x14ac:dyDescent="0.3">
      <c r="A61" s="96"/>
      <c r="B61" s="96" t="s">
        <v>125</v>
      </c>
      <c r="D61" s="93" t="s">
        <v>225</v>
      </c>
      <c r="E61" s="147">
        <v>17600288.667239957</v>
      </c>
      <c r="F61" s="98" t="s">
        <v>226</v>
      </c>
      <c r="G61" s="102"/>
    </row>
    <row r="62" spans="1:10" ht="13" x14ac:dyDescent="0.3">
      <c r="A62" s="96"/>
      <c r="B62" s="96" t="s">
        <v>129</v>
      </c>
      <c r="D62" s="93" t="s">
        <v>227</v>
      </c>
      <c r="E62" s="147">
        <v>8544924.9171872791</v>
      </c>
      <c r="F62" s="98" t="s">
        <v>226</v>
      </c>
      <c r="G62" s="102"/>
      <c r="I62" s="150"/>
    </row>
    <row r="63" spans="1:10" ht="13" x14ac:dyDescent="0.3">
      <c r="A63" s="96"/>
      <c r="B63" s="96" t="s">
        <v>132</v>
      </c>
      <c r="D63" s="93" t="s">
        <v>228</v>
      </c>
      <c r="E63" s="70">
        <v>26767831.415572762</v>
      </c>
      <c r="F63" s="98" t="s">
        <v>226</v>
      </c>
      <c r="G63" s="102"/>
      <c r="I63" s="102"/>
    </row>
    <row r="64" spans="1:10" ht="13" x14ac:dyDescent="0.3">
      <c r="A64" s="96"/>
      <c r="B64" s="96" t="s">
        <v>134</v>
      </c>
      <c r="D64" s="112" t="s">
        <v>158</v>
      </c>
      <c r="E64" s="102">
        <f>SUM(E61:E63)</f>
        <v>52913045</v>
      </c>
      <c r="F64" s="98" t="str">
        <f>"Sum of "&amp;B61&amp;" to "&amp;B63&amp;""</f>
        <v>Sum of d to f</v>
      </c>
      <c r="G64" s="102"/>
    </row>
    <row r="66" spans="1:7" ht="13" x14ac:dyDescent="0.3">
      <c r="B66" s="92" t="s">
        <v>229</v>
      </c>
    </row>
    <row r="67" spans="1:7" ht="13" x14ac:dyDescent="0.3">
      <c r="E67" s="100" t="s">
        <v>32</v>
      </c>
      <c r="F67" s="99" t="s">
        <v>230</v>
      </c>
    </row>
    <row r="68" spans="1:7" ht="13" x14ac:dyDescent="0.3">
      <c r="A68" s="96"/>
      <c r="B68" s="96" t="s">
        <v>118</v>
      </c>
      <c r="D68" s="112" t="s">
        <v>302</v>
      </c>
      <c r="E68" s="102">
        <v>18219000</v>
      </c>
      <c r="F68" s="98" t="s">
        <v>232</v>
      </c>
      <c r="G68" s="162"/>
    </row>
    <row r="69" spans="1:7" ht="13" x14ac:dyDescent="0.3">
      <c r="A69" s="96"/>
      <c r="B69" s="96" t="s">
        <v>120</v>
      </c>
      <c r="D69" s="112" t="s">
        <v>303</v>
      </c>
      <c r="E69" s="158">
        <v>40171333</v>
      </c>
      <c r="F69" s="98" t="s">
        <v>304</v>
      </c>
    </row>
    <row r="70" spans="1:7" ht="13" x14ac:dyDescent="0.3">
      <c r="A70" s="96"/>
      <c r="B70" s="96" t="s">
        <v>123</v>
      </c>
      <c r="D70" s="112" t="s">
        <v>233</v>
      </c>
      <c r="E70" s="152">
        <v>18219000</v>
      </c>
      <c r="F70" s="98" t="s">
        <v>220</v>
      </c>
    </row>
    <row r="71" spans="1:7" ht="13" x14ac:dyDescent="0.3">
      <c r="A71" s="96"/>
      <c r="B71" s="96" t="s">
        <v>125</v>
      </c>
      <c r="D71" s="112" t="s">
        <v>234</v>
      </c>
      <c r="E71" s="102">
        <f>E70-E69</f>
        <v>-21952333</v>
      </c>
      <c r="F71" s="98" t="str">
        <f>""&amp;B70&amp;" - "&amp;B69&amp;""</f>
        <v>c - b</v>
      </c>
    </row>
    <row r="72" spans="1:7" ht="13" x14ac:dyDescent="0.3">
      <c r="A72" s="96"/>
      <c r="B72" s="92" t="s">
        <v>235</v>
      </c>
      <c r="D72" s="112"/>
      <c r="E72" s="102"/>
      <c r="F72" s="98"/>
    </row>
    <row r="73" spans="1:7" ht="13" x14ac:dyDescent="0.3">
      <c r="A73" s="96"/>
      <c r="B73" s="92"/>
      <c r="C73" s="93" t="str">
        <f>"Amount in Line "&amp;A44&amp;", column 2 equals amount in Line "&amp;A13&amp;", column 1 because all Franchise Requirements Expenses are excluded"</f>
        <v>Amount in Line 31, column 2 equals amount in Line 8, column 1 because all Franchise Requirements Expenses are excluded</v>
      </c>
      <c r="D73" s="112"/>
      <c r="E73" s="102"/>
      <c r="F73" s="98"/>
    </row>
    <row r="74" spans="1:7" ht="13" x14ac:dyDescent="0.3">
      <c r="A74" s="96"/>
      <c r="B74" s="92"/>
      <c r="C74" s="93" t="s">
        <v>236</v>
      </c>
      <c r="D74" s="112"/>
      <c r="E74" s="102"/>
      <c r="F74" s="98"/>
    </row>
    <row r="76" spans="1:7" ht="13" x14ac:dyDescent="0.3">
      <c r="B76" s="92" t="s">
        <v>106</v>
      </c>
    </row>
    <row r="77" spans="1:7" x14ac:dyDescent="0.25">
      <c r="C77" s="93" t="str">
        <f>"1) Enter amounts of A&amp;G expenses from FERC Form 1 in Lines "&amp;A6&amp;" to "&amp;A19&amp;"."</f>
        <v>1) Enter amounts of A&amp;G expenses from FERC Form 1 in Lines 1 to 14.</v>
      </c>
    </row>
    <row r="78" spans="1:7" x14ac:dyDescent="0.25">
      <c r="C78" s="93" t="s">
        <v>237</v>
      </c>
      <c r="G78" s="93" t="str">
        <f>"Column 3, Line "&amp;A37&amp;""</f>
        <v>Column 3, Line 24</v>
      </c>
    </row>
    <row r="79" spans="1:7" x14ac:dyDescent="0.25">
      <c r="C79" s="98" t="str">
        <f>"is calculated in Note 2.  The PBOPs exclusion in Column 4, Line "&amp;A43&amp;" is calculated in Note 3."</f>
        <v>is calculated in Note 2.  The PBOPs exclusion in Column 4, Line 30 is calculated in Note 3.</v>
      </c>
    </row>
    <row r="80" spans="1:7" x14ac:dyDescent="0.25">
      <c r="C80" s="98" t="s">
        <v>238</v>
      </c>
    </row>
    <row r="81" spans="3:7" x14ac:dyDescent="0.25">
      <c r="C81" s="98" t="s">
        <v>239</v>
      </c>
      <c r="D81" s="112"/>
      <c r="E81" s="102"/>
      <c r="F81" s="98"/>
    </row>
    <row r="82" spans="3:7" x14ac:dyDescent="0.25">
      <c r="C82" s="98" t="s">
        <v>240</v>
      </c>
      <c r="D82" s="112"/>
      <c r="E82" s="102"/>
      <c r="F82" s="98"/>
    </row>
    <row r="83" spans="3:7" x14ac:dyDescent="0.25">
      <c r="C83" s="98" t="s">
        <v>241</v>
      </c>
    </row>
    <row r="84" spans="3:7" x14ac:dyDescent="0.25">
      <c r="C84" s="98" t="s">
        <v>242</v>
      </c>
    </row>
    <row r="85" spans="3:7" x14ac:dyDescent="0.25">
      <c r="C85" s="98" t="s">
        <v>243</v>
      </c>
    </row>
    <row r="86" spans="3:7" x14ac:dyDescent="0.25">
      <c r="C86" s="98" t="s">
        <v>244</v>
      </c>
    </row>
    <row r="87" spans="3:7" x14ac:dyDescent="0.25">
      <c r="C87" s="98" t="s">
        <v>245</v>
      </c>
    </row>
    <row r="88" spans="3:7" x14ac:dyDescent="0.25">
      <c r="C88" s="98" t="s">
        <v>246</v>
      </c>
      <c r="E88" s="153"/>
      <c r="F88" s="153"/>
      <c r="G88" s="153"/>
    </row>
    <row r="89" spans="3:7" x14ac:dyDescent="0.25">
      <c r="C89" s="154" t="s">
        <v>247</v>
      </c>
      <c r="E89" s="153"/>
      <c r="F89" s="153"/>
      <c r="G89" s="153"/>
    </row>
    <row r="90" spans="3:7" x14ac:dyDescent="0.25">
      <c r="C90" s="154" t="s">
        <v>248</v>
      </c>
      <c r="E90" s="153"/>
      <c r="F90" s="153"/>
      <c r="G90" s="153"/>
    </row>
    <row r="91" spans="3:7" x14ac:dyDescent="0.25">
      <c r="C91" s="154" t="s">
        <v>249</v>
      </c>
      <c r="E91" s="153"/>
      <c r="F91" s="153"/>
      <c r="G91" s="153"/>
    </row>
    <row r="92" spans="3:7" x14ac:dyDescent="0.25">
      <c r="C92" s="98" t="s">
        <v>250</v>
      </c>
      <c r="E92" s="153"/>
      <c r="F92" s="153"/>
      <c r="G92" s="153"/>
    </row>
    <row r="93" spans="3:7" x14ac:dyDescent="0.25">
      <c r="C93" s="154" t="s">
        <v>251</v>
      </c>
      <c r="E93" s="153"/>
      <c r="F93" s="153"/>
      <c r="G93" s="153"/>
    </row>
    <row r="94" spans="3:7" x14ac:dyDescent="0.25">
      <c r="C94" s="154" t="s">
        <v>252</v>
      </c>
      <c r="E94" s="153"/>
      <c r="F94" s="153"/>
      <c r="G94" s="153"/>
    </row>
    <row r="95" spans="3:7" x14ac:dyDescent="0.25">
      <c r="C95" s="154" t="s">
        <v>305</v>
      </c>
      <c r="E95" s="153"/>
      <c r="F95" s="153"/>
      <c r="G95" s="153"/>
    </row>
    <row r="96" spans="3:7" x14ac:dyDescent="0.25">
      <c r="C96" s="154" t="s">
        <v>254</v>
      </c>
      <c r="E96" s="153"/>
      <c r="F96" s="153"/>
      <c r="G96" s="153"/>
    </row>
    <row r="97" spans="3:10" ht="13" x14ac:dyDescent="0.3">
      <c r="C97" s="132" t="s">
        <v>263</v>
      </c>
      <c r="D97" s="120"/>
      <c r="E97" s="120"/>
      <c r="F97" s="120"/>
      <c r="G97" s="120"/>
      <c r="H97" s="120"/>
      <c r="I97" s="120"/>
      <c r="J97" s="120"/>
    </row>
    <row r="98" spans="3:10" x14ac:dyDescent="0.25">
      <c r="C98" s="93" t="s">
        <v>264</v>
      </c>
    </row>
    <row r="99" spans="3:10" x14ac:dyDescent="0.25">
      <c r="C99" s="132" t="s">
        <v>265</v>
      </c>
      <c r="D99" s="120"/>
      <c r="E99" s="120"/>
      <c r="F99" s="120"/>
      <c r="G99" s="120"/>
      <c r="H99" s="120"/>
      <c r="I99" s="120"/>
    </row>
    <row r="100" spans="3:10" x14ac:dyDescent="0.25">
      <c r="C100" s="93" t="str">
        <f>"4) Determine the PBOPs exclusion.  The authorized amount of PBOPs expense (line "&amp;B68&amp;") may only be revised"</f>
        <v>4) Determine the PBOPs exclusion.  The authorized amount of PBOPs expense (line a) may only be revised</v>
      </c>
    </row>
    <row r="101" spans="3:10" x14ac:dyDescent="0.25">
      <c r="C101" s="93" t="s">
        <v>266</v>
      </c>
    </row>
    <row r="102" spans="3:10" x14ac:dyDescent="0.25">
      <c r="C102" s="93" t="s">
        <v>306</v>
      </c>
    </row>
    <row r="103" spans="3:10" x14ac:dyDescent="0.25">
      <c r="C103" s="93" t="s">
        <v>307</v>
      </c>
      <c r="I103" s="125" t="s">
        <v>308</v>
      </c>
      <c r="J103" s="125"/>
    </row>
    <row r="104" spans="3:10" x14ac:dyDescent="0.25">
      <c r="C104" s="93" t="s">
        <v>269</v>
      </c>
    </row>
  </sheetData>
  <pageMargins left="0.75" right="0.75" top="1" bottom="1" header="0.5" footer="0.5"/>
  <pageSetup scale="71" orientation="landscape" cellComments="asDisplayed" r:id="rId1"/>
  <headerFooter alignWithMargins="0">
    <oddHeader>&amp;CSchedule 20
Administrative and General Expenses
(Revised 2018 True Up TRR)&amp;RTO2021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K55"/>
  <sheetViews>
    <sheetView zoomScaleNormal="100" workbookViewId="0"/>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8.81640625" style="1" customWidth="1"/>
    <col min="12" max="16384" width="9.1796875" style="1"/>
  </cols>
  <sheetData>
    <row r="2" spans="1:11" ht="15" thickBot="1" x14ac:dyDescent="0.4"/>
    <row r="3" spans="1:11" x14ac:dyDescent="0.35">
      <c r="A3" s="29" t="s">
        <v>27</v>
      </c>
      <c r="B3" s="30"/>
      <c r="C3" s="30"/>
      <c r="D3" s="30"/>
      <c r="E3" s="30"/>
      <c r="F3" s="30"/>
      <c r="G3" s="30"/>
      <c r="H3" s="30"/>
      <c r="I3" s="30"/>
      <c r="J3" s="30"/>
      <c r="K3" s="165"/>
    </row>
    <row r="4" spans="1:11" ht="15" thickBot="1" x14ac:dyDescent="0.4">
      <c r="A4" s="2"/>
      <c r="B4" s="3"/>
      <c r="C4" s="3"/>
      <c r="D4" s="3"/>
      <c r="E4" s="3"/>
      <c r="F4" s="3"/>
      <c r="G4" s="3"/>
      <c r="H4" s="3"/>
      <c r="I4" s="3"/>
      <c r="J4" s="3"/>
      <c r="K4" s="166"/>
    </row>
    <row r="5" spans="1:11" ht="32.25" customHeight="1" thickBot="1" x14ac:dyDescent="0.4">
      <c r="A5" s="259" t="s">
        <v>284</v>
      </c>
      <c r="B5" s="260"/>
      <c r="C5" s="260"/>
      <c r="D5" s="260"/>
      <c r="E5" s="260"/>
      <c r="F5" s="260"/>
      <c r="G5" s="261"/>
      <c r="H5" s="259" t="s">
        <v>289</v>
      </c>
      <c r="I5" s="260"/>
      <c r="J5" s="260"/>
      <c r="K5" s="261"/>
    </row>
    <row r="6" spans="1:11" ht="15" customHeight="1" x14ac:dyDescent="0.35">
      <c r="A6" s="34"/>
      <c r="B6" s="35"/>
      <c r="C6" s="35"/>
      <c r="D6" s="35"/>
      <c r="E6" s="36" t="s">
        <v>19</v>
      </c>
      <c r="F6" s="37"/>
      <c r="G6" s="38"/>
      <c r="H6" s="4"/>
      <c r="I6" s="5" t="s">
        <v>19</v>
      </c>
      <c r="J6" s="6"/>
      <c r="K6" s="7"/>
    </row>
    <row r="7" spans="1:11" ht="15" customHeight="1" x14ac:dyDescent="0.35">
      <c r="A7" s="13"/>
      <c r="B7" s="4"/>
      <c r="C7" s="4"/>
      <c r="D7" s="4"/>
      <c r="E7" s="5" t="s">
        <v>4</v>
      </c>
      <c r="F7" s="9"/>
      <c r="G7" s="10" t="s">
        <v>19</v>
      </c>
      <c r="H7" s="4"/>
      <c r="I7" s="5" t="s">
        <v>4</v>
      </c>
      <c r="J7" s="9"/>
      <c r="K7" s="10" t="s">
        <v>19</v>
      </c>
    </row>
    <row r="8" spans="1:11" ht="15" customHeight="1" x14ac:dyDescent="0.35">
      <c r="A8" s="13"/>
      <c r="B8" s="4"/>
      <c r="C8" s="4"/>
      <c r="D8" s="4"/>
      <c r="E8" s="5" t="s">
        <v>5</v>
      </c>
      <c r="F8" s="9"/>
      <c r="G8" s="10" t="s">
        <v>4</v>
      </c>
      <c r="H8" s="4"/>
      <c r="I8" s="5" t="s">
        <v>5</v>
      </c>
      <c r="J8" s="9"/>
      <c r="K8" s="10" t="s">
        <v>4</v>
      </c>
    </row>
    <row r="9" spans="1:11" ht="15" customHeight="1" x14ac:dyDescent="0.35">
      <c r="A9" s="13"/>
      <c r="B9" s="4"/>
      <c r="C9" s="8" t="s">
        <v>1</v>
      </c>
      <c r="D9" s="5" t="s">
        <v>1</v>
      </c>
      <c r="E9" s="5" t="s">
        <v>2</v>
      </c>
      <c r="F9" s="12" t="s">
        <v>3</v>
      </c>
      <c r="G9" s="10" t="s">
        <v>5</v>
      </c>
      <c r="H9" s="5" t="s">
        <v>1</v>
      </c>
      <c r="I9" s="5" t="s">
        <v>2</v>
      </c>
      <c r="J9" s="12" t="s">
        <v>3</v>
      </c>
      <c r="K9" s="10" t="s">
        <v>5</v>
      </c>
    </row>
    <row r="10" spans="1:11" ht="15" customHeight="1" x14ac:dyDescent="0.35">
      <c r="A10" s="13"/>
      <c r="B10" s="4"/>
      <c r="C10" s="11" t="s">
        <v>3</v>
      </c>
      <c r="D10" s="5" t="s">
        <v>20</v>
      </c>
      <c r="E10" s="5" t="s">
        <v>22</v>
      </c>
      <c r="F10" s="5" t="s">
        <v>23</v>
      </c>
      <c r="G10" s="10" t="s">
        <v>2</v>
      </c>
      <c r="H10" s="5" t="s">
        <v>20</v>
      </c>
      <c r="I10" s="5" t="s">
        <v>22</v>
      </c>
      <c r="J10" s="5" t="s">
        <v>23</v>
      </c>
      <c r="K10" s="10" t="s">
        <v>2</v>
      </c>
    </row>
    <row r="11" spans="1:11" ht="15.75" customHeight="1" x14ac:dyDescent="0.35">
      <c r="A11" s="27" t="s">
        <v>16</v>
      </c>
      <c r="B11" s="26" t="s">
        <v>17</v>
      </c>
      <c r="C11" s="26" t="s">
        <v>0</v>
      </c>
      <c r="D11" s="25" t="s">
        <v>26</v>
      </c>
      <c r="E11" s="25" t="s">
        <v>24</v>
      </c>
      <c r="F11" s="25" t="s">
        <v>16</v>
      </c>
      <c r="G11" s="28" t="s">
        <v>21</v>
      </c>
      <c r="H11" s="25" t="s">
        <v>26</v>
      </c>
      <c r="I11" s="25" t="s">
        <v>24</v>
      </c>
      <c r="J11" s="25" t="s">
        <v>16</v>
      </c>
      <c r="K11" s="28" t="s">
        <v>21</v>
      </c>
    </row>
    <row r="12" spans="1:11" x14ac:dyDescent="0.35">
      <c r="A12" s="13" t="s">
        <v>7</v>
      </c>
      <c r="B12" s="82" t="s">
        <v>276</v>
      </c>
      <c r="C12" s="81">
        <v>2.8999999999999998E-3</v>
      </c>
      <c r="D12" s="15">
        <f>'WP-2017 True Up TRR Adj'!D8/12</f>
        <v>296.77041772007942</v>
      </c>
      <c r="E12" s="16">
        <f>D12</f>
        <v>296.77041772007942</v>
      </c>
      <c r="F12" s="80">
        <f>((E12)/2)*$C12</f>
        <v>0.43031710569411513</v>
      </c>
      <c r="G12" s="17">
        <f>E12+F12</f>
        <v>297.20073482577351</v>
      </c>
      <c r="H12" s="15">
        <v>0</v>
      </c>
      <c r="I12" s="16">
        <f>H12</f>
        <v>0</v>
      </c>
      <c r="J12" s="80">
        <f>((I12)/2)*C12</f>
        <v>0</v>
      </c>
      <c r="K12" s="17">
        <f>I12+J12</f>
        <v>0</v>
      </c>
    </row>
    <row r="13" spans="1:11" x14ac:dyDescent="0.35">
      <c r="A13" s="13" t="s">
        <v>8</v>
      </c>
      <c r="B13" s="82" t="s">
        <v>276</v>
      </c>
      <c r="C13" s="81">
        <v>2.8999999999999998E-3</v>
      </c>
      <c r="D13" s="15">
        <f>D12</f>
        <v>296.77041772007942</v>
      </c>
      <c r="E13" s="16">
        <f>D13+G12</f>
        <v>593.97115254585287</v>
      </c>
      <c r="F13" s="80">
        <f t="shared" ref="F13:F35" si="0">(((E13+G12))/2)*$C13</f>
        <v>1.2921992366888582</v>
      </c>
      <c r="G13" s="17">
        <f t="shared" ref="G13:G23" si="1">E13+F13</f>
        <v>595.26335178254169</v>
      </c>
      <c r="H13" s="15">
        <v>0</v>
      </c>
      <c r="I13" s="16">
        <f>H13+K12</f>
        <v>0</v>
      </c>
      <c r="J13" s="80">
        <f t="shared" ref="J13:J35" si="2">(((I13+K12))/2)*$C13</f>
        <v>0</v>
      </c>
      <c r="K13" s="17">
        <f t="shared" ref="K13:K23" si="3">I13+J13</f>
        <v>0</v>
      </c>
    </row>
    <row r="14" spans="1:11" x14ac:dyDescent="0.35">
      <c r="A14" s="13" t="s">
        <v>18</v>
      </c>
      <c r="B14" s="82" t="s">
        <v>276</v>
      </c>
      <c r="C14" s="81">
        <v>2.8999999999999998E-3</v>
      </c>
      <c r="D14" s="15">
        <f t="shared" ref="D14:D23" si="4">D13</f>
        <v>296.77041772007942</v>
      </c>
      <c r="E14" s="16">
        <f t="shared" ref="E14:E35" si="5">D14+G13</f>
        <v>892.03376950262111</v>
      </c>
      <c r="F14" s="80">
        <f t="shared" si="0"/>
        <v>2.156580825863486</v>
      </c>
      <c r="G14" s="17">
        <f t="shared" si="1"/>
        <v>894.19035032848456</v>
      </c>
      <c r="H14" s="15">
        <v>0</v>
      </c>
      <c r="I14" s="16">
        <f t="shared" ref="I14:I35" si="6">H14+K13</f>
        <v>0</v>
      </c>
      <c r="J14" s="80">
        <f t="shared" si="2"/>
        <v>0</v>
      </c>
      <c r="K14" s="17">
        <f t="shared" si="3"/>
        <v>0</v>
      </c>
    </row>
    <row r="15" spans="1:11" x14ac:dyDescent="0.35">
      <c r="A15" s="13" t="s">
        <v>9</v>
      </c>
      <c r="B15" s="82" t="s">
        <v>276</v>
      </c>
      <c r="C15" s="81">
        <v>3.0999999999999999E-3</v>
      </c>
      <c r="D15" s="15">
        <f t="shared" si="4"/>
        <v>296.77041772007942</v>
      </c>
      <c r="E15" s="16">
        <f t="shared" si="5"/>
        <v>1190.960768048564</v>
      </c>
      <c r="F15" s="80">
        <f t="shared" si="0"/>
        <v>3.2319842334844253</v>
      </c>
      <c r="G15" s="17">
        <f t="shared" si="1"/>
        <v>1194.1927522820483</v>
      </c>
      <c r="H15" s="15">
        <v>0</v>
      </c>
      <c r="I15" s="16">
        <f t="shared" si="6"/>
        <v>0</v>
      </c>
      <c r="J15" s="80">
        <f t="shared" si="2"/>
        <v>0</v>
      </c>
      <c r="K15" s="17">
        <f t="shared" si="3"/>
        <v>0</v>
      </c>
    </row>
    <row r="16" spans="1:11" x14ac:dyDescent="0.35">
      <c r="A16" s="13" t="s">
        <v>10</v>
      </c>
      <c r="B16" s="82" t="s">
        <v>276</v>
      </c>
      <c r="C16" s="81">
        <v>3.0999999999999999E-3</v>
      </c>
      <c r="D16" s="15">
        <f t="shared" si="4"/>
        <v>296.77041772007942</v>
      </c>
      <c r="E16" s="16">
        <f t="shared" si="5"/>
        <v>1490.9631700021278</v>
      </c>
      <c r="F16" s="80">
        <f t="shared" si="0"/>
        <v>4.1619916795404732</v>
      </c>
      <c r="G16" s="17">
        <f t="shared" si="1"/>
        <v>1495.1251616816683</v>
      </c>
      <c r="H16" s="15">
        <v>0</v>
      </c>
      <c r="I16" s="16">
        <f t="shared" si="6"/>
        <v>0</v>
      </c>
      <c r="J16" s="80">
        <f t="shared" si="2"/>
        <v>0</v>
      </c>
      <c r="K16" s="17">
        <f t="shared" si="3"/>
        <v>0</v>
      </c>
    </row>
    <row r="17" spans="1:11" x14ac:dyDescent="0.35">
      <c r="A17" s="13" t="s">
        <v>25</v>
      </c>
      <c r="B17" s="82" t="s">
        <v>276</v>
      </c>
      <c r="C17" s="81">
        <v>3.0999999999999999E-3</v>
      </c>
      <c r="D17" s="15">
        <f t="shared" si="4"/>
        <v>296.77041772007942</v>
      </c>
      <c r="E17" s="16">
        <f t="shared" si="5"/>
        <v>1791.8955794017477</v>
      </c>
      <c r="F17" s="80">
        <f t="shared" si="0"/>
        <v>5.0948821486792948</v>
      </c>
      <c r="G17" s="17">
        <f t="shared" si="1"/>
        <v>1796.990461550427</v>
      </c>
      <c r="H17" s="15">
        <v>0</v>
      </c>
      <c r="I17" s="16">
        <f t="shared" si="6"/>
        <v>0</v>
      </c>
      <c r="J17" s="80">
        <f t="shared" si="2"/>
        <v>0</v>
      </c>
      <c r="K17" s="17">
        <f t="shared" si="3"/>
        <v>0</v>
      </c>
    </row>
    <row r="18" spans="1:11" x14ac:dyDescent="0.35">
      <c r="A18" s="13" t="s">
        <v>11</v>
      </c>
      <c r="B18" s="82" t="s">
        <v>276</v>
      </c>
      <c r="C18" s="81">
        <v>3.3E-3</v>
      </c>
      <c r="D18" s="15">
        <f t="shared" si="4"/>
        <v>296.77041772007942</v>
      </c>
      <c r="E18" s="16">
        <f t="shared" si="5"/>
        <v>2093.7608792705064</v>
      </c>
      <c r="F18" s="80">
        <f t="shared" si="0"/>
        <v>6.4197397123545397</v>
      </c>
      <c r="G18" s="17">
        <f t="shared" si="1"/>
        <v>2100.1806189828608</v>
      </c>
      <c r="H18" s="15">
        <v>0</v>
      </c>
      <c r="I18" s="16">
        <f t="shared" si="6"/>
        <v>0</v>
      </c>
      <c r="J18" s="80">
        <f t="shared" si="2"/>
        <v>0</v>
      </c>
      <c r="K18" s="17">
        <f t="shared" si="3"/>
        <v>0</v>
      </c>
    </row>
    <row r="19" spans="1:11" x14ac:dyDescent="0.35">
      <c r="A19" s="13" t="s">
        <v>12</v>
      </c>
      <c r="B19" s="82" t="s">
        <v>276</v>
      </c>
      <c r="C19" s="81">
        <v>3.3E-3</v>
      </c>
      <c r="D19" s="15">
        <f t="shared" si="4"/>
        <v>296.77041772007942</v>
      </c>
      <c r="E19" s="16">
        <f t="shared" si="5"/>
        <v>2396.9510367029402</v>
      </c>
      <c r="F19" s="80">
        <f t="shared" si="0"/>
        <v>7.4202672318815717</v>
      </c>
      <c r="G19" s="17">
        <f t="shared" si="1"/>
        <v>2404.3713039348218</v>
      </c>
      <c r="H19" s="15">
        <v>0</v>
      </c>
      <c r="I19" s="16">
        <f t="shared" si="6"/>
        <v>0</v>
      </c>
      <c r="J19" s="80">
        <f t="shared" si="2"/>
        <v>0</v>
      </c>
      <c r="K19" s="17">
        <f t="shared" si="3"/>
        <v>0</v>
      </c>
    </row>
    <row r="20" spans="1:11" x14ac:dyDescent="0.35">
      <c r="A20" s="13" t="s">
        <v>13</v>
      </c>
      <c r="B20" s="82" t="s">
        <v>276</v>
      </c>
      <c r="C20" s="81">
        <v>3.3E-3</v>
      </c>
      <c r="D20" s="15">
        <f t="shared" si="4"/>
        <v>296.77041772007942</v>
      </c>
      <c r="E20" s="16">
        <f t="shared" si="5"/>
        <v>2701.1417216549012</v>
      </c>
      <c r="F20" s="80">
        <f t="shared" si="0"/>
        <v>8.4240964922230432</v>
      </c>
      <c r="G20" s="17">
        <f t="shared" si="1"/>
        <v>2709.5658181471244</v>
      </c>
      <c r="H20" s="15">
        <v>0</v>
      </c>
      <c r="I20" s="16">
        <f t="shared" si="6"/>
        <v>0</v>
      </c>
      <c r="J20" s="80">
        <f t="shared" si="2"/>
        <v>0</v>
      </c>
      <c r="K20" s="17">
        <f t="shared" si="3"/>
        <v>0</v>
      </c>
    </row>
    <row r="21" spans="1:11" x14ac:dyDescent="0.35">
      <c r="A21" s="13" t="s">
        <v>15</v>
      </c>
      <c r="B21" s="82" t="s">
        <v>276</v>
      </c>
      <c r="C21" s="81">
        <v>3.5000000000000001E-3</v>
      </c>
      <c r="D21" s="15">
        <f t="shared" si="4"/>
        <v>296.77041772007942</v>
      </c>
      <c r="E21" s="16">
        <f t="shared" si="5"/>
        <v>3006.3362358672039</v>
      </c>
      <c r="F21" s="80">
        <f t="shared" si="0"/>
        <v>10.002828594525075</v>
      </c>
      <c r="G21" s="17">
        <f t="shared" si="1"/>
        <v>3016.3390644617289</v>
      </c>
      <c r="H21" s="15">
        <v>0</v>
      </c>
      <c r="I21" s="16">
        <f t="shared" si="6"/>
        <v>0</v>
      </c>
      <c r="J21" s="80">
        <f t="shared" si="2"/>
        <v>0</v>
      </c>
      <c r="K21" s="17">
        <f t="shared" si="3"/>
        <v>0</v>
      </c>
    </row>
    <row r="22" spans="1:11" x14ac:dyDescent="0.35">
      <c r="A22" s="13" t="s">
        <v>14</v>
      </c>
      <c r="B22" s="82" t="s">
        <v>276</v>
      </c>
      <c r="C22" s="81">
        <v>3.5000000000000001E-3</v>
      </c>
      <c r="D22" s="15">
        <f t="shared" si="4"/>
        <v>296.77041772007942</v>
      </c>
      <c r="E22" s="16">
        <f t="shared" si="5"/>
        <v>3313.1094821818083</v>
      </c>
      <c r="F22" s="80">
        <f t="shared" si="0"/>
        <v>11.07653495662619</v>
      </c>
      <c r="G22" s="17">
        <f t="shared" si="1"/>
        <v>3324.1860171384346</v>
      </c>
      <c r="H22" s="15">
        <v>0</v>
      </c>
      <c r="I22" s="16">
        <f t="shared" si="6"/>
        <v>0</v>
      </c>
      <c r="J22" s="80">
        <f t="shared" si="2"/>
        <v>0</v>
      </c>
      <c r="K22" s="17">
        <f t="shared" si="3"/>
        <v>0</v>
      </c>
    </row>
    <row r="23" spans="1:11" x14ac:dyDescent="0.35">
      <c r="A23" s="13" t="s">
        <v>6</v>
      </c>
      <c r="B23" s="82" t="s">
        <v>276</v>
      </c>
      <c r="C23" s="81">
        <v>3.5000000000000001E-3</v>
      </c>
      <c r="D23" s="15">
        <f t="shared" si="4"/>
        <v>296.77041772007942</v>
      </c>
      <c r="E23" s="16">
        <f t="shared" si="5"/>
        <v>3620.9564348585141</v>
      </c>
      <c r="F23" s="80">
        <f t="shared" si="0"/>
        <v>12.15399929099466</v>
      </c>
      <c r="G23" s="16">
        <f t="shared" si="1"/>
        <v>3633.1104341495088</v>
      </c>
      <c r="H23" s="49">
        <v>0</v>
      </c>
      <c r="I23" s="16">
        <f t="shared" si="6"/>
        <v>0</v>
      </c>
      <c r="J23" s="80">
        <f t="shared" si="2"/>
        <v>0</v>
      </c>
      <c r="K23" s="17">
        <f t="shared" si="3"/>
        <v>0</v>
      </c>
    </row>
    <row r="24" spans="1:11" x14ac:dyDescent="0.35">
      <c r="A24" s="13" t="s">
        <v>7</v>
      </c>
      <c r="B24" s="91" t="s">
        <v>290</v>
      </c>
      <c r="C24" s="81">
        <v>3.5000000000000001E-3</v>
      </c>
      <c r="D24" s="15">
        <v>0</v>
      </c>
      <c r="E24" s="16">
        <f t="shared" si="5"/>
        <v>3633.1104341495088</v>
      </c>
      <c r="F24" s="80">
        <f t="shared" si="0"/>
        <v>12.715886519523281</v>
      </c>
      <c r="G24" s="17">
        <f>E24+F24</f>
        <v>3645.8263206690322</v>
      </c>
      <c r="H24" s="15">
        <f>'WP-2018 True Up TRR Adj'!D8/12</f>
        <v>4302.1705226500826</v>
      </c>
      <c r="I24" s="16">
        <f t="shared" si="6"/>
        <v>4302.1705226500826</v>
      </c>
      <c r="J24" s="80">
        <f t="shared" si="2"/>
        <v>7.5287984146376443</v>
      </c>
      <c r="K24" s="17">
        <f>I24+J24</f>
        <v>4309.6993210647206</v>
      </c>
    </row>
    <row r="25" spans="1:11" x14ac:dyDescent="0.35">
      <c r="A25" s="13" t="s">
        <v>8</v>
      </c>
      <c r="B25" s="91" t="s">
        <v>290</v>
      </c>
      <c r="C25" s="81">
        <v>3.5000000000000001E-3</v>
      </c>
      <c r="D25" s="15">
        <v>0</v>
      </c>
      <c r="E25" s="16">
        <f t="shared" si="5"/>
        <v>3645.8263206690322</v>
      </c>
      <c r="F25" s="80">
        <f t="shared" si="0"/>
        <v>12.760392122341614</v>
      </c>
      <c r="G25" s="17">
        <f t="shared" ref="G25:G35" si="7">E25+F25</f>
        <v>3658.5867127913739</v>
      </c>
      <c r="H25" s="15">
        <f t="shared" ref="H25:H35" si="8">H24</f>
        <v>4302.1705226500826</v>
      </c>
      <c r="I25" s="16">
        <f t="shared" si="6"/>
        <v>8611.8698437148032</v>
      </c>
      <c r="J25" s="80">
        <f t="shared" si="2"/>
        <v>22.612746038364168</v>
      </c>
      <c r="K25" s="17">
        <f t="shared" ref="K25:K35" si="9">I25+J25</f>
        <v>8634.4825897531682</v>
      </c>
    </row>
    <row r="26" spans="1:11" x14ac:dyDescent="0.35">
      <c r="A26" s="13" t="s">
        <v>18</v>
      </c>
      <c r="B26" s="91" t="s">
        <v>290</v>
      </c>
      <c r="C26" s="81">
        <v>3.5000000000000001E-3</v>
      </c>
      <c r="D26" s="15">
        <v>0</v>
      </c>
      <c r="E26" s="16">
        <f t="shared" si="5"/>
        <v>3658.5867127913739</v>
      </c>
      <c r="F26" s="80">
        <f t="shared" si="0"/>
        <v>12.805053494769808</v>
      </c>
      <c r="G26" s="17">
        <f t="shared" si="7"/>
        <v>3671.3917662861436</v>
      </c>
      <c r="H26" s="15">
        <f t="shared" si="8"/>
        <v>4302.1705226500826</v>
      </c>
      <c r="I26" s="16">
        <f t="shared" si="6"/>
        <v>12936.653112403252</v>
      </c>
      <c r="J26" s="80">
        <f t="shared" si="2"/>
        <v>37.74948747877373</v>
      </c>
      <c r="K26" s="17">
        <f t="shared" si="9"/>
        <v>12974.402599882025</v>
      </c>
    </row>
    <row r="27" spans="1:11" x14ac:dyDescent="0.35">
      <c r="A27" s="13" t="s">
        <v>9</v>
      </c>
      <c r="B27" s="91" t="s">
        <v>290</v>
      </c>
      <c r="C27" s="81">
        <v>3.7000000000000002E-3</v>
      </c>
      <c r="D27" s="15">
        <v>0</v>
      </c>
      <c r="E27" s="16">
        <f t="shared" si="5"/>
        <v>3671.3917662861436</v>
      </c>
      <c r="F27" s="80">
        <f t="shared" si="0"/>
        <v>13.584149535258732</v>
      </c>
      <c r="G27" s="17">
        <f t="shared" si="7"/>
        <v>3684.9759158214024</v>
      </c>
      <c r="H27" s="15">
        <f t="shared" si="8"/>
        <v>4302.1705226500826</v>
      </c>
      <c r="I27" s="16">
        <f t="shared" si="6"/>
        <v>17276.573122532107</v>
      </c>
      <c r="J27" s="80">
        <f t="shared" si="2"/>
        <v>55.964305086466148</v>
      </c>
      <c r="K27" s="17">
        <f t="shared" si="9"/>
        <v>17332.537427618572</v>
      </c>
    </row>
    <row r="28" spans="1:11" x14ac:dyDescent="0.35">
      <c r="A28" s="13" t="s">
        <v>10</v>
      </c>
      <c r="B28" s="91" t="s">
        <v>290</v>
      </c>
      <c r="C28" s="81">
        <v>3.7000000000000002E-3</v>
      </c>
      <c r="D28" s="15">
        <v>0</v>
      </c>
      <c r="E28" s="16">
        <f t="shared" si="5"/>
        <v>3684.9759158214024</v>
      </c>
      <c r="F28" s="80">
        <f t="shared" si="0"/>
        <v>13.63441088853919</v>
      </c>
      <c r="G28" s="17">
        <f t="shared" si="7"/>
        <v>3698.6103267099415</v>
      </c>
      <c r="H28" s="15">
        <f t="shared" si="8"/>
        <v>4302.1705226500826</v>
      </c>
      <c r="I28" s="16">
        <f t="shared" si="6"/>
        <v>21634.707950268654</v>
      </c>
      <c r="J28" s="80">
        <f t="shared" si="2"/>
        <v>72.089403949091377</v>
      </c>
      <c r="K28" s="17">
        <f t="shared" si="9"/>
        <v>21706.797354217746</v>
      </c>
    </row>
    <row r="29" spans="1:11" x14ac:dyDescent="0.35">
      <c r="A29" s="13" t="s">
        <v>25</v>
      </c>
      <c r="B29" s="91" t="s">
        <v>290</v>
      </c>
      <c r="C29" s="81">
        <v>3.7000000000000002E-3</v>
      </c>
      <c r="D29" s="15">
        <v>0</v>
      </c>
      <c r="E29" s="16">
        <f t="shared" si="5"/>
        <v>3698.6103267099415</v>
      </c>
      <c r="F29" s="80">
        <f t="shared" si="0"/>
        <v>13.684858208826784</v>
      </c>
      <c r="G29" s="17">
        <f t="shared" si="7"/>
        <v>3712.2951849187684</v>
      </c>
      <c r="H29" s="15">
        <f t="shared" si="8"/>
        <v>4302.1705226500826</v>
      </c>
      <c r="I29" s="16">
        <f t="shared" si="6"/>
        <v>26008.967876867828</v>
      </c>
      <c r="J29" s="80">
        <f t="shared" si="2"/>
        <v>88.274165677508321</v>
      </c>
      <c r="K29" s="17">
        <f t="shared" si="9"/>
        <v>26097.242042545335</v>
      </c>
    </row>
    <row r="30" spans="1:11" x14ac:dyDescent="0.35">
      <c r="A30" s="13" t="s">
        <v>11</v>
      </c>
      <c r="B30" s="91" t="s">
        <v>290</v>
      </c>
      <c r="C30" s="14">
        <v>3.8999999999999998E-3</v>
      </c>
      <c r="D30" s="15">
        <v>0</v>
      </c>
      <c r="E30" s="16">
        <f t="shared" si="5"/>
        <v>3712.2951849187684</v>
      </c>
      <c r="F30" s="80">
        <f t="shared" si="0"/>
        <v>14.477951221183195</v>
      </c>
      <c r="G30" s="17">
        <f t="shared" si="7"/>
        <v>3726.7731361399515</v>
      </c>
      <c r="H30" s="15">
        <f t="shared" si="8"/>
        <v>4302.1705226500826</v>
      </c>
      <c r="I30" s="16">
        <f t="shared" si="6"/>
        <v>30399.412565195416</v>
      </c>
      <c r="J30" s="80">
        <f t="shared" si="2"/>
        <v>110.16847648509447</v>
      </c>
      <c r="K30" s="17">
        <f t="shared" si="9"/>
        <v>30509.581041680511</v>
      </c>
    </row>
    <row r="31" spans="1:11" x14ac:dyDescent="0.35">
      <c r="A31" s="13" t="s">
        <v>12</v>
      </c>
      <c r="B31" s="91" t="s">
        <v>290</v>
      </c>
      <c r="C31" s="14">
        <v>3.8999999999999998E-3</v>
      </c>
      <c r="D31" s="15">
        <v>0</v>
      </c>
      <c r="E31" s="16">
        <f t="shared" si="5"/>
        <v>3726.7731361399515</v>
      </c>
      <c r="F31" s="80">
        <f t="shared" si="0"/>
        <v>14.534415230945809</v>
      </c>
      <c r="G31" s="17">
        <f t="shared" si="7"/>
        <v>3741.3075513708973</v>
      </c>
      <c r="H31" s="15">
        <f t="shared" si="8"/>
        <v>4302.1705226500826</v>
      </c>
      <c r="I31" s="16">
        <f t="shared" si="6"/>
        <v>34811.751564330596</v>
      </c>
      <c r="J31" s="80">
        <f t="shared" si="2"/>
        <v>127.37659858172165</v>
      </c>
      <c r="K31" s="17">
        <f t="shared" si="9"/>
        <v>34939.128162912319</v>
      </c>
    </row>
    <row r="32" spans="1:11" x14ac:dyDescent="0.35">
      <c r="A32" s="13" t="s">
        <v>13</v>
      </c>
      <c r="B32" s="91" t="s">
        <v>290</v>
      </c>
      <c r="C32" s="14">
        <v>3.8999999999999998E-3</v>
      </c>
      <c r="D32" s="15">
        <v>0</v>
      </c>
      <c r="E32" s="16">
        <f t="shared" si="5"/>
        <v>3741.3075513708973</v>
      </c>
      <c r="F32" s="80">
        <f t="shared" si="0"/>
        <v>14.591099450346499</v>
      </c>
      <c r="G32" s="17">
        <f t="shared" si="7"/>
        <v>3755.8986508212438</v>
      </c>
      <c r="H32" s="15">
        <f t="shared" si="8"/>
        <v>4302.1705226500826</v>
      </c>
      <c r="I32" s="16">
        <f t="shared" si="6"/>
        <v>39241.298685562404</v>
      </c>
      <c r="J32" s="80">
        <f t="shared" si="2"/>
        <v>144.65183235452568</v>
      </c>
      <c r="K32" s="17">
        <f t="shared" si="9"/>
        <v>39385.950517916928</v>
      </c>
    </row>
    <row r="33" spans="1:11" x14ac:dyDescent="0.35">
      <c r="A33" s="13" t="s">
        <v>15</v>
      </c>
      <c r="B33" s="91" t="s">
        <v>290</v>
      </c>
      <c r="C33" s="14">
        <v>4.1000000000000003E-3</v>
      </c>
      <c r="D33" s="15">
        <v>0</v>
      </c>
      <c r="E33" s="16">
        <f t="shared" si="5"/>
        <v>3755.8986508212438</v>
      </c>
      <c r="F33" s="80">
        <f t="shared" si="0"/>
        <v>15.399184468367102</v>
      </c>
      <c r="G33" s="17">
        <f t="shared" si="7"/>
        <v>3771.2978352896107</v>
      </c>
      <c r="H33" s="15">
        <f t="shared" si="8"/>
        <v>4302.1705226500826</v>
      </c>
      <c r="I33" s="16">
        <f t="shared" si="6"/>
        <v>43688.121040567014</v>
      </c>
      <c r="J33" s="80">
        <f t="shared" si="2"/>
        <v>170.30184669489208</v>
      </c>
      <c r="K33" s="17">
        <f t="shared" si="9"/>
        <v>43858.422887261906</v>
      </c>
    </row>
    <row r="34" spans="1:11" x14ac:dyDescent="0.35">
      <c r="A34" s="13" t="s">
        <v>14</v>
      </c>
      <c r="B34" s="91" t="s">
        <v>290</v>
      </c>
      <c r="C34" s="14">
        <v>4.1000000000000003E-3</v>
      </c>
      <c r="D34" s="15">
        <v>0</v>
      </c>
      <c r="E34" s="16">
        <f t="shared" si="5"/>
        <v>3771.2978352896107</v>
      </c>
      <c r="F34" s="80">
        <f t="shared" si="0"/>
        <v>15.462321124687405</v>
      </c>
      <c r="G34" s="17">
        <f t="shared" si="7"/>
        <v>3786.7601564142983</v>
      </c>
      <c r="H34" s="15">
        <f t="shared" si="8"/>
        <v>4302.1705226500826</v>
      </c>
      <c r="I34" s="16">
        <f t="shared" si="6"/>
        <v>48160.593409911991</v>
      </c>
      <c r="J34" s="80">
        <f t="shared" si="2"/>
        <v>188.6389834092065</v>
      </c>
      <c r="K34" s="17">
        <f t="shared" si="9"/>
        <v>48349.232393321196</v>
      </c>
    </row>
    <row r="35" spans="1:11" x14ac:dyDescent="0.35">
      <c r="A35" s="13" t="s">
        <v>6</v>
      </c>
      <c r="B35" s="91" t="s">
        <v>290</v>
      </c>
      <c r="C35" s="14">
        <v>4.1000000000000003E-3</v>
      </c>
      <c r="D35" s="15">
        <v>0</v>
      </c>
      <c r="E35" s="16">
        <f t="shared" si="5"/>
        <v>3786.7601564142983</v>
      </c>
      <c r="F35" s="80">
        <f t="shared" si="0"/>
        <v>15.525716641298624</v>
      </c>
      <c r="G35" s="16">
        <f t="shared" si="7"/>
        <v>3802.2858730555968</v>
      </c>
      <c r="H35" s="49">
        <f t="shared" si="8"/>
        <v>4302.1705226500826</v>
      </c>
      <c r="I35" s="16">
        <f t="shared" si="6"/>
        <v>52651.402915971281</v>
      </c>
      <c r="J35" s="80">
        <f t="shared" si="2"/>
        <v>207.05130238404959</v>
      </c>
      <c r="K35" s="17">
        <f t="shared" si="9"/>
        <v>52858.454218355328</v>
      </c>
    </row>
    <row r="36" spans="1:11" s="52" customFormat="1" ht="15" thickBot="1" x14ac:dyDescent="0.4">
      <c r="A36" s="63"/>
      <c r="B36" s="64"/>
      <c r="C36" s="64"/>
      <c r="D36" s="65">
        <f>SUM(D12:D35)</f>
        <v>3561.2450126409531</v>
      </c>
      <c r="E36" s="54"/>
      <c r="F36" s="50" t="s">
        <v>30</v>
      </c>
      <c r="G36" s="65">
        <f>G35</f>
        <v>3802.2858730555968</v>
      </c>
      <c r="H36" s="66">
        <f>SUM(H12:H35)</f>
        <v>51626.046271801002</v>
      </c>
      <c r="I36" s="54"/>
      <c r="J36" s="163" t="s">
        <v>30</v>
      </c>
      <c r="K36" s="51">
        <f>K35</f>
        <v>52858.454218355328</v>
      </c>
    </row>
    <row r="37" spans="1:11" ht="26.25" customHeight="1" thickBot="1" x14ac:dyDescent="0.55000000000000004">
      <c r="A37" s="32"/>
      <c r="B37" s="33"/>
      <c r="C37" s="33"/>
      <c r="D37" s="33"/>
      <c r="E37" s="33"/>
      <c r="F37" s="33"/>
      <c r="G37" s="33"/>
      <c r="H37" s="55"/>
      <c r="I37" s="55"/>
      <c r="J37" s="167" t="s">
        <v>324</v>
      </c>
      <c r="K37" s="164">
        <f>G36+K36</f>
        <v>56660.740091410924</v>
      </c>
    </row>
    <row r="38" spans="1:11" x14ac:dyDescent="0.35">
      <c r="I38" s="52"/>
      <c r="J38" s="52"/>
      <c r="K38" s="52"/>
    </row>
    <row r="39" spans="1:11" x14ac:dyDescent="0.35">
      <c r="E39" s="18"/>
    </row>
    <row r="41" spans="1:11" x14ac:dyDescent="0.35">
      <c r="A41" s="19"/>
      <c r="F41" s="39"/>
    </row>
    <row r="42" spans="1:11" x14ac:dyDescent="0.35">
      <c r="E42" s="20"/>
    </row>
    <row r="47" spans="1:11" x14ac:dyDescent="0.35">
      <c r="A47" s="19"/>
    </row>
    <row r="51" spans="4:6" x14ac:dyDescent="0.35">
      <c r="D51" s="21"/>
      <c r="F51" s="22"/>
    </row>
    <row r="52" spans="4:6" x14ac:dyDescent="0.35">
      <c r="E52" s="23"/>
    </row>
    <row r="53" spans="4:6" x14ac:dyDescent="0.35">
      <c r="F53" s="24"/>
    </row>
    <row r="55" spans="4:6" x14ac:dyDescent="0.35">
      <c r="E55" s="23"/>
      <c r="F55" s="22"/>
    </row>
  </sheetData>
  <mergeCells count="2">
    <mergeCell ref="H5:K5"/>
    <mergeCell ref="A5:G5"/>
  </mergeCells>
  <phoneticPr fontId="64" type="noConversion"/>
  <printOptions horizontalCentered="1"/>
  <pageMargins left="0.7" right="0.7" top="0.75" bottom="0.75" header="0.3" footer="0.3"/>
  <pageSetup scale="80" fitToHeight="0" orientation="landscape" cellComments="asDisplayed" r:id="rId1"/>
  <headerFooter>
    <oddHeader>&amp;RTO2021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dimension ref="A2:H15"/>
  <sheetViews>
    <sheetView zoomScaleNormal="100" workbookViewId="0"/>
  </sheetViews>
  <sheetFormatPr defaultColWidth="9.1796875" defaultRowHeight="14.5" x14ac:dyDescent="0.35"/>
  <cols>
    <col min="1" max="2" width="9.1796875" style="85"/>
    <col min="3" max="3" width="18.54296875" style="85" customWidth="1"/>
    <col min="4" max="4" width="14.26953125" style="85" bestFit="1" customWidth="1"/>
    <col min="5" max="5" width="12.54296875" style="85" customWidth="1"/>
    <col min="6" max="6" width="12" style="85" customWidth="1"/>
    <col min="7" max="7" width="13.81640625" style="85" customWidth="1"/>
    <col min="8" max="16384" width="9.1796875" style="85"/>
  </cols>
  <sheetData>
    <row r="2" spans="1:8" ht="21" customHeight="1" x14ac:dyDescent="0.35"/>
    <row r="3" spans="1:8" ht="15" customHeight="1" x14ac:dyDescent="0.35">
      <c r="A3" s="273" t="s">
        <v>278</v>
      </c>
      <c r="B3" s="273"/>
      <c r="C3" s="273"/>
      <c r="D3" s="273"/>
      <c r="E3" s="273"/>
      <c r="F3" s="273"/>
      <c r="G3" s="273"/>
    </row>
    <row r="4" spans="1:8" ht="15" customHeight="1" x14ac:dyDescent="0.35">
      <c r="A4" s="273"/>
      <c r="B4" s="273"/>
      <c r="C4" s="273"/>
      <c r="D4" s="273"/>
      <c r="E4" s="273"/>
      <c r="F4" s="273"/>
      <c r="G4" s="273"/>
    </row>
    <row r="5" spans="1:8" x14ac:dyDescent="0.35">
      <c r="A5" s="274" t="s">
        <v>31</v>
      </c>
      <c r="B5" s="274"/>
      <c r="C5" s="274"/>
      <c r="D5" s="86" t="s">
        <v>32</v>
      </c>
      <c r="E5" s="275" t="s">
        <v>33</v>
      </c>
      <c r="F5" s="275"/>
      <c r="G5" s="275"/>
      <c r="H5" s="87"/>
    </row>
    <row r="6" spans="1:8" ht="49.5" customHeight="1" x14ac:dyDescent="0.35">
      <c r="A6" s="276" t="s">
        <v>291</v>
      </c>
      <c r="B6" s="269"/>
      <c r="C6" s="270"/>
      <c r="D6" s="88">
        <f>'WP-2017 Sch4-TUTRR'!J71</f>
        <v>1014519565.1585541</v>
      </c>
      <c r="E6" s="277" t="s">
        <v>296</v>
      </c>
      <c r="F6" s="272"/>
      <c r="G6" s="272"/>
    </row>
    <row r="7" spans="1:8" ht="50.25" customHeight="1" x14ac:dyDescent="0.35">
      <c r="A7" s="268" t="s">
        <v>471</v>
      </c>
      <c r="B7" s="269"/>
      <c r="C7" s="270"/>
      <c r="D7" s="89">
        <f>'WP-2017 Sch4-TUTRR'!E73</f>
        <v>1014523126.4035667</v>
      </c>
      <c r="E7" s="271" t="s">
        <v>472</v>
      </c>
      <c r="F7" s="272"/>
      <c r="G7" s="272"/>
    </row>
    <row r="8" spans="1:8" x14ac:dyDescent="0.35">
      <c r="A8" s="262" t="s">
        <v>34</v>
      </c>
      <c r="B8" s="262"/>
      <c r="C8" s="263"/>
      <c r="D8" s="90">
        <f>D7-D6</f>
        <v>3561.2450126409531</v>
      </c>
      <c r="E8" s="264"/>
      <c r="F8" s="264"/>
      <c r="G8" s="264"/>
    </row>
    <row r="11" spans="1:8" x14ac:dyDescent="0.35">
      <c r="A11" s="85" t="s">
        <v>273</v>
      </c>
    </row>
    <row r="12" spans="1:8" x14ac:dyDescent="0.35">
      <c r="A12" s="265" t="s">
        <v>279</v>
      </c>
      <c r="B12" s="266"/>
      <c r="C12" s="266"/>
      <c r="D12" s="266"/>
      <c r="E12" s="266"/>
      <c r="F12" s="266"/>
      <c r="G12" s="266"/>
      <c r="H12" s="266"/>
    </row>
    <row r="13" spans="1:8" x14ac:dyDescent="0.35">
      <c r="A13" s="267" t="s">
        <v>424</v>
      </c>
      <c r="B13" s="266"/>
      <c r="C13" s="266"/>
      <c r="D13" s="266"/>
      <c r="E13" s="266"/>
      <c r="F13" s="266"/>
      <c r="G13" s="266"/>
      <c r="H13" s="266"/>
    </row>
    <row r="15" spans="1:8" x14ac:dyDescent="0.35">
      <c r="A15" s="266"/>
      <c r="B15" s="266"/>
      <c r="C15" s="266"/>
      <c r="D15" s="266"/>
      <c r="E15" s="266"/>
      <c r="F15" s="266"/>
      <c r="G15" s="266"/>
      <c r="H15" s="266"/>
    </row>
  </sheetData>
  <mergeCells count="12">
    <mergeCell ref="A7:C7"/>
    <mergeCell ref="E7:G7"/>
    <mergeCell ref="A3:G4"/>
    <mergeCell ref="A5:C5"/>
    <mergeCell ref="E5:G5"/>
    <mergeCell ref="A6:C6"/>
    <mergeCell ref="E6:G6"/>
    <mergeCell ref="A8:C8"/>
    <mergeCell ref="E8:G8"/>
    <mergeCell ref="A12:H12"/>
    <mergeCell ref="A13:H13"/>
    <mergeCell ref="A15:H15"/>
  </mergeCells>
  <pageMargins left="0.7" right="0.7" top="0.75" bottom="0.75" header="0.3" footer="0.3"/>
  <pageSetup orientation="portrait" r:id="rId1"/>
  <headerFooter>
    <oddHeader>&amp;RTO2021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1D32C-19BA-4667-B0AD-59E089306966}">
  <dimension ref="A1:L172"/>
  <sheetViews>
    <sheetView zoomScaleNormal="100" workbookViewId="0"/>
  </sheetViews>
  <sheetFormatPr defaultRowHeight="12.5" x14ac:dyDescent="0.25"/>
  <cols>
    <col min="1" max="2" width="4.7265625" style="93" customWidth="1"/>
    <col min="3" max="3" width="18.7265625" style="93" customWidth="1"/>
    <col min="4" max="4" width="10.26953125" style="93" bestFit="1" customWidth="1"/>
    <col min="5" max="7" width="15.7265625" style="93" customWidth="1"/>
    <col min="8" max="8" width="24.7265625" style="93" customWidth="1"/>
    <col min="9" max="9" width="4.54296875" style="93" customWidth="1"/>
    <col min="10" max="10" width="15.7265625" style="93" customWidth="1"/>
    <col min="11" max="11" width="16.453125" style="93" customWidth="1"/>
    <col min="12" max="12" width="17.36328125" style="93" customWidth="1"/>
    <col min="13" max="16384" width="8.7265625" style="93"/>
  </cols>
  <sheetData>
    <row r="1" spans="1:10" ht="13" x14ac:dyDescent="0.3">
      <c r="A1" s="92" t="s">
        <v>35</v>
      </c>
    </row>
    <row r="3" spans="1:10" ht="13" x14ac:dyDescent="0.3">
      <c r="B3" s="94" t="s">
        <v>36</v>
      </c>
    </row>
    <row r="4" spans="1:10" ht="13" x14ac:dyDescent="0.3">
      <c r="B4" s="95"/>
      <c r="F4" s="96" t="s">
        <v>37</v>
      </c>
      <c r="G4" s="96"/>
      <c r="H4" s="96" t="s">
        <v>38</v>
      </c>
    </row>
    <row r="5" spans="1:10" ht="13" x14ac:dyDescent="0.3">
      <c r="A5" s="97" t="s">
        <v>39</v>
      </c>
      <c r="B5" s="98"/>
      <c r="C5" s="99" t="s">
        <v>40</v>
      </c>
      <c r="F5" s="100" t="s">
        <v>41</v>
      </c>
      <c r="G5" s="100" t="s">
        <v>42</v>
      </c>
      <c r="H5" s="100" t="s">
        <v>43</v>
      </c>
      <c r="J5" s="100" t="s">
        <v>32</v>
      </c>
    </row>
    <row r="6" spans="1:10" ht="13" x14ac:dyDescent="0.3">
      <c r="A6" s="96">
        <v>1</v>
      </c>
      <c r="C6" s="101" t="s">
        <v>44</v>
      </c>
      <c r="F6" s="93" t="s">
        <v>45</v>
      </c>
      <c r="H6" s="101" t="s">
        <v>427</v>
      </c>
      <c r="J6" s="102">
        <v>8389794318.0711689</v>
      </c>
    </row>
    <row r="7" spans="1:10" ht="13" x14ac:dyDescent="0.3">
      <c r="A7" s="96">
        <f>A6+1</f>
        <v>2</v>
      </c>
      <c r="C7" s="101" t="s">
        <v>46</v>
      </c>
      <c r="F7" s="93" t="s">
        <v>47</v>
      </c>
      <c r="H7" s="101" t="s">
        <v>428</v>
      </c>
      <c r="J7" s="102">
        <v>252097756.36140126</v>
      </c>
    </row>
    <row r="8" spans="1:10" ht="13" x14ac:dyDescent="0.3">
      <c r="A8" s="96">
        <f>A7+1</f>
        <v>3</v>
      </c>
      <c r="C8" s="101" t="s">
        <v>48</v>
      </c>
      <c r="F8" s="93" t="s">
        <v>47</v>
      </c>
      <c r="H8" s="93" t="s">
        <v>429</v>
      </c>
      <c r="J8" s="102">
        <v>9942155</v>
      </c>
    </row>
    <row r="9" spans="1:10" ht="13" x14ac:dyDescent="0.3">
      <c r="A9" s="96">
        <f>A8+1</f>
        <v>4</v>
      </c>
      <c r="C9" s="101" t="s">
        <v>49</v>
      </c>
      <c r="F9" s="93" t="s">
        <v>47</v>
      </c>
      <c r="H9" s="93" t="s">
        <v>430</v>
      </c>
      <c r="J9" s="102">
        <v>0</v>
      </c>
    </row>
    <row r="10" spans="1:10" ht="13" x14ac:dyDescent="0.3">
      <c r="A10" s="96"/>
      <c r="C10" s="101"/>
      <c r="J10" s="102"/>
    </row>
    <row r="11" spans="1:10" ht="13" x14ac:dyDescent="0.3">
      <c r="A11" s="96"/>
      <c r="C11" s="103" t="s">
        <v>50</v>
      </c>
      <c r="J11" s="102"/>
    </row>
    <row r="12" spans="1:10" ht="13" x14ac:dyDescent="0.3">
      <c r="A12" s="96">
        <f>A9+1</f>
        <v>5</v>
      </c>
      <c r="C12" s="98" t="s">
        <v>51</v>
      </c>
      <c r="F12" s="93" t="s">
        <v>45</v>
      </c>
      <c r="H12" s="101" t="s">
        <v>431</v>
      </c>
      <c r="J12" s="102">
        <v>13057096.81033094</v>
      </c>
    </row>
    <row r="13" spans="1:10" ht="13" x14ac:dyDescent="0.3">
      <c r="A13" s="96">
        <f>A12+1</f>
        <v>6</v>
      </c>
      <c r="C13" s="98" t="s">
        <v>52</v>
      </c>
      <c r="F13" s="93" t="s">
        <v>45</v>
      </c>
      <c r="H13" s="101" t="s">
        <v>432</v>
      </c>
      <c r="J13" s="102">
        <v>10647092.7937865</v>
      </c>
    </row>
    <row r="14" spans="1:10" ht="13" x14ac:dyDescent="0.3">
      <c r="A14" s="96">
        <f>A13+1</f>
        <v>7</v>
      </c>
      <c r="C14" s="98" t="s">
        <v>53</v>
      </c>
      <c r="F14" s="93" t="s">
        <v>54</v>
      </c>
      <c r="H14" s="93" t="s">
        <v>433</v>
      </c>
      <c r="J14" s="104">
        <v>7824719.5138572352</v>
      </c>
    </row>
    <row r="15" spans="1:10" ht="13" x14ac:dyDescent="0.3">
      <c r="A15" s="96">
        <f>A14+1</f>
        <v>8</v>
      </c>
      <c r="C15" s="98" t="s">
        <v>55</v>
      </c>
      <c r="H15" s="93" t="str">
        <f>"Line "&amp;A12&amp;" + Line "&amp;A13&amp;" + Line "&amp;A14&amp;""</f>
        <v>Line 5 + Line 6 + Line 7</v>
      </c>
      <c r="J15" s="105">
        <f>SUM(J12:J14)</f>
        <v>31528909.117974672</v>
      </c>
    </row>
    <row r="16" spans="1:10" ht="13" x14ac:dyDescent="0.3">
      <c r="A16" s="96"/>
      <c r="C16" s="98"/>
      <c r="J16" s="102"/>
    </row>
    <row r="17" spans="1:10" ht="13" x14ac:dyDescent="0.3">
      <c r="A17" s="96"/>
      <c r="C17" s="106" t="s">
        <v>56</v>
      </c>
      <c r="J17" s="102"/>
    </row>
    <row r="18" spans="1:10" ht="13" x14ac:dyDescent="0.3">
      <c r="A18" s="96">
        <f>A15+1</f>
        <v>9</v>
      </c>
      <c r="C18" s="98" t="s">
        <v>57</v>
      </c>
      <c r="F18" s="93" t="s">
        <v>45</v>
      </c>
      <c r="G18" s="93" t="s">
        <v>58</v>
      </c>
      <c r="H18" s="101" t="s">
        <v>450</v>
      </c>
      <c r="J18" s="102">
        <v>-1549914566.8389716</v>
      </c>
    </row>
    <row r="19" spans="1:10" ht="13" x14ac:dyDescent="0.3">
      <c r="A19" s="96">
        <f>A18+1</f>
        <v>10</v>
      </c>
      <c r="C19" s="98" t="s">
        <v>59</v>
      </c>
      <c r="F19" s="93" t="s">
        <v>47</v>
      </c>
      <c r="G19" s="93" t="s">
        <v>58</v>
      </c>
      <c r="H19" s="101" t="s">
        <v>451</v>
      </c>
      <c r="J19" s="102">
        <v>0</v>
      </c>
    </row>
    <row r="20" spans="1:10" ht="13" x14ac:dyDescent="0.3">
      <c r="A20" s="96">
        <f>A19+1</f>
        <v>11</v>
      </c>
      <c r="C20" s="98" t="s">
        <v>60</v>
      </c>
      <c r="D20" s="107"/>
      <c r="F20" s="93" t="s">
        <v>47</v>
      </c>
      <c r="G20" s="93" t="s">
        <v>58</v>
      </c>
      <c r="H20" s="101" t="s">
        <v>452</v>
      </c>
      <c r="J20" s="108">
        <v>-102849091.48355895</v>
      </c>
    </row>
    <row r="21" spans="1:10" ht="13" x14ac:dyDescent="0.3">
      <c r="A21" s="96">
        <f>A20+1</f>
        <v>12</v>
      </c>
      <c r="C21" s="109" t="s">
        <v>61</v>
      </c>
      <c r="D21" s="107"/>
      <c r="H21" s="93" t="str">
        <f>"Line "&amp;A18&amp;" + Line "&amp;A19&amp;" + Line "&amp;A20&amp;""</f>
        <v>Line 9 + Line 10 + Line 11</v>
      </c>
      <c r="J21" s="102">
        <f>SUM(J18:J20)</f>
        <v>-1652763658.3225305</v>
      </c>
    </row>
    <row r="22" spans="1:10" ht="13" x14ac:dyDescent="0.3">
      <c r="A22" s="96"/>
      <c r="J22" s="102"/>
    </row>
    <row r="23" spans="1:10" ht="13" x14ac:dyDescent="0.3">
      <c r="A23" s="96">
        <f>A21+1</f>
        <v>13</v>
      </c>
      <c r="C23" s="101" t="s">
        <v>62</v>
      </c>
      <c r="F23" s="93" t="s">
        <v>47</v>
      </c>
      <c r="H23" s="101" t="s">
        <v>453</v>
      </c>
      <c r="J23" s="102">
        <v>-1600478571.7718422</v>
      </c>
    </row>
    <row r="24" spans="1:10" ht="13" x14ac:dyDescent="0.3">
      <c r="A24" s="96">
        <f>A23+1</f>
        <v>14</v>
      </c>
      <c r="C24" s="101" t="s">
        <v>63</v>
      </c>
      <c r="F24" s="93" t="s">
        <v>45</v>
      </c>
      <c r="H24" s="101" t="s">
        <v>454</v>
      </c>
      <c r="J24" s="102">
        <v>106455574.58566985</v>
      </c>
    </row>
    <row r="25" spans="1:10" ht="13" x14ac:dyDescent="0.3">
      <c r="A25" s="96">
        <f>A24+1</f>
        <v>15</v>
      </c>
      <c r="C25" s="101" t="s">
        <v>64</v>
      </c>
      <c r="F25" s="93" t="s">
        <v>47</v>
      </c>
      <c r="G25" s="93" t="s">
        <v>58</v>
      </c>
      <c r="H25" s="101" t="s">
        <v>455</v>
      </c>
      <c r="J25" s="102">
        <v>-106562330.36</v>
      </c>
    </row>
    <row r="26" spans="1:10" ht="13" x14ac:dyDescent="0.3">
      <c r="A26" s="96" t="s">
        <v>65</v>
      </c>
      <c r="C26" s="101" t="s">
        <v>66</v>
      </c>
      <c r="H26" s="93" t="s">
        <v>456</v>
      </c>
      <c r="J26" s="102">
        <v>-10165090.793968515</v>
      </c>
    </row>
    <row r="27" spans="1:10" ht="13" x14ac:dyDescent="0.3">
      <c r="A27" s="96">
        <v>16</v>
      </c>
      <c r="C27" s="101" t="s">
        <v>67</v>
      </c>
      <c r="F27" s="93" t="s">
        <v>47</v>
      </c>
      <c r="H27" s="101" t="s">
        <v>457</v>
      </c>
      <c r="J27" s="102">
        <v>0</v>
      </c>
    </row>
    <row r="28" spans="1:10" ht="13" x14ac:dyDescent="0.3">
      <c r="A28" s="96"/>
      <c r="C28" s="101"/>
    </row>
    <row r="29" spans="1:10" ht="13" x14ac:dyDescent="0.3">
      <c r="A29" s="96">
        <v>17</v>
      </c>
      <c r="C29" s="93" t="s">
        <v>68</v>
      </c>
      <c r="H29" s="93" t="str">
        <f>"L"&amp;A6&amp;"+L"&amp;A7&amp;"+L"&amp;A8&amp;"+L"&amp;A9&amp;"+L"&amp;A15&amp;"+L"&amp;A21&amp;"+"</f>
        <v>L1+L2+L3+L4+L8+L12+</v>
      </c>
      <c r="J29" s="105">
        <f>J6+ J7+J8+J9+J15+J21+J23+J24+J25+J26+J27</f>
        <v>5419849061.8878736</v>
      </c>
    </row>
    <row r="30" spans="1:10" ht="13" x14ac:dyDescent="0.3">
      <c r="A30" s="96"/>
      <c r="H30" s="93" t="str">
        <f>"L"&amp;A23&amp;"+L"&amp;A24&amp;"+L"&amp;A25&amp;"+L"&amp;A26&amp;"+L"&amp;A27&amp;""</f>
        <v>L13+L14+L15+L15a+L16</v>
      </c>
      <c r="J30" s="102"/>
    </row>
    <row r="31" spans="1:10" ht="13" x14ac:dyDescent="0.3">
      <c r="A31" s="96"/>
      <c r="B31" s="92" t="s">
        <v>69</v>
      </c>
      <c r="J31" s="102"/>
    </row>
    <row r="32" spans="1:10" ht="13" x14ac:dyDescent="0.3">
      <c r="A32" s="97" t="s">
        <v>39</v>
      </c>
      <c r="C32" s="92"/>
      <c r="J32" s="102"/>
    </row>
    <row r="33" spans="1:10" ht="13" x14ac:dyDescent="0.3">
      <c r="A33" s="96">
        <f>A29+1</f>
        <v>18</v>
      </c>
      <c r="C33" s="93" t="s">
        <v>70</v>
      </c>
      <c r="G33" s="93" t="s">
        <v>71</v>
      </c>
      <c r="H33" s="93" t="str">
        <f>"Instruction 1, Line "&amp;B98&amp;""</f>
        <v>Instruction 1, Line j</v>
      </c>
      <c r="J33" s="110">
        <f>E98</f>
        <v>7.2499706024635166E-2</v>
      </c>
    </row>
    <row r="34" spans="1:10" ht="13" x14ac:dyDescent="0.3">
      <c r="A34" s="96">
        <f>A33+1</f>
        <v>19</v>
      </c>
      <c r="C34" s="93" t="s">
        <v>72</v>
      </c>
      <c r="H34" s="93" t="str">
        <f>"Line "&amp;A29&amp;" * Line "&amp;A33&amp;""</f>
        <v>Line 17 * Line 18</v>
      </c>
      <c r="J34" s="105">
        <f>J29*J33</f>
        <v>392937463.68476552</v>
      </c>
    </row>
    <row r="35" spans="1:10" ht="13" x14ac:dyDescent="0.3">
      <c r="A35" s="96"/>
      <c r="B35" s="98"/>
    </row>
    <row r="36" spans="1:10" ht="13" x14ac:dyDescent="0.3">
      <c r="A36" s="96"/>
      <c r="B36" s="92" t="s">
        <v>73</v>
      </c>
    </row>
    <row r="37" spans="1:10" ht="13" x14ac:dyDescent="0.3">
      <c r="A37" s="96"/>
      <c r="B37" s="98"/>
    </row>
    <row r="38" spans="1:10" ht="13" x14ac:dyDescent="0.3">
      <c r="A38" s="96">
        <f>A34+1</f>
        <v>20</v>
      </c>
      <c r="C38" s="93" t="s">
        <v>74</v>
      </c>
      <c r="J38" s="105">
        <f>(((J29*J42) + J45) *(J43/(1-J43)))+(J44/(1-J43))</f>
        <v>201960364.80026865</v>
      </c>
    </row>
    <row r="39" spans="1:10" ht="13" x14ac:dyDescent="0.3">
      <c r="A39" s="96"/>
    </row>
    <row r="40" spans="1:10" ht="13" x14ac:dyDescent="0.3">
      <c r="A40" s="96"/>
      <c r="D40" s="93" t="s">
        <v>75</v>
      </c>
    </row>
    <row r="41" spans="1:10" ht="13" x14ac:dyDescent="0.3">
      <c r="A41" s="96">
        <f>A38+1</f>
        <v>21</v>
      </c>
      <c r="D41" s="98" t="s">
        <v>76</v>
      </c>
      <c r="H41" s="93" t="str">
        <f>"Line "&amp;A29&amp;""</f>
        <v>Line 17</v>
      </c>
      <c r="J41" s="105">
        <f>J29</f>
        <v>5419849061.8878736</v>
      </c>
    </row>
    <row r="42" spans="1:10" ht="13" x14ac:dyDescent="0.3">
      <c r="A42" s="96">
        <f>A41+1</f>
        <v>22</v>
      </c>
      <c r="D42" s="98" t="s">
        <v>77</v>
      </c>
      <c r="G42" s="93" t="s">
        <v>78</v>
      </c>
      <c r="H42" s="93" t="str">
        <f>"Instruction 1, Line "&amp;B103&amp;""</f>
        <v>Instruction 1, Line k</v>
      </c>
      <c r="J42" s="110">
        <f>E103</f>
        <v>5.2592059258897372E-2</v>
      </c>
    </row>
    <row r="43" spans="1:10" ht="13" x14ac:dyDescent="0.3">
      <c r="A43" s="96">
        <f>A42+1</f>
        <v>23</v>
      </c>
      <c r="D43" s="98" t="s">
        <v>79</v>
      </c>
      <c r="H43" s="93" t="s">
        <v>434</v>
      </c>
      <c r="J43" s="110">
        <v>0.40745999999999999</v>
      </c>
    </row>
    <row r="44" spans="1:10" ht="13" x14ac:dyDescent="0.3">
      <c r="A44" s="96">
        <f>A43+1</f>
        <v>24</v>
      </c>
      <c r="D44" s="98" t="s">
        <v>80</v>
      </c>
      <c r="H44" s="93" t="s">
        <v>435</v>
      </c>
      <c r="J44" s="102">
        <v>2086200</v>
      </c>
    </row>
    <row r="45" spans="1:10" ht="13" x14ac:dyDescent="0.3">
      <c r="A45" s="96">
        <f>A44+1</f>
        <v>25</v>
      </c>
      <c r="D45" s="98" t="s">
        <v>81</v>
      </c>
      <c r="H45" s="93" t="s">
        <v>436</v>
      </c>
      <c r="J45" s="102">
        <v>3535511</v>
      </c>
    </row>
    <row r="46" spans="1:10" ht="13" x14ac:dyDescent="0.3">
      <c r="A46" s="96"/>
      <c r="B46" s="98"/>
    </row>
    <row r="47" spans="1:10" ht="13" x14ac:dyDescent="0.3">
      <c r="A47" s="96"/>
      <c r="B47" s="92" t="s">
        <v>82</v>
      </c>
    </row>
    <row r="48" spans="1:10" ht="13" x14ac:dyDescent="0.3">
      <c r="A48" s="96">
        <f>A45+1</f>
        <v>26</v>
      </c>
      <c r="B48" s="98"/>
      <c r="C48" s="93" t="s">
        <v>83</v>
      </c>
      <c r="H48" s="93" t="s">
        <v>437</v>
      </c>
      <c r="J48" s="102">
        <v>78644833.663867712</v>
      </c>
    </row>
    <row r="49" spans="1:10" ht="13" x14ac:dyDescent="0.3">
      <c r="A49" s="96">
        <f t="shared" ref="A49:A60" si="0">A48+1</f>
        <v>27</v>
      </c>
      <c r="B49" s="98"/>
      <c r="C49" s="93" t="s">
        <v>84</v>
      </c>
      <c r="H49" s="93" t="s">
        <v>438</v>
      </c>
      <c r="J49" s="105">
        <v>46550678.557848051</v>
      </c>
    </row>
    <row r="50" spans="1:10" ht="13" x14ac:dyDescent="0.3">
      <c r="A50" s="96" t="s">
        <v>154</v>
      </c>
      <c r="B50" s="98"/>
      <c r="C50" s="93" t="s">
        <v>155</v>
      </c>
      <c r="H50" s="93" t="s">
        <v>458</v>
      </c>
      <c r="J50" s="102">
        <v>-6504.559255276572</v>
      </c>
    </row>
    <row r="51" spans="1:10" ht="13" x14ac:dyDescent="0.3">
      <c r="A51" s="96">
        <f>A49+1</f>
        <v>28</v>
      </c>
      <c r="B51" s="98"/>
      <c r="C51" s="93" t="s">
        <v>85</v>
      </c>
      <c r="H51" s="93" t="s">
        <v>439</v>
      </c>
      <c r="J51" s="102">
        <v>6116850.9299999997</v>
      </c>
    </row>
    <row r="52" spans="1:10" ht="13" x14ac:dyDescent="0.3">
      <c r="A52" s="96">
        <f t="shared" si="0"/>
        <v>29</v>
      </c>
      <c r="B52" s="98"/>
      <c r="C52" s="93" t="s">
        <v>86</v>
      </c>
      <c r="H52" s="93" t="s">
        <v>440</v>
      </c>
      <c r="J52" s="102">
        <v>239582730.61420554</v>
      </c>
    </row>
    <row r="53" spans="1:10" ht="13" x14ac:dyDescent="0.3">
      <c r="A53" s="96">
        <f t="shared" si="0"/>
        <v>30</v>
      </c>
      <c r="B53" s="98"/>
      <c r="C53" s="93" t="s">
        <v>87</v>
      </c>
      <c r="H53" s="93" t="s">
        <v>441</v>
      </c>
      <c r="J53" s="102">
        <v>0</v>
      </c>
    </row>
    <row r="54" spans="1:10" ht="13" x14ac:dyDescent="0.3">
      <c r="A54" s="96">
        <f t="shared" si="0"/>
        <v>31</v>
      </c>
      <c r="B54" s="98"/>
      <c r="C54" s="93" t="s">
        <v>88</v>
      </c>
      <c r="H54" s="93" t="s">
        <v>442</v>
      </c>
      <c r="J54" s="102">
        <v>60990526.802731596</v>
      </c>
    </row>
    <row r="55" spans="1:10" ht="13" x14ac:dyDescent="0.3">
      <c r="A55" s="96">
        <f t="shared" si="0"/>
        <v>32</v>
      </c>
      <c r="B55" s="98"/>
      <c r="C55" s="93" t="s">
        <v>89</v>
      </c>
      <c r="H55" s="93" t="s">
        <v>443</v>
      </c>
      <c r="J55" s="102">
        <v>-58832605.54180719</v>
      </c>
    </row>
    <row r="56" spans="1:10" ht="13" x14ac:dyDescent="0.3">
      <c r="A56" s="96">
        <f t="shared" si="0"/>
        <v>33</v>
      </c>
      <c r="B56" s="98"/>
      <c r="C56" s="93" t="s">
        <v>90</v>
      </c>
      <c r="H56" s="93" t="str">
        <f>"Line "&amp;A34&amp;""</f>
        <v>Line 19</v>
      </c>
      <c r="J56" s="105">
        <f>J34</f>
        <v>392937463.68476552</v>
      </c>
    </row>
    <row r="57" spans="1:10" ht="13" x14ac:dyDescent="0.3">
      <c r="A57" s="96">
        <f t="shared" si="0"/>
        <v>34</v>
      </c>
      <c r="B57" s="98"/>
      <c r="C57" s="93" t="s">
        <v>91</v>
      </c>
      <c r="H57" s="93" t="str">
        <f>"Line "&amp;A38&amp;""</f>
        <v>Line 20</v>
      </c>
      <c r="J57" s="105">
        <f>J38</f>
        <v>201960364.80026865</v>
      </c>
    </row>
    <row r="58" spans="1:10" ht="13" x14ac:dyDescent="0.3">
      <c r="A58" s="96">
        <f t="shared" si="0"/>
        <v>35</v>
      </c>
      <c r="B58" s="98"/>
      <c r="C58" s="93" t="s">
        <v>92</v>
      </c>
      <c r="H58" s="93" t="s">
        <v>444</v>
      </c>
      <c r="J58" s="102">
        <v>0</v>
      </c>
    </row>
    <row r="59" spans="1:10" ht="13" x14ac:dyDescent="0.3">
      <c r="A59" s="96">
        <f t="shared" si="0"/>
        <v>36</v>
      </c>
      <c r="B59" s="98"/>
      <c r="C59" s="111" t="s">
        <v>93</v>
      </c>
      <c r="D59" s="111"/>
      <c r="H59" s="93" t="s">
        <v>445</v>
      </c>
      <c r="J59" s="108">
        <v>0</v>
      </c>
    </row>
    <row r="60" spans="1:10" ht="13" x14ac:dyDescent="0.3">
      <c r="A60" s="96">
        <f t="shared" si="0"/>
        <v>37</v>
      </c>
      <c r="B60" s="98"/>
      <c r="C60" s="93" t="s">
        <v>94</v>
      </c>
      <c r="H60" s="93" t="str">
        <f>"Sum Line "&amp;A48&amp;" to Line "&amp;A59&amp;""</f>
        <v>Sum Line 26 to Line 36</v>
      </c>
      <c r="J60" s="105">
        <f>SUM(J48:J59)</f>
        <v>967944338.95262456</v>
      </c>
    </row>
    <row r="61" spans="1:10" ht="13" x14ac:dyDescent="0.3">
      <c r="A61" s="96"/>
      <c r="B61" s="98"/>
      <c r="J61" s="102"/>
    </row>
    <row r="62" spans="1:10" ht="12.75" customHeight="1" x14ac:dyDescent="0.3">
      <c r="A62" s="96">
        <f>A60+1</f>
        <v>38</v>
      </c>
      <c r="B62" s="98"/>
      <c r="C62" s="93" t="s">
        <v>95</v>
      </c>
      <c r="H62" s="93" t="s">
        <v>459</v>
      </c>
      <c r="J62" s="102">
        <v>34932082.703325152</v>
      </c>
    </row>
    <row r="63" spans="1:10" ht="13" x14ac:dyDescent="0.3">
      <c r="A63" s="96"/>
      <c r="B63" s="98"/>
      <c r="J63" s="102"/>
    </row>
    <row r="64" spans="1:10" ht="13" x14ac:dyDescent="0.3">
      <c r="A64" s="96">
        <f>A62+1</f>
        <v>39</v>
      </c>
      <c r="B64" s="98"/>
      <c r="C64" s="93" t="s">
        <v>96</v>
      </c>
      <c r="H64" s="93" t="str">
        <f>"Line "&amp;A60&amp;" + Line "&amp;A62&amp;""</f>
        <v>Line 37 + Line 38</v>
      </c>
      <c r="J64" s="105">
        <f>J60+J62</f>
        <v>1002876421.6559497</v>
      </c>
    </row>
    <row r="65" spans="1:12" ht="13" x14ac:dyDescent="0.3">
      <c r="A65" s="96"/>
      <c r="B65" s="98"/>
      <c r="J65" s="102"/>
    </row>
    <row r="66" spans="1:12" ht="13" x14ac:dyDescent="0.3">
      <c r="A66" s="96"/>
      <c r="B66" s="94" t="s">
        <v>97</v>
      </c>
      <c r="J66" s="102"/>
    </row>
    <row r="67" spans="1:12" ht="13.5" thickBot="1" x14ac:dyDescent="0.35">
      <c r="A67" s="97" t="s">
        <v>39</v>
      </c>
      <c r="B67" s="101"/>
      <c r="G67" s="99" t="s">
        <v>98</v>
      </c>
    </row>
    <row r="68" spans="1:12" ht="13" x14ac:dyDescent="0.3">
      <c r="A68" s="96">
        <f>A64+1</f>
        <v>40</v>
      </c>
      <c r="B68" s="101"/>
      <c r="D68" s="112" t="s">
        <v>99</v>
      </c>
      <c r="E68" s="105">
        <f>J64</f>
        <v>1002876421.6559497</v>
      </c>
      <c r="G68" s="93" t="str">
        <f>"Line "&amp;A64&amp;""</f>
        <v>Line 39</v>
      </c>
      <c r="J68" s="113" t="s">
        <v>100</v>
      </c>
    </row>
    <row r="69" spans="1:12" ht="13" x14ac:dyDescent="0.3">
      <c r="A69" s="96">
        <f>A68+1</f>
        <v>41</v>
      </c>
      <c r="B69" s="101"/>
      <c r="D69" s="112" t="s">
        <v>101</v>
      </c>
      <c r="E69" s="114">
        <v>9.2057000000000007E-3</v>
      </c>
      <c r="G69" s="93" t="s">
        <v>460</v>
      </c>
      <c r="J69" s="115" t="s">
        <v>280</v>
      </c>
    </row>
    <row r="70" spans="1:12" ht="13" x14ac:dyDescent="0.3">
      <c r="A70" s="96">
        <f>A69+1</f>
        <v>42</v>
      </c>
      <c r="B70" s="101"/>
      <c r="D70" s="112" t="s">
        <v>102</v>
      </c>
      <c r="E70" s="105">
        <v>9232179.4748381767</v>
      </c>
      <c r="G70" s="93" t="str">
        <f>"Line "&amp;A68&amp;" * Line "&amp;A69&amp;""</f>
        <v>Line 40 * Line 41</v>
      </c>
      <c r="J70" s="116">
        <f>E73</f>
        <v>1014523126.4035667</v>
      </c>
    </row>
    <row r="71" spans="1:12" ht="28" customHeight="1" x14ac:dyDescent="0.3">
      <c r="A71" s="96">
        <f>A70+1</f>
        <v>43</v>
      </c>
      <c r="B71" s="101"/>
      <c r="D71" s="112" t="s">
        <v>103</v>
      </c>
      <c r="E71" s="114">
        <v>2.4076000000000002E-3</v>
      </c>
      <c r="G71" s="93" t="s">
        <v>460</v>
      </c>
      <c r="J71" s="117">
        <v>1014519565.1585541</v>
      </c>
      <c r="K71" s="278" t="s">
        <v>309</v>
      </c>
      <c r="L71" s="279"/>
    </row>
    <row r="72" spans="1:12" ht="13.5" thickBot="1" x14ac:dyDescent="0.35">
      <c r="A72" s="96">
        <f>A71+1</f>
        <v>44</v>
      </c>
      <c r="B72" s="101"/>
      <c r="D72" s="112" t="s">
        <v>104</v>
      </c>
      <c r="E72" s="105">
        <v>2414525.2727788649</v>
      </c>
      <c r="G72" s="93" t="str">
        <f>"Line "&amp;A70&amp;" * Line "&amp;A71&amp;""</f>
        <v>Line 42 * Line 43</v>
      </c>
      <c r="J72" s="118">
        <f>J70-J71</f>
        <v>3561.2450126409531</v>
      </c>
    </row>
    <row r="73" spans="1:12" ht="13" x14ac:dyDescent="0.3">
      <c r="A73" s="96">
        <f>A72+1</f>
        <v>45</v>
      </c>
      <c r="B73" s="101"/>
      <c r="D73" s="112" t="s">
        <v>105</v>
      </c>
      <c r="E73" s="105">
        <f>E68+E70+E72</f>
        <v>1014523126.4035667</v>
      </c>
      <c r="G73" s="93" t="str">
        <f>"L "&amp;A68&amp;" + L "&amp;A70&amp;" + L "&amp;A72&amp;""</f>
        <v>L 40 + L 42 + L 44</v>
      </c>
      <c r="K73" s="219">
        <v>-936.5548882484436</v>
      </c>
      <c r="L73" s="93" t="s">
        <v>295</v>
      </c>
    </row>
    <row r="74" spans="1:12" ht="13" x14ac:dyDescent="0.3">
      <c r="B74" s="94" t="s">
        <v>106</v>
      </c>
      <c r="D74" s="112"/>
      <c r="E74" s="102"/>
      <c r="H74" s="120"/>
      <c r="K74" s="108">
        <f>J72-K73</f>
        <v>4497.7999008893967</v>
      </c>
      <c r="L74" s="93" t="s">
        <v>426</v>
      </c>
    </row>
    <row r="75" spans="1:12" ht="13" x14ac:dyDescent="0.3">
      <c r="A75" s="96"/>
      <c r="B75" s="93" t="s">
        <v>107</v>
      </c>
      <c r="C75" s="94"/>
      <c r="D75" s="112"/>
      <c r="E75" s="102"/>
      <c r="K75" s="102">
        <f>SUM(K73:K74)</f>
        <v>3561.2450126409531</v>
      </c>
      <c r="L75" s="93" t="s">
        <v>411</v>
      </c>
    </row>
    <row r="76" spans="1:12" ht="13" x14ac:dyDescent="0.3">
      <c r="A76" s="96"/>
      <c r="B76" s="93" t="s">
        <v>108</v>
      </c>
      <c r="C76" s="94"/>
      <c r="D76" s="112"/>
      <c r="E76" s="102"/>
    </row>
    <row r="77" spans="1:12" ht="13" x14ac:dyDescent="0.3">
      <c r="A77" s="96"/>
      <c r="B77" s="101" t="s">
        <v>109</v>
      </c>
      <c r="D77" s="112"/>
      <c r="E77" s="102"/>
    </row>
    <row r="78" spans="1:12" ht="13" x14ac:dyDescent="0.3">
      <c r="A78" s="96"/>
      <c r="B78" s="101" t="s">
        <v>110</v>
      </c>
      <c r="D78" s="112"/>
      <c r="E78" s="102"/>
    </row>
    <row r="79" spans="1:12" ht="13" x14ac:dyDescent="0.3">
      <c r="A79" s="96"/>
    </row>
    <row r="80" spans="1:12" ht="13" x14ac:dyDescent="0.3">
      <c r="A80" s="96"/>
      <c r="B80" s="93" t="s">
        <v>111</v>
      </c>
    </row>
    <row r="81" spans="1:10" ht="13" x14ac:dyDescent="0.3">
      <c r="A81" s="96"/>
      <c r="C81" s="93" t="s">
        <v>112</v>
      </c>
    </row>
    <row r="82" spans="1:10" ht="13" x14ac:dyDescent="0.3">
      <c r="A82" s="96"/>
      <c r="J82" s="96" t="s">
        <v>113</v>
      </c>
    </row>
    <row r="83" spans="1:10" ht="13" x14ac:dyDescent="0.3">
      <c r="A83" s="96"/>
      <c r="E83" s="100" t="s">
        <v>114</v>
      </c>
      <c r="F83" s="99" t="s">
        <v>98</v>
      </c>
      <c r="G83" s="100" t="s">
        <v>115</v>
      </c>
      <c r="H83" s="100" t="s">
        <v>116</v>
      </c>
      <c r="J83" s="100" t="s">
        <v>117</v>
      </c>
    </row>
    <row r="84" spans="1:10" ht="13" x14ac:dyDescent="0.3">
      <c r="B84" s="121" t="s">
        <v>118</v>
      </c>
      <c r="C84" s="93" t="s">
        <v>119</v>
      </c>
      <c r="E84" s="122">
        <v>9.8000000000000004E-2</v>
      </c>
      <c r="F84" s="93" t="s">
        <v>446</v>
      </c>
      <c r="G84" s="123" t="s">
        <v>281</v>
      </c>
      <c r="H84" s="124" t="s">
        <v>282</v>
      </c>
      <c r="J84" s="125">
        <v>365</v>
      </c>
    </row>
    <row r="85" spans="1:10" ht="13" x14ac:dyDescent="0.3">
      <c r="B85" s="121" t="s">
        <v>120</v>
      </c>
      <c r="C85" s="93" t="s">
        <v>121</v>
      </c>
      <c r="E85" s="126">
        <v>9.8000000000000004E-2</v>
      </c>
      <c r="F85" s="93" t="s">
        <v>122</v>
      </c>
      <c r="G85" s="123"/>
      <c r="H85" s="124"/>
      <c r="J85" s="125"/>
    </row>
    <row r="86" spans="1:10" ht="13" x14ac:dyDescent="0.3">
      <c r="B86" s="121" t="s">
        <v>123</v>
      </c>
      <c r="E86" s="127"/>
      <c r="G86" s="128"/>
      <c r="H86" s="128"/>
      <c r="I86" s="112" t="s">
        <v>124</v>
      </c>
      <c r="J86" s="93">
        <f>SUM(J84:J85)</f>
        <v>365</v>
      </c>
    </row>
    <row r="87" spans="1:10" ht="13" x14ac:dyDescent="0.3">
      <c r="B87" s="121" t="s">
        <v>125</v>
      </c>
      <c r="C87" s="93" t="s">
        <v>126</v>
      </c>
      <c r="E87" s="122">
        <f>((E84*J84) + (E85* J85)) / J86</f>
        <v>9.8000000000000004E-2</v>
      </c>
      <c r="F87" s="93" t="s">
        <v>127</v>
      </c>
    </row>
    <row r="88" spans="1:10" ht="13" x14ac:dyDescent="0.3">
      <c r="A88" s="96"/>
    </row>
    <row r="89" spans="1:10" ht="13" x14ac:dyDescent="0.3">
      <c r="A89" s="96"/>
      <c r="B89" s="93" t="s">
        <v>128</v>
      </c>
    </row>
    <row r="90" spans="1:10" ht="13" x14ac:dyDescent="0.3">
      <c r="A90" s="96"/>
      <c r="E90" s="99" t="s">
        <v>98</v>
      </c>
    </row>
    <row r="91" spans="1:10" ht="13" x14ac:dyDescent="0.3">
      <c r="B91" s="121" t="s">
        <v>129</v>
      </c>
      <c r="C91" s="93" t="s">
        <v>130</v>
      </c>
      <c r="E91" s="125" t="s">
        <v>131</v>
      </c>
      <c r="F91" s="125"/>
      <c r="G91" s="125"/>
      <c r="H91" s="125"/>
      <c r="I91" s="125"/>
      <c r="J91" s="125"/>
    </row>
    <row r="92" spans="1:10" ht="13" x14ac:dyDescent="0.3">
      <c r="B92" s="121" t="s">
        <v>132</v>
      </c>
      <c r="C92" s="93" t="s">
        <v>133</v>
      </c>
      <c r="E92" s="125" t="s">
        <v>131</v>
      </c>
      <c r="F92" s="125"/>
      <c r="G92" s="125"/>
      <c r="H92" s="125"/>
      <c r="I92" s="125"/>
      <c r="J92" s="125"/>
    </row>
    <row r="93" spans="1:10" x14ac:dyDescent="0.25">
      <c r="E93" s="128"/>
    </row>
    <row r="94" spans="1:10" ht="13" x14ac:dyDescent="0.3">
      <c r="E94" s="100" t="s">
        <v>114</v>
      </c>
      <c r="F94" s="99" t="s">
        <v>98</v>
      </c>
    </row>
    <row r="95" spans="1:10" ht="13" x14ac:dyDescent="0.3">
      <c r="B95" s="121" t="s">
        <v>134</v>
      </c>
      <c r="C95" s="93" t="s">
        <v>135</v>
      </c>
      <c r="E95" s="110">
        <v>1.9907646765737794E-2</v>
      </c>
      <c r="F95" s="93" t="s">
        <v>447</v>
      </c>
    </row>
    <row r="96" spans="1:10" ht="13" x14ac:dyDescent="0.3">
      <c r="B96" s="121" t="s">
        <v>136</v>
      </c>
      <c r="C96" s="93" t="s">
        <v>137</v>
      </c>
      <c r="E96" s="110">
        <v>4.9514327156233075E-3</v>
      </c>
      <c r="F96" s="93" t="s">
        <v>448</v>
      </c>
    </row>
    <row r="97" spans="1:10" ht="13" x14ac:dyDescent="0.3">
      <c r="B97" s="121" t="s">
        <v>138</v>
      </c>
      <c r="C97" s="93" t="s">
        <v>139</v>
      </c>
      <c r="E97" s="129">
        <v>4.7640626543274063E-2</v>
      </c>
      <c r="F97" s="93" t="s">
        <v>449</v>
      </c>
    </row>
    <row r="98" spans="1:10" ht="13" x14ac:dyDescent="0.3">
      <c r="B98" s="96" t="s">
        <v>140</v>
      </c>
      <c r="C98" s="98" t="s">
        <v>70</v>
      </c>
      <c r="E98" s="110">
        <f>SUM(E95:E97)</f>
        <v>7.2499706024635166E-2</v>
      </c>
      <c r="F98" s="102" t="str">
        <f>"Sum of Lines "&amp;B92&amp;" to "&amp;B96&amp;""</f>
        <v>Sum of Lines f to h</v>
      </c>
      <c r="G98" s="130"/>
      <c r="J98" s="131"/>
    </row>
    <row r="99" spans="1:10" ht="13" x14ac:dyDescent="0.3">
      <c r="A99" s="96"/>
      <c r="C99" s="132"/>
      <c r="D99" s="133"/>
      <c r="E99" s="102"/>
      <c r="F99" s="102"/>
      <c r="G99" s="130"/>
      <c r="H99" s="102"/>
      <c r="J99" s="131"/>
    </row>
    <row r="100" spans="1:10" ht="13" x14ac:dyDescent="0.3">
      <c r="A100" s="96"/>
      <c r="B100" s="93" t="s">
        <v>141</v>
      </c>
    </row>
    <row r="101" spans="1:10" ht="13" x14ac:dyDescent="0.3">
      <c r="A101" s="96"/>
    </row>
    <row r="102" spans="1:10" ht="13" x14ac:dyDescent="0.3">
      <c r="A102" s="96"/>
      <c r="E102" s="100" t="s">
        <v>114</v>
      </c>
      <c r="F102" s="99" t="s">
        <v>98</v>
      </c>
    </row>
    <row r="103" spans="1:10" ht="13" x14ac:dyDescent="0.3">
      <c r="B103" s="121" t="s">
        <v>142</v>
      </c>
      <c r="E103" s="110">
        <f>E96+E97</f>
        <v>5.2592059258897372E-2</v>
      </c>
      <c r="F103" s="102" t="str">
        <f>"Sum of Lines "&amp;B95&amp;" to "&amp;B96&amp;""</f>
        <v>Sum of Lines g to h</v>
      </c>
    </row>
    <row r="104" spans="1:10" ht="13" x14ac:dyDescent="0.3">
      <c r="A104" s="96"/>
      <c r="E104" s="110"/>
      <c r="F104" s="102"/>
    </row>
    <row r="105" spans="1:10" ht="13" x14ac:dyDescent="0.3">
      <c r="A105" s="96"/>
      <c r="B105" s="101" t="s">
        <v>143</v>
      </c>
      <c r="E105" s="130"/>
      <c r="F105" s="130"/>
      <c r="G105" s="130"/>
      <c r="H105" s="102"/>
    </row>
    <row r="106" spans="1:10" ht="13" x14ac:dyDescent="0.3">
      <c r="A106" s="96"/>
      <c r="B106" s="93" t="s">
        <v>144</v>
      </c>
    </row>
    <row r="107" spans="1:10" ht="13" x14ac:dyDescent="0.3">
      <c r="A107" s="96"/>
      <c r="B107" s="93" t="s">
        <v>145</v>
      </c>
      <c r="D107" s="96"/>
      <c r="E107" s="96"/>
      <c r="F107" s="96"/>
      <c r="G107" s="96"/>
      <c r="H107" s="96"/>
    </row>
    <row r="108" spans="1:10" ht="13" x14ac:dyDescent="0.3">
      <c r="A108" s="96"/>
      <c r="B108" s="101" t="s">
        <v>146</v>
      </c>
      <c r="D108" s="96"/>
      <c r="E108" s="96"/>
      <c r="F108" s="96"/>
      <c r="G108" s="96"/>
      <c r="H108" s="96"/>
    </row>
    <row r="109" spans="1:10" ht="13" x14ac:dyDescent="0.3">
      <c r="A109" s="96"/>
      <c r="B109" s="93" t="s">
        <v>147</v>
      </c>
      <c r="C109" s="134"/>
      <c r="D109" s="134"/>
      <c r="E109" s="100"/>
      <c r="F109" s="100"/>
      <c r="G109" s="100"/>
      <c r="H109" s="100"/>
    </row>
    <row r="110" spans="1:10" ht="13" x14ac:dyDescent="0.3">
      <c r="A110" s="96"/>
    </row>
    <row r="111" spans="1:10" ht="13" x14ac:dyDescent="0.3">
      <c r="A111" s="96"/>
    </row>
    <row r="112" spans="1:10" ht="13" x14ac:dyDescent="0.3">
      <c r="A112" s="96"/>
    </row>
    <row r="113" spans="1:10" ht="13" x14ac:dyDescent="0.3">
      <c r="A113" s="96"/>
      <c r="C113" s="132"/>
      <c r="E113" s="102"/>
      <c r="F113" s="102"/>
      <c r="H113" s="102"/>
      <c r="J113" s="131"/>
    </row>
    <row r="114" spans="1:10" ht="13" x14ac:dyDescent="0.3">
      <c r="A114" s="96"/>
      <c r="C114" s="132"/>
      <c r="E114" s="102"/>
      <c r="F114" s="102"/>
      <c r="H114" s="102"/>
      <c r="J114" s="131"/>
    </row>
    <row r="115" spans="1:10" ht="13" x14ac:dyDescent="0.3">
      <c r="A115" s="97"/>
      <c r="C115" s="132"/>
      <c r="E115" s="102"/>
      <c r="F115" s="102"/>
      <c r="H115" s="102"/>
      <c r="J115" s="131"/>
    </row>
    <row r="116" spans="1:10" ht="13" x14ac:dyDescent="0.3">
      <c r="A116" s="96"/>
      <c r="D116" s="135"/>
      <c r="E116" s="102"/>
      <c r="F116" s="102"/>
      <c r="H116" s="102"/>
      <c r="J116" s="131"/>
    </row>
    <row r="117" spans="1:10" ht="13" x14ac:dyDescent="0.3">
      <c r="A117" s="96"/>
      <c r="C117" s="132"/>
      <c r="D117" s="112"/>
      <c r="E117" s="108"/>
      <c r="F117" s="102"/>
      <c r="H117" s="102"/>
      <c r="J117" s="131"/>
    </row>
    <row r="118" spans="1:10" ht="13" x14ac:dyDescent="0.3">
      <c r="A118" s="96"/>
      <c r="C118" s="132"/>
      <c r="D118" s="112"/>
      <c r="E118" s="102"/>
      <c r="F118" s="102"/>
      <c r="H118" s="102"/>
      <c r="J118" s="131"/>
    </row>
    <row r="119" spans="1:10" ht="13" x14ac:dyDescent="0.3">
      <c r="A119" s="96"/>
    </row>
    <row r="120" spans="1:10" ht="13" x14ac:dyDescent="0.3">
      <c r="A120" s="96"/>
      <c r="B120" s="92"/>
    </row>
    <row r="121" spans="1:10" ht="13" x14ac:dyDescent="0.3">
      <c r="A121" s="96"/>
    </row>
    <row r="122" spans="1:10" ht="13" x14ac:dyDescent="0.3">
      <c r="A122" s="96"/>
    </row>
    <row r="123" spans="1:10" ht="13" x14ac:dyDescent="0.3">
      <c r="A123" s="96"/>
      <c r="F123" s="96"/>
    </row>
    <row r="124" spans="1:10" ht="13" x14ac:dyDescent="0.3">
      <c r="A124" s="96"/>
      <c r="F124" s="96"/>
    </row>
    <row r="125" spans="1:10" ht="13" x14ac:dyDescent="0.3">
      <c r="A125" s="96"/>
      <c r="D125" s="96"/>
      <c r="E125" s="96"/>
      <c r="F125" s="96"/>
      <c r="H125" s="96"/>
    </row>
    <row r="126" spans="1:10" ht="13" x14ac:dyDescent="0.3">
      <c r="A126" s="96"/>
      <c r="D126" s="96"/>
      <c r="E126" s="96"/>
      <c r="F126" s="96"/>
      <c r="G126" s="96"/>
      <c r="H126" s="121"/>
    </row>
    <row r="127" spans="1:10" ht="13" x14ac:dyDescent="0.3">
      <c r="A127" s="97"/>
      <c r="C127" s="134"/>
      <c r="D127" s="134"/>
      <c r="E127" s="100"/>
      <c r="F127" s="136"/>
      <c r="G127" s="100"/>
      <c r="H127" s="121"/>
    </row>
    <row r="128" spans="1:10" ht="13" x14ac:dyDescent="0.3">
      <c r="A128" s="96"/>
      <c r="C128" s="132"/>
      <c r="D128" s="133"/>
      <c r="E128" s="102"/>
      <c r="F128" s="102"/>
      <c r="G128" s="122"/>
      <c r="H128" s="102"/>
    </row>
    <row r="129" spans="1:8" ht="13" x14ac:dyDescent="0.3">
      <c r="A129" s="96"/>
      <c r="C129" s="132"/>
      <c r="D129" s="133"/>
      <c r="E129" s="102"/>
      <c r="F129" s="102"/>
      <c r="G129" s="122"/>
      <c r="H129" s="102"/>
    </row>
    <row r="130" spans="1:8" ht="13" x14ac:dyDescent="0.3">
      <c r="A130" s="96"/>
      <c r="C130" s="132"/>
      <c r="D130" s="133"/>
      <c r="E130" s="102"/>
      <c r="F130" s="102"/>
      <c r="G130" s="122"/>
      <c r="H130" s="102"/>
    </row>
    <row r="131" spans="1:8" ht="13" x14ac:dyDescent="0.3">
      <c r="A131" s="96"/>
      <c r="C131" s="132"/>
      <c r="D131" s="133"/>
      <c r="E131" s="102"/>
      <c r="F131" s="102"/>
      <c r="G131" s="122"/>
      <c r="H131" s="102"/>
    </row>
    <row r="132" spans="1:8" ht="13" x14ac:dyDescent="0.3">
      <c r="A132" s="96"/>
      <c r="C132" s="132"/>
      <c r="D132" s="133"/>
      <c r="E132" s="102"/>
      <c r="F132" s="102"/>
      <c r="G132" s="122"/>
      <c r="H132" s="102"/>
    </row>
    <row r="133" spans="1:8" ht="13" x14ac:dyDescent="0.3">
      <c r="A133" s="96"/>
      <c r="C133" s="132"/>
      <c r="D133" s="133"/>
      <c r="E133" s="102"/>
      <c r="F133" s="102"/>
      <c r="G133" s="122"/>
      <c r="H133" s="102"/>
    </row>
    <row r="134" spans="1:8" ht="13" x14ac:dyDescent="0.3">
      <c r="A134" s="96"/>
      <c r="C134" s="132"/>
      <c r="D134" s="133"/>
      <c r="E134" s="102"/>
      <c r="F134" s="102"/>
      <c r="G134" s="122"/>
      <c r="H134" s="102"/>
    </row>
    <row r="135" spans="1:8" ht="13" x14ac:dyDescent="0.3">
      <c r="A135" s="96"/>
      <c r="C135" s="132"/>
      <c r="D135" s="133"/>
      <c r="E135" s="102"/>
      <c r="F135" s="102"/>
      <c r="G135" s="122"/>
      <c r="H135" s="102"/>
    </row>
    <row r="136" spans="1:8" ht="13" x14ac:dyDescent="0.3">
      <c r="A136" s="96"/>
      <c r="C136" s="132"/>
      <c r="D136" s="133"/>
      <c r="E136" s="102"/>
      <c r="F136" s="102"/>
      <c r="G136" s="122"/>
      <c r="H136" s="102"/>
    </row>
    <row r="137" spans="1:8" ht="13" x14ac:dyDescent="0.3">
      <c r="A137" s="96"/>
      <c r="C137" s="132"/>
      <c r="D137" s="133"/>
      <c r="E137" s="102"/>
      <c r="F137" s="102"/>
      <c r="G137" s="122"/>
      <c r="H137" s="102"/>
    </row>
    <row r="138" spans="1:8" ht="13" x14ac:dyDescent="0.3">
      <c r="A138" s="96"/>
      <c r="C138" s="132"/>
      <c r="D138" s="133"/>
      <c r="E138" s="102"/>
      <c r="F138" s="102"/>
      <c r="G138" s="122"/>
      <c r="H138" s="102"/>
    </row>
    <row r="139" spans="1:8" ht="13" x14ac:dyDescent="0.3">
      <c r="A139" s="96"/>
      <c r="C139" s="132"/>
      <c r="D139" s="133"/>
      <c r="E139" s="102"/>
      <c r="F139" s="102"/>
      <c r="G139" s="122"/>
      <c r="H139" s="108"/>
    </row>
    <row r="140" spans="1:8" ht="13" x14ac:dyDescent="0.3">
      <c r="A140" s="96"/>
      <c r="H140" s="102"/>
    </row>
    <row r="141" spans="1:8" ht="13" x14ac:dyDescent="0.3">
      <c r="A141" s="96"/>
      <c r="C141" s="132"/>
      <c r="D141" s="133"/>
      <c r="F141" s="137"/>
      <c r="G141" s="122"/>
      <c r="H141" s="137"/>
    </row>
    <row r="142" spans="1:8" ht="13" x14ac:dyDescent="0.3">
      <c r="A142" s="96"/>
      <c r="B142" s="92"/>
      <c r="C142" s="132"/>
      <c r="D142" s="133"/>
      <c r="F142" s="137"/>
      <c r="G142" s="122"/>
      <c r="H142" s="137"/>
    </row>
    <row r="143" spans="1:8" ht="13" x14ac:dyDescent="0.3">
      <c r="A143" s="97"/>
      <c r="B143" s="92"/>
      <c r="C143" s="132"/>
      <c r="D143" s="133"/>
      <c r="F143" s="137"/>
      <c r="G143" s="122"/>
      <c r="H143" s="137"/>
    </row>
    <row r="144" spans="1:8" ht="13" x14ac:dyDescent="0.3">
      <c r="A144" s="96"/>
      <c r="C144" s="132"/>
      <c r="D144" s="138"/>
      <c r="E144" s="102"/>
      <c r="F144" s="139"/>
      <c r="G144" s="122"/>
      <c r="H144" s="137"/>
    </row>
    <row r="145" spans="1:8" ht="13" x14ac:dyDescent="0.3">
      <c r="A145" s="96"/>
      <c r="C145" s="132"/>
      <c r="D145" s="112"/>
      <c r="E145" s="102"/>
      <c r="F145" s="139"/>
      <c r="G145" s="122"/>
      <c r="H145" s="137"/>
    </row>
    <row r="146" spans="1:8" ht="13" x14ac:dyDescent="0.3">
      <c r="A146" s="96"/>
      <c r="C146" s="132"/>
      <c r="D146" s="112"/>
      <c r="E146" s="108"/>
      <c r="F146" s="139"/>
      <c r="G146" s="122"/>
      <c r="H146" s="137"/>
    </row>
    <row r="147" spans="1:8" ht="13" x14ac:dyDescent="0.3">
      <c r="A147" s="96"/>
      <c r="C147" s="132"/>
      <c r="D147" s="138"/>
      <c r="E147" s="102"/>
      <c r="F147" s="137"/>
      <c r="G147" s="122"/>
      <c r="H147" s="137"/>
    </row>
    <row r="148" spans="1:8" ht="13" x14ac:dyDescent="0.3">
      <c r="A148" s="96"/>
      <c r="C148" s="132"/>
      <c r="D148" s="133"/>
      <c r="F148" s="137"/>
      <c r="G148" s="122"/>
      <c r="H148" s="137"/>
    </row>
    <row r="149" spans="1:8" ht="13" x14ac:dyDescent="0.3">
      <c r="A149" s="96"/>
    </row>
    <row r="150" spans="1:8" ht="13" x14ac:dyDescent="0.3">
      <c r="A150" s="96"/>
    </row>
    <row r="151" spans="1:8" ht="13" x14ac:dyDescent="0.3">
      <c r="A151" s="96"/>
    </row>
    <row r="152" spans="1:8" ht="13" x14ac:dyDescent="0.3">
      <c r="A152" s="96"/>
      <c r="B152" s="92"/>
    </row>
    <row r="153" spans="1:8" ht="13" x14ac:dyDescent="0.3">
      <c r="A153" s="96"/>
    </row>
    <row r="154" spans="1:8" ht="13" x14ac:dyDescent="0.3">
      <c r="A154" s="96"/>
    </row>
    <row r="155" spans="1:8" ht="13" x14ac:dyDescent="0.3">
      <c r="A155" s="96"/>
    </row>
    <row r="156" spans="1:8" ht="13" x14ac:dyDescent="0.3">
      <c r="A156" s="96"/>
    </row>
    <row r="157" spans="1:8" ht="13" x14ac:dyDescent="0.3">
      <c r="A157" s="96"/>
      <c r="B157" s="92"/>
    </row>
    <row r="158" spans="1:8" ht="13" x14ac:dyDescent="0.3">
      <c r="A158" s="96"/>
    </row>
    <row r="159" spans="1:8" ht="13" x14ac:dyDescent="0.3">
      <c r="A159" s="97"/>
      <c r="C159" s="134"/>
      <c r="D159" s="100"/>
    </row>
    <row r="160" spans="1:8" ht="13" x14ac:dyDescent="0.3">
      <c r="A160" s="96"/>
      <c r="C160" s="132"/>
      <c r="D160" s="140"/>
      <c r="F160" s="110"/>
    </row>
    <row r="161" spans="1:6" ht="13" x14ac:dyDescent="0.3">
      <c r="A161" s="96"/>
      <c r="C161" s="132"/>
      <c r="D161" s="140"/>
      <c r="F161" s="110"/>
    </row>
    <row r="162" spans="1:6" ht="13" x14ac:dyDescent="0.3">
      <c r="A162" s="96"/>
      <c r="C162" s="132"/>
      <c r="D162" s="140"/>
      <c r="F162" s="110"/>
    </row>
    <row r="163" spans="1:6" ht="13" x14ac:dyDescent="0.3">
      <c r="A163" s="96"/>
      <c r="C163" s="132"/>
      <c r="D163" s="140"/>
      <c r="F163" s="110"/>
    </row>
    <row r="164" spans="1:6" ht="13" x14ac:dyDescent="0.3">
      <c r="A164" s="96"/>
      <c r="C164" s="132"/>
      <c r="D164" s="140"/>
      <c r="F164" s="110"/>
    </row>
    <row r="165" spans="1:6" ht="13" x14ac:dyDescent="0.3">
      <c r="A165" s="96"/>
      <c r="C165" s="132"/>
      <c r="D165" s="140"/>
      <c r="F165" s="110"/>
    </row>
    <row r="166" spans="1:6" ht="13" x14ac:dyDescent="0.3">
      <c r="A166" s="96"/>
      <c r="C166" s="132"/>
      <c r="D166" s="140"/>
      <c r="F166" s="110"/>
    </row>
    <row r="167" spans="1:6" ht="13" x14ac:dyDescent="0.3">
      <c r="A167" s="96"/>
      <c r="C167" s="132"/>
      <c r="D167" s="140"/>
      <c r="F167" s="110"/>
    </row>
    <row r="168" spans="1:6" ht="13" x14ac:dyDescent="0.3">
      <c r="A168" s="96"/>
      <c r="C168" s="132"/>
      <c r="D168" s="140"/>
      <c r="F168" s="110"/>
    </row>
    <row r="169" spans="1:6" ht="13" x14ac:dyDescent="0.3">
      <c r="A169" s="96"/>
      <c r="C169" s="132"/>
      <c r="D169" s="140"/>
      <c r="F169" s="110"/>
    </row>
    <row r="170" spans="1:6" ht="13" x14ac:dyDescent="0.3">
      <c r="A170" s="96"/>
      <c r="C170" s="132"/>
      <c r="D170" s="140"/>
      <c r="F170" s="110"/>
    </row>
    <row r="171" spans="1:6" ht="13" x14ac:dyDescent="0.3">
      <c r="A171" s="96"/>
      <c r="C171" s="132"/>
      <c r="D171" s="141"/>
      <c r="F171" s="129"/>
    </row>
    <row r="172" spans="1:6" ht="13" x14ac:dyDescent="0.3">
      <c r="A172" s="96"/>
      <c r="C172" s="135"/>
      <c r="D172" s="140"/>
    </row>
  </sheetData>
  <mergeCells count="1">
    <mergeCell ref="K71:L71"/>
  </mergeCells>
  <pageMargins left="0.75" right="0.75" top="1" bottom="1" header="0.5" footer="0.5"/>
  <pageSetup scale="80" orientation="landscape" cellComments="asDisplayed" r:id="rId1"/>
  <headerFooter alignWithMargins="0">
    <oddHeader>&amp;CSchedule 4
True Up TRR
(Revised 2017 True Up TRR)&amp;RTO2021 Annual Update
Attachment 4
WP-Schedule 3-One Time Adj Prior Period
Page &amp;P of &amp;N</oddHeader>
    <oddFooter>&amp;R&amp;A</oddFooter>
  </headerFooter>
  <rowBreaks count="4" manualBreakCount="4">
    <brk id="45" max="9"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70AAC-90BA-4AF2-BDBD-954FF8F9B51B}">
  <dimension ref="A1:M460"/>
  <sheetViews>
    <sheetView zoomScaleNormal="100" workbookViewId="0"/>
  </sheetViews>
  <sheetFormatPr defaultRowHeight="12.5" x14ac:dyDescent="0.25"/>
  <cols>
    <col min="1" max="1" width="4.7265625" customWidth="1"/>
    <col min="2" max="2" width="12.7265625" customWidth="1"/>
    <col min="3" max="3" width="8.7265625" customWidth="1"/>
    <col min="4" max="4" width="15.1796875" bestFit="1" customWidth="1"/>
    <col min="5" max="5" width="18.7265625" customWidth="1"/>
    <col min="6" max="6" width="16.1796875" customWidth="1"/>
    <col min="7" max="7" width="13.453125" customWidth="1"/>
    <col min="8" max="8" width="13.54296875" bestFit="1" customWidth="1"/>
    <col min="9" max="9" width="17.1796875" customWidth="1"/>
    <col min="10" max="10" width="15.453125" customWidth="1"/>
    <col min="11" max="11" width="17.26953125" customWidth="1"/>
    <col min="12" max="12" width="14.7265625" bestFit="1" customWidth="1"/>
    <col min="13" max="13" width="13.1796875" bestFit="1" customWidth="1"/>
  </cols>
  <sheetData>
    <row r="1" spans="1:12" ht="13" x14ac:dyDescent="0.3">
      <c r="A1" s="169" t="s">
        <v>325</v>
      </c>
      <c r="K1" s="169"/>
    </row>
    <row r="2" spans="1:12" ht="13" x14ac:dyDescent="0.3">
      <c r="A2" s="169"/>
      <c r="K2" s="169"/>
    </row>
    <row r="3" spans="1:12" ht="13" x14ac:dyDescent="0.3">
      <c r="A3" s="169"/>
      <c r="B3" s="170" t="s">
        <v>326</v>
      </c>
      <c r="K3" s="169"/>
    </row>
    <row r="4" spans="1:12" ht="13" x14ac:dyDescent="0.3">
      <c r="B4" s="170" t="s">
        <v>327</v>
      </c>
      <c r="K4" s="169"/>
      <c r="L4" s="170"/>
    </row>
    <row r="5" spans="1:12" ht="13" x14ac:dyDescent="0.3">
      <c r="B5" s="170"/>
      <c r="K5" s="169"/>
    </row>
    <row r="6" spans="1:12" ht="13" x14ac:dyDescent="0.3">
      <c r="A6" s="170"/>
      <c r="B6" s="169" t="s">
        <v>328</v>
      </c>
      <c r="K6" s="169"/>
    </row>
    <row r="7" spans="1:12" ht="13" x14ac:dyDescent="0.3">
      <c r="A7" s="170"/>
      <c r="B7" s="169"/>
      <c r="D7" s="171" t="s">
        <v>148</v>
      </c>
      <c r="E7" s="171" t="s">
        <v>149</v>
      </c>
      <c r="F7" s="171" t="s">
        <v>150</v>
      </c>
      <c r="G7" s="171" t="s">
        <v>151</v>
      </c>
      <c r="H7" s="171" t="s">
        <v>329</v>
      </c>
      <c r="I7" s="171" t="s">
        <v>330</v>
      </c>
      <c r="J7" s="171"/>
      <c r="K7" s="169"/>
      <c r="L7" s="171"/>
    </row>
    <row r="8" spans="1:12" x14ac:dyDescent="0.25">
      <c r="D8" s="172" t="s">
        <v>331</v>
      </c>
    </row>
    <row r="9" spans="1:12" x14ac:dyDescent="0.25">
      <c r="D9" s="173" t="s">
        <v>332</v>
      </c>
    </row>
    <row r="10" spans="1:12" ht="13" x14ac:dyDescent="0.3">
      <c r="B10" s="174"/>
    </row>
    <row r="11" spans="1:12" ht="13" x14ac:dyDescent="0.3">
      <c r="B11" s="174"/>
      <c r="D11" s="174" t="s">
        <v>1</v>
      </c>
      <c r="F11" s="174" t="s">
        <v>333</v>
      </c>
      <c r="G11" s="175" t="s">
        <v>334</v>
      </c>
      <c r="H11" s="175" t="s">
        <v>335</v>
      </c>
      <c r="I11" s="174"/>
      <c r="J11" s="174"/>
      <c r="K11" s="170"/>
    </row>
    <row r="12" spans="1:12" ht="13" x14ac:dyDescent="0.3">
      <c r="A12" s="176" t="s">
        <v>336</v>
      </c>
      <c r="B12" s="134" t="s">
        <v>16</v>
      </c>
      <c r="C12" s="134" t="s">
        <v>17</v>
      </c>
      <c r="D12" s="177" t="s">
        <v>337</v>
      </c>
      <c r="E12" s="177" t="s">
        <v>338</v>
      </c>
      <c r="F12" s="177" t="s">
        <v>339</v>
      </c>
      <c r="G12" s="178" t="s">
        <v>340</v>
      </c>
      <c r="H12" s="178" t="s">
        <v>341</v>
      </c>
      <c r="I12" s="177" t="s">
        <v>342</v>
      </c>
      <c r="J12" s="177"/>
      <c r="K12" s="170"/>
    </row>
    <row r="13" spans="1:12" ht="13" x14ac:dyDescent="0.3">
      <c r="A13" s="174">
        <v>1</v>
      </c>
      <c r="B13" s="132" t="s">
        <v>6</v>
      </c>
      <c r="C13" s="179">
        <v>2016</v>
      </c>
      <c r="D13" s="180">
        <f>SUM(E13:I13)+SUM(D33:G33)</f>
        <v>115749706.3</v>
      </c>
      <c r="E13" s="181">
        <v>14915547.51</v>
      </c>
      <c r="F13" s="182">
        <v>0</v>
      </c>
      <c r="G13" s="182">
        <v>4204927.07</v>
      </c>
      <c r="H13" s="182">
        <v>69685244.670000002</v>
      </c>
      <c r="I13" s="182">
        <v>0</v>
      </c>
      <c r="J13" s="183"/>
    </row>
    <row r="14" spans="1:12" ht="13" x14ac:dyDescent="0.3">
      <c r="A14" s="174">
        <f>A13+1</f>
        <v>2</v>
      </c>
      <c r="B14" s="132" t="s">
        <v>7</v>
      </c>
      <c r="C14" s="179">
        <v>2017</v>
      </c>
      <c r="D14" s="180">
        <f t="shared" ref="D14:D25" si="0">SUM(E14:I14)+SUM(D34:G34)</f>
        <v>117194141.84999999</v>
      </c>
      <c r="E14" s="181">
        <v>15082524.26</v>
      </c>
      <c r="F14" s="182">
        <v>0</v>
      </c>
      <c r="G14" s="182">
        <v>4239930.7699999996</v>
      </c>
      <c r="H14" s="182">
        <v>70177660.219999999</v>
      </c>
      <c r="I14" s="182">
        <v>0</v>
      </c>
      <c r="J14" s="183"/>
    </row>
    <row r="15" spans="1:12" ht="13" x14ac:dyDescent="0.3">
      <c r="A15" s="174">
        <f t="shared" ref="A15:A26" si="1">A14+1</f>
        <v>3</v>
      </c>
      <c r="B15" s="132" t="s">
        <v>8</v>
      </c>
      <c r="C15" s="179">
        <v>2017</v>
      </c>
      <c r="D15" s="180">
        <f t="shared" si="0"/>
        <v>119164540.84</v>
      </c>
      <c r="E15" s="181">
        <v>15117127.390000001</v>
      </c>
      <c r="F15" s="182">
        <v>0</v>
      </c>
      <c r="G15" s="182">
        <v>4296863.42</v>
      </c>
      <c r="H15" s="182">
        <v>71031101.459999993</v>
      </c>
      <c r="I15" s="182">
        <v>0</v>
      </c>
      <c r="J15" s="183"/>
    </row>
    <row r="16" spans="1:12" ht="13" x14ac:dyDescent="0.3">
      <c r="A16" s="174">
        <f t="shared" si="1"/>
        <v>4</v>
      </c>
      <c r="B16" s="132" t="s">
        <v>18</v>
      </c>
      <c r="C16" s="179">
        <v>2017</v>
      </c>
      <c r="D16" s="180">
        <f t="shared" si="0"/>
        <v>125730090.70000002</v>
      </c>
      <c r="E16" s="181">
        <v>15123624.76</v>
      </c>
      <c r="F16" s="182">
        <v>0</v>
      </c>
      <c r="G16" s="182">
        <v>4400060.7300000004</v>
      </c>
      <c r="H16" s="182">
        <v>73723203.530000001</v>
      </c>
      <c r="I16" s="182">
        <v>0</v>
      </c>
      <c r="J16" s="183"/>
    </row>
    <row r="17" spans="1:11" ht="13" x14ac:dyDescent="0.3">
      <c r="A17" s="174">
        <f t="shared" si="1"/>
        <v>5</v>
      </c>
      <c r="B17" s="132" t="s">
        <v>9</v>
      </c>
      <c r="C17" s="179">
        <v>2017</v>
      </c>
      <c r="D17" s="180">
        <f t="shared" si="0"/>
        <v>95419243.700000003</v>
      </c>
      <c r="E17" s="181">
        <v>15192634.41</v>
      </c>
      <c r="F17" s="182">
        <v>0</v>
      </c>
      <c r="G17" s="182">
        <v>4461540.67</v>
      </c>
      <c r="H17" s="182">
        <v>75120415.75</v>
      </c>
      <c r="I17" s="182">
        <v>0</v>
      </c>
      <c r="J17" s="183"/>
    </row>
    <row r="18" spans="1:11" ht="13" x14ac:dyDescent="0.3">
      <c r="A18" s="174">
        <f t="shared" si="1"/>
        <v>6</v>
      </c>
      <c r="B18" s="132" t="s">
        <v>10</v>
      </c>
      <c r="C18" s="179">
        <v>2017</v>
      </c>
      <c r="D18" s="180">
        <f t="shared" si="0"/>
        <v>82582163</v>
      </c>
      <c r="E18" s="181">
        <v>149717.78</v>
      </c>
      <c r="F18" s="182">
        <v>0</v>
      </c>
      <c r="G18" s="182">
        <v>4476503.9800000004</v>
      </c>
      <c r="H18" s="182">
        <v>77300754.379999995</v>
      </c>
      <c r="I18" s="182">
        <v>0</v>
      </c>
      <c r="J18" s="183"/>
    </row>
    <row r="19" spans="1:11" ht="13" x14ac:dyDescent="0.3">
      <c r="A19" s="174">
        <f t="shared" si="1"/>
        <v>7</v>
      </c>
      <c r="B19" s="132" t="s">
        <v>343</v>
      </c>
      <c r="C19" s="179">
        <v>2017</v>
      </c>
      <c r="D19" s="180">
        <f t="shared" si="0"/>
        <v>84504679.470000014</v>
      </c>
      <c r="E19" s="181">
        <v>149717.78</v>
      </c>
      <c r="F19" s="182">
        <v>0</v>
      </c>
      <c r="G19" s="182">
        <v>4697237.76</v>
      </c>
      <c r="H19" s="182">
        <v>78966263.950000003</v>
      </c>
      <c r="I19" s="182">
        <v>0</v>
      </c>
      <c r="J19" s="183"/>
    </row>
    <row r="20" spans="1:11" ht="13" x14ac:dyDescent="0.3">
      <c r="A20" s="174">
        <f t="shared" si="1"/>
        <v>8</v>
      </c>
      <c r="B20" s="132" t="s">
        <v>11</v>
      </c>
      <c r="C20" s="179">
        <v>2017</v>
      </c>
      <c r="D20" s="180">
        <f t="shared" si="0"/>
        <v>85941139.910000011</v>
      </c>
      <c r="E20" s="181">
        <v>149717.78</v>
      </c>
      <c r="F20" s="182">
        <v>0</v>
      </c>
      <c r="G20" s="182">
        <v>4761048.12</v>
      </c>
      <c r="H20" s="182">
        <v>80276384.420000002</v>
      </c>
      <c r="I20" s="182">
        <v>0</v>
      </c>
      <c r="J20" s="183"/>
    </row>
    <row r="21" spans="1:11" ht="13" x14ac:dyDescent="0.3">
      <c r="A21" s="174">
        <f t="shared" si="1"/>
        <v>9</v>
      </c>
      <c r="B21" s="132" t="s">
        <v>12</v>
      </c>
      <c r="C21" s="179">
        <v>2017</v>
      </c>
      <c r="D21" s="180">
        <f t="shared" si="0"/>
        <v>89338929.129999995</v>
      </c>
      <c r="E21" s="181">
        <v>150128.82999999999</v>
      </c>
      <c r="F21" s="182">
        <v>0</v>
      </c>
      <c r="G21" s="182">
        <v>4777853.08</v>
      </c>
      <c r="H21" s="182">
        <v>83585450.480000004</v>
      </c>
      <c r="I21" s="182">
        <v>0</v>
      </c>
      <c r="J21" s="183"/>
    </row>
    <row r="22" spans="1:11" ht="13" x14ac:dyDescent="0.3">
      <c r="A22" s="174">
        <f t="shared" si="1"/>
        <v>10</v>
      </c>
      <c r="B22" s="132" t="s">
        <v>13</v>
      </c>
      <c r="C22" s="179">
        <v>2017</v>
      </c>
      <c r="D22" s="180">
        <f t="shared" si="0"/>
        <v>91194894.549999997</v>
      </c>
      <c r="E22" s="181">
        <v>150061.94</v>
      </c>
      <c r="F22" s="182">
        <v>0</v>
      </c>
      <c r="G22" s="182">
        <v>4824268.1100000003</v>
      </c>
      <c r="H22" s="182">
        <v>85335964.900000006</v>
      </c>
      <c r="I22" s="182">
        <v>0</v>
      </c>
      <c r="J22" s="183"/>
    </row>
    <row r="23" spans="1:11" ht="13" x14ac:dyDescent="0.3">
      <c r="A23" s="174">
        <f t="shared" si="1"/>
        <v>11</v>
      </c>
      <c r="B23" s="132" t="s">
        <v>344</v>
      </c>
      <c r="C23" s="179">
        <v>2017</v>
      </c>
      <c r="D23" s="180">
        <f t="shared" si="0"/>
        <v>91967696.25</v>
      </c>
      <c r="E23" s="181">
        <v>150061.94</v>
      </c>
      <c r="F23" s="182">
        <v>0</v>
      </c>
      <c r="G23" s="182">
        <v>4844917.93</v>
      </c>
      <c r="H23" s="182">
        <v>86972716.379999995</v>
      </c>
      <c r="I23" s="182">
        <v>0</v>
      </c>
      <c r="J23" s="183"/>
    </row>
    <row r="24" spans="1:11" ht="13" x14ac:dyDescent="0.3">
      <c r="A24" s="174">
        <f t="shared" si="1"/>
        <v>12</v>
      </c>
      <c r="B24" s="132" t="s">
        <v>14</v>
      </c>
      <c r="C24" s="179">
        <v>2017</v>
      </c>
      <c r="D24" s="180">
        <f t="shared" si="0"/>
        <v>134370052.94803199</v>
      </c>
      <c r="E24" s="181">
        <v>150061.94</v>
      </c>
      <c r="F24" s="182">
        <v>0</v>
      </c>
      <c r="G24" s="182">
        <v>4852268.33</v>
      </c>
      <c r="H24" s="182">
        <v>91066687.480000004</v>
      </c>
      <c r="I24" s="182">
        <v>0</v>
      </c>
      <c r="J24" s="183"/>
    </row>
    <row r="25" spans="1:11" ht="13" x14ac:dyDescent="0.3">
      <c r="A25" s="174">
        <f t="shared" si="1"/>
        <v>13</v>
      </c>
      <c r="B25" s="132" t="s">
        <v>6</v>
      </c>
      <c r="C25" s="179">
        <v>2017</v>
      </c>
      <c r="D25" s="184">
        <f t="shared" si="0"/>
        <v>150765190.96567601</v>
      </c>
      <c r="E25" s="185">
        <v>150976.49</v>
      </c>
      <c r="F25" s="186">
        <v>0</v>
      </c>
      <c r="G25" s="186">
        <v>4884727.96</v>
      </c>
      <c r="H25" s="186">
        <v>98805811.510000005</v>
      </c>
      <c r="I25" s="186">
        <v>0</v>
      </c>
      <c r="J25" s="183"/>
    </row>
    <row r="26" spans="1:11" ht="13" x14ac:dyDescent="0.3">
      <c r="A26" s="174">
        <f t="shared" si="1"/>
        <v>14</v>
      </c>
      <c r="B26" s="132"/>
      <c r="C26" s="187" t="s">
        <v>345</v>
      </c>
      <c r="D26" s="188">
        <f t="shared" ref="D26:I26" si="2">SUM(D13:D25)/13</f>
        <v>106455574.58566985</v>
      </c>
      <c r="E26" s="189">
        <f>SUM(E13:E25)/13</f>
        <v>5894761.7546153832</v>
      </c>
      <c r="F26" s="189">
        <f t="shared" si="2"/>
        <v>0</v>
      </c>
      <c r="G26" s="189">
        <f t="shared" si="2"/>
        <v>4594011.3792307694</v>
      </c>
      <c r="H26" s="189">
        <f t="shared" si="2"/>
        <v>80157512.240769237</v>
      </c>
      <c r="I26" s="189">
        <f t="shared" si="2"/>
        <v>0</v>
      </c>
      <c r="J26" s="183"/>
      <c r="K26" s="183"/>
    </row>
    <row r="27" spans="1:11" ht="13" x14ac:dyDescent="0.3">
      <c r="A27" s="174"/>
      <c r="B27" s="132"/>
      <c r="C27" s="187"/>
      <c r="D27" s="189"/>
      <c r="E27" s="189"/>
      <c r="F27" s="189"/>
      <c r="G27" s="189"/>
      <c r="H27" s="189"/>
      <c r="I27" s="183"/>
      <c r="J27" s="183"/>
    </row>
    <row r="28" spans="1:11" ht="13" x14ac:dyDescent="0.3">
      <c r="A28" s="174"/>
      <c r="B28" s="132"/>
      <c r="C28" s="187"/>
      <c r="D28" s="171" t="s">
        <v>346</v>
      </c>
      <c r="E28" s="171" t="s">
        <v>347</v>
      </c>
      <c r="F28" s="171" t="s">
        <v>348</v>
      </c>
      <c r="G28" s="171" t="s">
        <v>349</v>
      </c>
      <c r="H28" s="171" t="s">
        <v>350</v>
      </c>
      <c r="I28" s="171" t="s">
        <v>351</v>
      </c>
      <c r="J28" s="183"/>
    </row>
    <row r="29" spans="1:11" ht="13" x14ac:dyDescent="0.3">
      <c r="A29" s="174"/>
      <c r="B29" s="132"/>
      <c r="C29" s="187"/>
      <c r="E29" s="190" t="s">
        <v>352</v>
      </c>
      <c r="F29" s="190"/>
      <c r="G29" s="190"/>
      <c r="H29" s="189"/>
      <c r="I29" s="183"/>
      <c r="J29" s="183"/>
    </row>
    <row r="30" spans="1:11" ht="13" x14ac:dyDescent="0.3">
      <c r="B30" s="174"/>
      <c r="D30" s="174" t="s">
        <v>353</v>
      </c>
      <c r="E30" s="174" t="s">
        <v>354</v>
      </c>
      <c r="F30" s="190"/>
      <c r="G30" s="190"/>
      <c r="H30" s="189"/>
      <c r="I30" s="183"/>
      <c r="J30" s="183"/>
    </row>
    <row r="31" spans="1:11" ht="13" x14ac:dyDescent="0.3">
      <c r="B31" s="174"/>
      <c r="D31" s="174" t="s">
        <v>355</v>
      </c>
      <c r="E31" s="174" t="s">
        <v>355</v>
      </c>
      <c r="F31" s="189"/>
      <c r="G31" s="183"/>
      <c r="H31" s="175" t="s">
        <v>356</v>
      </c>
      <c r="I31" s="183"/>
      <c r="J31" s="183"/>
    </row>
    <row r="32" spans="1:11" ht="13" x14ac:dyDescent="0.3">
      <c r="A32" s="176" t="s">
        <v>336</v>
      </c>
      <c r="B32" s="134" t="s">
        <v>16</v>
      </c>
      <c r="C32" s="134" t="s">
        <v>17</v>
      </c>
      <c r="D32" s="177" t="s">
        <v>357</v>
      </c>
      <c r="E32" s="177" t="s">
        <v>357</v>
      </c>
      <c r="F32" s="178" t="s">
        <v>358</v>
      </c>
      <c r="G32" s="178" t="s">
        <v>359</v>
      </c>
      <c r="H32" s="178" t="s">
        <v>360</v>
      </c>
      <c r="I32" s="178"/>
      <c r="J32" s="183"/>
    </row>
    <row r="33" spans="1:10" ht="13" x14ac:dyDescent="0.3">
      <c r="A33" s="174">
        <f>+A26+1</f>
        <v>15</v>
      </c>
      <c r="B33" s="132" t="s">
        <v>6</v>
      </c>
      <c r="C33" s="179">
        <v>2016</v>
      </c>
      <c r="D33" s="182">
        <v>26943987.050000001</v>
      </c>
      <c r="E33" s="182">
        <v>0</v>
      </c>
      <c r="F33" s="182">
        <v>0</v>
      </c>
      <c r="G33" s="182">
        <v>0</v>
      </c>
      <c r="H33" s="191">
        <v>0</v>
      </c>
      <c r="I33" s="192"/>
      <c r="J33" s="183"/>
    </row>
    <row r="34" spans="1:10" ht="13" x14ac:dyDescent="0.3">
      <c r="A34" s="174">
        <f>A33+1</f>
        <v>16</v>
      </c>
      <c r="B34" s="132" t="s">
        <v>7</v>
      </c>
      <c r="C34" s="179">
        <v>2017</v>
      </c>
      <c r="D34" s="182">
        <v>27694026.600000001</v>
      </c>
      <c r="E34" s="182">
        <v>0</v>
      </c>
      <c r="F34" s="182">
        <v>0</v>
      </c>
      <c r="G34" s="182">
        <v>0</v>
      </c>
      <c r="H34" s="191">
        <v>0</v>
      </c>
      <c r="I34" s="192"/>
      <c r="J34" s="183"/>
    </row>
    <row r="35" spans="1:10" ht="13" x14ac:dyDescent="0.3">
      <c r="A35" s="174">
        <f t="shared" ref="A35:A46" si="3">A34+1</f>
        <v>17</v>
      </c>
      <c r="B35" s="132" t="s">
        <v>8</v>
      </c>
      <c r="C35" s="179">
        <v>2017</v>
      </c>
      <c r="D35" s="182">
        <v>28719448.57</v>
      </c>
      <c r="E35" s="182">
        <v>0</v>
      </c>
      <c r="F35" s="182">
        <v>0</v>
      </c>
      <c r="G35" s="182">
        <v>0</v>
      </c>
      <c r="H35" s="191">
        <v>0</v>
      </c>
      <c r="I35" s="192"/>
      <c r="J35" s="183"/>
    </row>
    <row r="36" spans="1:10" ht="13" x14ac:dyDescent="0.3">
      <c r="A36" s="174">
        <f t="shared" si="3"/>
        <v>18</v>
      </c>
      <c r="B36" s="132" t="s">
        <v>18</v>
      </c>
      <c r="C36" s="179">
        <v>2017</v>
      </c>
      <c r="D36" s="182">
        <v>32483201.68</v>
      </c>
      <c r="E36" s="182">
        <v>0</v>
      </c>
      <c r="F36" s="182">
        <v>0</v>
      </c>
      <c r="G36" s="182">
        <v>0</v>
      </c>
      <c r="H36" s="191">
        <v>0</v>
      </c>
      <c r="I36" s="192"/>
      <c r="J36" s="183"/>
    </row>
    <row r="37" spans="1:10" ht="13" x14ac:dyDescent="0.3">
      <c r="A37" s="174">
        <f t="shared" si="3"/>
        <v>19</v>
      </c>
      <c r="B37" s="132" t="s">
        <v>9</v>
      </c>
      <c r="C37" s="179">
        <v>2017</v>
      </c>
      <c r="D37" s="182">
        <v>644652.87</v>
      </c>
      <c r="E37" s="182">
        <v>0</v>
      </c>
      <c r="F37" s="182">
        <v>0</v>
      </c>
      <c r="G37" s="182">
        <v>0</v>
      </c>
      <c r="H37" s="191">
        <v>0</v>
      </c>
      <c r="I37" s="192"/>
      <c r="J37" s="183"/>
    </row>
    <row r="38" spans="1:10" ht="13" x14ac:dyDescent="0.3">
      <c r="A38" s="174">
        <f t="shared" si="3"/>
        <v>20</v>
      </c>
      <c r="B38" s="132" t="s">
        <v>10</v>
      </c>
      <c r="C38" s="179">
        <v>2017</v>
      </c>
      <c r="D38" s="182">
        <v>655186.86</v>
      </c>
      <c r="E38" s="182">
        <v>0</v>
      </c>
      <c r="F38" s="182">
        <v>0</v>
      </c>
      <c r="G38" s="182">
        <v>0</v>
      </c>
      <c r="H38" s="191">
        <v>0</v>
      </c>
      <c r="I38" s="192"/>
      <c r="J38" s="183"/>
    </row>
    <row r="39" spans="1:10" ht="13" x14ac:dyDescent="0.3">
      <c r="A39" s="174">
        <f t="shared" si="3"/>
        <v>21</v>
      </c>
      <c r="B39" s="132" t="s">
        <v>343</v>
      </c>
      <c r="C39" s="179">
        <v>2017</v>
      </c>
      <c r="D39" s="182">
        <v>691459.98</v>
      </c>
      <c r="E39" s="182">
        <v>0</v>
      </c>
      <c r="F39" s="182">
        <v>0</v>
      </c>
      <c r="G39" s="182">
        <v>0</v>
      </c>
      <c r="H39" s="191">
        <v>0</v>
      </c>
      <c r="I39" s="192"/>
      <c r="J39" s="183"/>
    </row>
    <row r="40" spans="1:10" ht="13" x14ac:dyDescent="0.3">
      <c r="A40" s="174">
        <f t="shared" si="3"/>
        <v>22</v>
      </c>
      <c r="B40" s="132" t="s">
        <v>11</v>
      </c>
      <c r="C40" s="179">
        <v>2017</v>
      </c>
      <c r="D40" s="182">
        <v>753989.59</v>
      </c>
      <c r="E40" s="182">
        <v>0</v>
      </c>
      <c r="F40" s="182">
        <v>0</v>
      </c>
      <c r="G40" s="182">
        <v>0</v>
      </c>
      <c r="H40" s="191">
        <v>0</v>
      </c>
      <c r="I40" s="192"/>
      <c r="J40" s="183"/>
    </row>
    <row r="41" spans="1:10" ht="13" x14ac:dyDescent="0.3">
      <c r="A41" s="174">
        <f t="shared" si="3"/>
        <v>23</v>
      </c>
      <c r="B41" s="132" t="s">
        <v>12</v>
      </c>
      <c r="C41" s="179">
        <v>2017</v>
      </c>
      <c r="D41" s="182">
        <v>825496.74</v>
      </c>
      <c r="E41" s="182">
        <v>0</v>
      </c>
      <c r="F41" s="182">
        <v>0</v>
      </c>
      <c r="G41" s="182">
        <v>0</v>
      </c>
      <c r="H41" s="191">
        <v>0</v>
      </c>
      <c r="I41" s="192"/>
      <c r="J41" s="183"/>
    </row>
    <row r="42" spans="1:10" ht="13" x14ac:dyDescent="0.3">
      <c r="A42" s="174">
        <f t="shared" si="3"/>
        <v>24</v>
      </c>
      <c r="B42" s="132" t="s">
        <v>13</v>
      </c>
      <c r="C42" s="179">
        <v>2017</v>
      </c>
      <c r="D42" s="182">
        <v>884599.6</v>
      </c>
      <c r="E42" s="182">
        <v>0</v>
      </c>
      <c r="F42" s="182">
        <v>0</v>
      </c>
      <c r="G42" s="182">
        <v>0</v>
      </c>
      <c r="H42" s="191">
        <v>0</v>
      </c>
      <c r="I42" s="192"/>
      <c r="J42" s="183"/>
    </row>
    <row r="43" spans="1:10" ht="13.5" thickBot="1" x14ac:dyDescent="0.35">
      <c r="A43" s="174">
        <f t="shared" si="3"/>
        <v>25</v>
      </c>
      <c r="B43" s="132" t="s">
        <v>344</v>
      </c>
      <c r="C43" s="179">
        <v>2017</v>
      </c>
      <c r="D43" s="182">
        <v>0</v>
      </c>
      <c r="E43" s="182">
        <v>0</v>
      </c>
      <c r="F43" s="182">
        <v>0</v>
      </c>
      <c r="G43" s="182">
        <v>0</v>
      </c>
      <c r="H43" s="191">
        <v>0</v>
      </c>
      <c r="I43" s="192"/>
      <c r="J43" s="183"/>
    </row>
    <row r="44" spans="1:10" ht="13" x14ac:dyDescent="0.3">
      <c r="A44" s="174">
        <f t="shared" si="3"/>
        <v>26</v>
      </c>
      <c r="B44" s="132" t="s">
        <v>14</v>
      </c>
      <c r="C44" s="179">
        <v>2017</v>
      </c>
      <c r="D44" s="182">
        <v>0</v>
      </c>
      <c r="E44" s="182">
        <v>0</v>
      </c>
      <c r="F44" s="193">
        <f>38103246+197789.198032</f>
        <v>38301035.198031999</v>
      </c>
      <c r="G44" s="182">
        <v>0</v>
      </c>
      <c r="H44" s="191">
        <v>0</v>
      </c>
      <c r="I44" s="192"/>
      <c r="J44" s="183"/>
    </row>
    <row r="45" spans="1:10" ht="13.5" thickBot="1" x14ac:dyDescent="0.35">
      <c r="A45" s="174">
        <f t="shared" si="3"/>
        <v>27</v>
      </c>
      <c r="B45" s="132" t="s">
        <v>6</v>
      </c>
      <c r="C45" s="179">
        <v>2017</v>
      </c>
      <c r="D45" s="186">
        <v>0</v>
      </c>
      <c r="E45" s="186">
        <v>0</v>
      </c>
      <c r="F45" s="194">
        <f>46589551+334124.005676</f>
        <v>46923675.005676001</v>
      </c>
      <c r="G45" s="186">
        <v>0</v>
      </c>
      <c r="H45" s="195">
        <v>0</v>
      </c>
      <c r="I45" s="192"/>
      <c r="J45" s="183"/>
    </row>
    <row r="46" spans="1:10" ht="13" x14ac:dyDescent="0.3">
      <c r="A46" s="174">
        <f t="shared" si="3"/>
        <v>28</v>
      </c>
      <c r="B46" s="132"/>
      <c r="C46" s="187" t="s">
        <v>345</v>
      </c>
      <c r="D46" s="189">
        <f>SUM(D33:D45)/13</f>
        <v>9253542.2723076921</v>
      </c>
      <c r="E46" s="189">
        <f>SUM(E33:E45)/13</f>
        <v>0</v>
      </c>
      <c r="F46" s="188">
        <f>SUM(F33:F45)/13</f>
        <v>6555746.938746769</v>
      </c>
      <c r="G46" s="189">
        <f>SUM(G33:G45)/13</f>
        <v>0</v>
      </c>
      <c r="H46" s="189">
        <f t="shared" ref="H46" si="4">SUM(H33:H45)/13</f>
        <v>0</v>
      </c>
      <c r="I46" s="196" t="s">
        <v>361</v>
      </c>
      <c r="J46" s="183"/>
    </row>
    <row r="48" spans="1:10" ht="13" x14ac:dyDescent="0.3">
      <c r="B48" s="107" t="s">
        <v>362</v>
      </c>
    </row>
    <row r="49" spans="1:13" ht="13" x14ac:dyDescent="0.3">
      <c r="B49" s="107"/>
      <c r="D49" s="177" t="s">
        <v>148</v>
      </c>
      <c r="E49" s="177" t="s">
        <v>149</v>
      </c>
      <c r="F49" s="177" t="s">
        <v>150</v>
      </c>
      <c r="G49" s="177" t="s">
        <v>151</v>
      </c>
      <c r="H49" s="177" t="s">
        <v>329</v>
      </c>
      <c r="I49" s="177" t="s">
        <v>330</v>
      </c>
      <c r="J49" s="177" t="s">
        <v>346</v>
      </c>
      <c r="K49" s="177" t="s">
        <v>347</v>
      </c>
    </row>
    <row r="50" spans="1:13" s="197" customFormat="1" x14ac:dyDescent="0.25">
      <c r="D50" s="172" t="s">
        <v>363</v>
      </c>
      <c r="E50" s="172" t="s">
        <v>363</v>
      </c>
      <c r="F50" s="172" t="s">
        <v>363</v>
      </c>
      <c r="G50" s="172" t="s">
        <v>363</v>
      </c>
      <c r="H50" s="172" t="s">
        <v>363</v>
      </c>
      <c r="I50" s="172" t="s">
        <v>363</v>
      </c>
      <c r="J50" s="172" t="s">
        <v>363</v>
      </c>
      <c r="K50" s="172" t="s">
        <v>363</v>
      </c>
    </row>
    <row r="51" spans="1:13" ht="13" x14ac:dyDescent="0.3">
      <c r="G51" s="174" t="s">
        <v>364</v>
      </c>
      <c r="K51" s="174"/>
    </row>
    <row r="52" spans="1:13" ht="13" x14ac:dyDescent="0.3">
      <c r="A52" s="174"/>
      <c r="B52" s="174"/>
      <c r="C52" s="174"/>
      <c r="D52" s="174" t="s">
        <v>365</v>
      </c>
      <c r="E52" s="174" t="s">
        <v>366</v>
      </c>
      <c r="F52" s="174" t="s">
        <v>367</v>
      </c>
      <c r="G52" s="174" t="s">
        <v>368</v>
      </c>
      <c r="H52" s="174" t="s">
        <v>369</v>
      </c>
      <c r="I52" s="198" t="s">
        <v>370</v>
      </c>
      <c r="J52" s="174" t="s">
        <v>365</v>
      </c>
      <c r="K52" s="174" t="s">
        <v>371</v>
      </c>
    </row>
    <row r="53" spans="1:13" ht="13" x14ac:dyDescent="0.3">
      <c r="A53" s="176" t="s">
        <v>336</v>
      </c>
      <c r="B53" s="134" t="s">
        <v>16</v>
      </c>
      <c r="C53" s="134" t="s">
        <v>17</v>
      </c>
      <c r="D53" s="177" t="s">
        <v>372</v>
      </c>
      <c r="E53" s="177" t="s">
        <v>373</v>
      </c>
      <c r="F53" s="177" t="s">
        <v>374</v>
      </c>
      <c r="G53" s="177" t="s">
        <v>375</v>
      </c>
      <c r="H53" s="177" t="s">
        <v>376</v>
      </c>
      <c r="I53" s="177" t="s">
        <v>377</v>
      </c>
      <c r="J53" s="177" t="s">
        <v>378</v>
      </c>
      <c r="K53" s="177" t="s">
        <v>379</v>
      </c>
    </row>
    <row r="54" spans="1:13" ht="13" x14ac:dyDescent="0.3">
      <c r="A54" s="174">
        <f>A46+1</f>
        <v>29</v>
      </c>
      <c r="B54" s="132" t="s">
        <v>6</v>
      </c>
      <c r="C54" s="179">
        <v>2017</v>
      </c>
      <c r="D54" s="199" t="s">
        <v>361</v>
      </c>
      <c r="E54" s="199" t="s">
        <v>361</v>
      </c>
      <c r="F54" s="199" t="s">
        <v>361</v>
      </c>
      <c r="G54" s="199" t="s">
        <v>361</v>
      </c>
      <c r="H54" s="199" t="s">
        <v>361</v>
      </c>
      <c r="I54" s="199" t="s">
        <v>361</v>
      </c>
      <c r="J54" s="200">
        <f>D25</f>
        <v>150765190.96567601</v>
      </c>
      <c r="K54" s="199" t="s">
        <v>361</v>
      </c>
    </row>
    <row r="55" spans="1:13" ht="13" x14ac:dyDescent="0.3">
      <c r="A55" s="174">
        <f>A54+1</f>
        <v>30</v>
      </c>
      <c r="B55" s="132" t="s">
        <v>7</v>
      </c>
      <c r="C55" s="179">
        <v>2018</v>
      </c>
      <c r="D55" s="180">
        <f>D89+D122+D153+D186+D217+D250+D281+D314+D345+D378</f>
        <v>9351203.5251600072</v>
      </c>
      <c r="E55" s="180">
        <f t="shared" ref="D55:K70" si="5">E89+E122+E153+E186+E217+E250+E281+E314+E345+E378</f>
        <v>701340.26438700035</v>
      </c>
      <c r="F55" s="180">
        <f t="shared" si="5"/>
        <v>10052543.789547008</v>
      </c>
      <c r="G55" s="180">
        <f t="shared" si="5"/>
        <v>5037315.0016000001</v>
      </c>
      <c r="H55" s="180">
        <f t="shared" si="5"/>
        <v>4098416.9471999994</v>
      </c>
      <c r="I55" s="180">
        <f t="shared" si="5"/>
        <v>70417.354080000048</v>
      </c>
      <c r="J55" s="200">
        <f t="shared" si="5"/>
        <v>155710002.39954302</v>
      </c>
      <c r="K55" s="180">
        <f t="shared" si="5"/>
        <v>4944811.433867014</v>
      </c>
      <c r="L55" s="201"/>
      <c r="M55" s="180"/>
    </row>
    <row r="56" spans="1:13" ht="13" x14ac:dyDescent="0.3">
      <c r="A56" s="174">
        <f t="shared" ref="A56:A79" si="6">A55+1</f>
        <v>31</v>
      </c>
      <c r="B56" s="132" t="s">
        <v>8</v>
      </c>
      <c r="C56" s="179">
        <v>2018</v>
      </c>
      <c r="D56" s="180">
        <f t="shared" si="5"/>
        <v>10204201.744830003</v>
      </c>
      <c r="E56" s="180">
        <f t="shared" si="5"/>
        <v>765315.13086225023</v>
      </c>
      <c r="F56" s="180">
        <f t="shared" si="5"/>
        <v>10969516.875692254</v>
      </c>
      <c r="G56" s="180">
        <f t="shared" si="5"/>
        <v>1615948.3799999997</v>
      </c>
      <c r="H56" s="180">
        <f t="shared" si="5"/>
        <v>0</v>
      </c>
      <c r="I56" s="180">
        <f t="shared" si="5"/>
        <v>121196.12849999998</v>
      </c>
      <c r="J56" s="200">
        <f t="shared" si="5"/>
        <v>164942374.76673529</v>
      </c>
      <c r="K56" s="180">
        <f t="shared" si="5"/>
        <v>14177183.801059261</v>
      </c>
      <c r="L56" s="201"/>
      <c r="M56" s="180"/>
    </row>
    <row r="57" spans="1:13" ht="13" x14ac:dyDescent="0.3">
      <c r="A57" s="174">
        <f t="shared" si="6"/>
        <v>32</v>
      </c>
      <c r="B57" s="132" t="s">
        <v>18</v>
      </c>
      <c r="C57" s="179">
        <v>2018</v>
      </c>
      <c r="D57" s="180">
        <f t="shared" si="5"/>
        <v>22153491.458437972</v>
      </c>
      <c r="E57" s="180">
        <f t="shared" si="5"/>
        <v>1661511.8593828478</v>
      </c>
      <c r="F57" s="180">
        <f t="shared" si="5"/>
        <v>23815003.317820817</v>
      </c>
      <c r="G57" s="180">
        <f t="shared" si="5"/>
        <v>1024176.6912</v>
      </c>
      <c r="H57" s="180">
        <f t="shared" si="5"/>
        <v>0</v>
      </c>
      <c r="I57" s="180">
        <f t="shared" si="5"/>
        <v>76813.251840000012</v>
      </c>
      <c r="J57" s="200">
        <f t="shared" si="5"/>
        <v>187656388.14151606</v>
      </c>
      <c r="K57" s="180">
        <f t="shared" si="5"/>
        <v>36891197.17584008</v>
      </c>
      <c r="L57" s="201"/>
      <c r="M57" s="180"/>
    </row>
    <row r="58" spans="1:13" ht="13" x14ac:dyDescent="0.3">
      <c r="A58" s="174">
        <f t="shared" si="6"/>
        <v>33</v>
      </c>
      <c r="B58" s="132" t="s">
        <v>9</v>
      </c>
      <c r="C58" s="179">
        <v>2018</v>
      </c>
      <c r="D58" s="180">
        <f t="shared" si="5"/>
        <v>9357335.1182040256</v>
      </c>
      <c r="E58" s="180">
        <f t="shared" si="5"/>
        <v>701800.13386530185</v>
      </c>
      <c r="F58" s="180">
        <f t="shared" si="5"/>
        <v>10059135.252069328</v>
      </c>
      <c r="G58" s="180">
        <f t="shared" si="5"/>
        <v>116255.00000000001</v>
      </c>
      <c r="H58" s="180">
        <f t="shared" si="5"/>
        <v>0</v>
      </c>
      <c r="I58" s="180">
        <f t="shared" si="5"/>
        <v>8719.125</v>
      </c>
      <c r="J58" s="200">
        <f t="shared" si="5"/>
        <v>197590549.26858541</v>
      </c>
      <c r="K58" s="180">
        <f t="shared" si="5"/>
        <v>46825358.302909419</v>
      </c>
      <c r="L58" s="201"/>
      <c r="M58" s="180"/>
    </row>
    <row r="59" spans="1:13" ht="13" x14ac:dyDescent="0.3">
      <c r="A59" s="174">
        <f t="shared" si="6"/>
        <v>34</v>
      </c>
      <c r="B59" s="132" t="s">
        <v>10</v>
      </c>
      <c r="C59" s="179">
        <v>2018</v>
      </c>
      <c r="D59" s="180">
        <f t="shared" si="5"/>
        <v>14954818.094085429</v>
      </c>
      <c r="E59" s="180">
        <f t="shared" si="5"/>
        <v>1121611.357056407</v>
      </c>
      <c r="F59" s="180">
        <f t="shared" si="5"/>
        <v>16076429.451141836</v>
      </c>
      <c r="G59" s="180">
        <f t="shared" si="5"/>
        <v>786000</v>
      </c>
      <c r="H59" s="180">
        <f t="shared" si="5"/>
        <v>0</v>
      </c>
      <c r="I59" s="180">
        <f t="shared" si="5"/>
        <v>58950</v>
      </c>
      <c r="J59" s="200">
        <f t="shared" si="5"/>
        <v>212822028.71972725</v>
      </c>
      <c r="K59" s="180">
        <f t="shared" si="5"/>
        <v>62056837.754051268</v>
      </c>
      <c r="L59" s="201"/>
      <c r="M59" s="180"/>
    </row>
    <row r="60" spans="1:13" ht="13" x14ac:dyDescent="0.3">
      <c r="A60" s="174">
        <f t="shared" si="6"/>
        <v>35</v>
      </c>
      <c r="B60" s="132" t="s">
        <v>25</v>
      </c>
      <c r="C60" s="179">
        <v>2018</v>
      </c>
      <c r="D60" s="180">
        <f t="shared" si="5"/>
        <v>17718218.694935065</v>
      </c>
      <c r="E60" s="180">
        <f t="shared" si="5"/>
        <v>1328866.4021201301</v>
      </c>
      <c r="F60" s="180">
        <f t="shared" si="5"/>
        <v>19047085.097055193</v>
      </c>
      <c r="G60" s="180">
        <f t="shared" si="5"/>
        <v>3410369.5299999993</v>
      </c>
      <c r="H60" s="180">
        <f t="shared" si="5"/>
        <v>2447557.5500000003</v>
      </c>
      <c r="I60" s="180">
        <f t="shared" si="5"/>
        <v>72210.898499999967</v>
      </c>
      <c r="J60" s="200">
        <f t="shared" si="5"/>
        <v>228386533.38828245</v>
      </c>
      <c r="K60" s="180">
        <f t="shared" si="5"/>
        <v>77621342.422606438</v>
      </c>
      <c r="L60" s="201"/>
      <c r="M60" s="180"/>
    </row>
    <row r="61" spans="1:13" ht="13" x14ac:dyDescent="0.3">
      <c r="A61" s="174">
        <f t="shared" si="6"/>
        <v>36</v>
      </c>
      <c r="B61" s="132" t="s">
        <v>11</v>
      </c>
      <c r="C61" s="179">
        <v>2018</v>
      </c>
      <c r="D61" s="180">
        <f t="shared" si="5"/>
        <v>12070760.36228192</v>
      </c>
      <c r="E61" s="180">
        <f t="shared" si="5"/>
        <v>905307.02717114403</v>
      </c>
      <c r="F61" s="180">
        <f t="shared" si="5"/>
        <v>12976067.389453067</v>
      </c>
      <c r="G61" s="180">
        <f t="shared" si="5"/>
        <v>548326</v>
      </c>
      <c r="H61" s="180">
        <f t="shared" si="5"/>
        <v>0</v>
      </c>
      <c r="I61" s="180">
        <f t="shared" si="5"/>
        <v>41124.449999999997</v>
      </c>
      <c r="J61" s="200">
        <f t="shared" si="5"/>
        <v>240773150.32773551</v>
      </c>
      <c r="K61" s="180">
        <f t="shared" si="5"/>
        <v>90007959.362059504</v>
      </c>
      <c r="L61" s="201"/>
      <c r="M61" s="180"/>
    </row>
    <row r="62" spans="1:13" ht="13" x14ac:dyDescent="0.3">
      <c r="A62" s="174">
        <f t="shared" si="6"/>
        <v>37</v>
      </c>
      <c r="B62" s="132" t="s">
        <v>12</v>
      </c>
      <c r="C62" s="179">
        <v>2018</v>
      </c>
      <c r="D62" s="180">
        <f t="shared" si="5"/>
        <v>16798570.912209753</v>
      </c>
      <c r="E62" s="180">
        <f t="shared" si="5"/>
        <v>1259892.8184157314</v>
      </c>
      <c r="F62" s="180">
        <f t="shared" si="5"/>
        <v>18058463.730625484</v>
      </c>
      <c r="G62" s="180">
        <f t="shared" si="5"/>
        <v>297663</v>
      </c>
      <c r="H62" s="180">
        <f t="shared" si="5"/>
        <v>0</v>
      </c>
      <c r="I62" s="180">
        <f t="shared" si="5"/>
        <v>22324.724999999999</v>
      </c>
      <c r="J62" s="200">
        <f t="shared" si="5"/>
        <v>258511626.333361</v>
      </c>
      <c r="K62" s="180">
        <f t="shared" si="5"/>
        <v>107746435.36768499</v>
      </c>
      <c r="L62" s="201"/>
      <c r="M62" s="180"/>
    </row>
    <row r="63" spans="1:13" ht="13" x14ac:dyDescent="0.3">
      <c r="A63" s="174">
        <f t="shared" si="6"/>
        <v>38</v>
      </c>
      <c r="B63" s="132" t="s">
        <v>13</v>
      </c>
      <c r="C63" s="179">
        <v>2018</v>
      </c>
      <c r="D63" s="180">
        <f t="shared" si="5"/>
        <v>13815046.666871225</v>
      </c>
      <c r="E63" s="180">
        <f t="shared" si="5"/>
        <v>1036128.5000153418</v>
      </c>
      <c r="F63" s="180">
        <f t="shared" si="5"/>
        <v>14851175.166886566</v>
      </c>
      <c r="G63" s="180">
        <f t="shared" si="5"/>
        <v>349971</v>
      </c>
      <c r="H63" s="180">
        <f t="shared" si="5"/>
        <v>0</v>
      </c>
      <c r="I63" s="180">
        <f t="shared" si="5"/>
        <v>26247.825000000001</v>
      </c>
      <c r="J63" s="200">
        <f t="shared" si="5"/>
        <v>272986582.67524761</v>
      </c>
      <c r="K63" s="180">
        <f t="shared" si="5"/>
        <v>122221391.70957156</v>
      </c>
      <c r="L63" s="201"/>
      <c r="M63" s="180"/>
    </row>
    <row r="64" spans="1:13" ht="13" x14ac:dyDescent="0.3">
      <c r="A64" s="174">
        <f t="shared" si="6"/>
        <v>39</v>
      </c>
      <c r="B64" s="132" t="s">
        <v>15</v>
      </c>
      <c r="C64" s="179">
        <v>2018</v>
      </c>
      <c r="D64" s="180">
        <f t="shared" si="5"/>
        <v>24263779.81418046</v>
      </c>
      <c r="E64" s="180">
        <f t="shared" si="5"/>
        <v>1819783.4860635344</v>
      </c>
      <c r="F64" s="180">
        <f t="shared" si="5"/>
        <v>26083563.300243992</v>
      </c>
      <c r="G64" s="180">
        <f t="shared" si="5"/>
        <v>77673</v>
      </c>
      <c r="H64" s="180">
        <f t="shared" si="5"/>
        <v>0</v>
      </c>
      <c r="I64" s="180">
        <f t="shared" si="5"/>
        <v>5825.4749999999995</v>
      </c>
      <c r="J64" s="200">
        <f t="shared" si="5"/>
        <v>298986647.50049156</v>
      </c>
      <c r="K64" s="180">
        <f t="shared" si="5"/>
        <v>148221456.53481558</v>
      </c>
      <c r="L64" s="201"/>
      <c r="M64" s="180"/>
    </row>
    <row r="65" spans="1:13" ht="13" x14ac:dyDescent="0.3">
      <c r="A65" s="174">
        <f t="shared" si="6"/>
        <v>40</v>
      </c>
      <c r="B65" s="132" t="s">
        <v>14</v>
      </c>
      <c r="C65" s="179">
        <v>2018</v>
      </c>
      <c r="D65" s="180">
        <f t="shared" si="5"/>
        <v>22781800.740541551</v>
      </c>
      <c r="E65" s="180">
        <f t="shared" si="5"/>
        <v>1708635.0555406166</v>
      </c>
      <c r="F65" s="180">
        <f t="shared" si="5"/>
        <v>24490435.796082173</v>
      </c>
      <c r="G65" s="180">
        <f t="shared" si="5"/>
        <v>47000</v>
      </c>
      <c r="H65" s="180">
        <f t="shared" si="5"/>
        <v>0</v>
      </c>
      <c r="I65" s="180">
        <f t="shared" si="5"/>
        <v>3525</v>
      </c>
      <c r="J65" s="200">
        <f t="shared" si="5"/>
        <v>323426558.2965737</v>
      </c>
      <c r="K65" s="180">
        <f t="shared" si="5"/>
        <v>172661367.33089772</v>
      </c>
      <c r="L65" s="201"/>
      <c r="M65" s="180"/>
    </row>
    <row r="66" spans="1:13" ht="13" x14ac:dyDescent="0.3">
      <c r="A66" s="174">
        <f t="shared" si="6"/>
        <v>41</v>
      </c>
      <c r="B66" s="132" t="s">
        <v>6</v>
      </c>
      <c r="C66" s="179">
        <v>2018</v>
      </c>
      <c r="D66" s="180">
        <f t="shared" si="5"/>
        <v>27803219.212408446</v>
      </c>
      <c r="E66" s="180">
        <f t="shared" si="5"/>
        <v>2085241.4409306336</v>
      </c>
      <c r="F66" s="180">
        <f t="shared" si="5"/>
        <v>29888460.653339084</v>
      </c>
      <c r="G66" s="180">
        <f t="shared" si="5"/>
        <v>20677884.444288</v>
      </c>
      <c r="H66" s="180">
        <f t="shared" si="5"/>
        <v>8513637.9700000007</v>
      </c>
      <c r="I66" s="180">
        <f t="shared" si="5"/>
        <v>912318.4855715998</v>
      </c>
      <c r="J66" s="200">
        <f t="shared" si="5"/>
        <v>331724816.02005327</v>
      </c>
      <c r="K66" s="180">
        <f t="shared" si="5"/>
        <v>180959625.05437723</v>
      </c>
      <c r="L66" s="201"/>
      <c r="M66" s="180"/>
    </row>
    <row r="67" spans="1:13" ht="13" x14ac:dyDescent="0.3">
      <c r="A67" s="174">
        <f t="shared" si="6"/>
        <v>42</v>
      </c>
      <c r="B67" s="132" t="s">
        <v>7</v>
      </c>
      <c r="C67" s="179">
        <v>2019</v>
      </c>
      <c r="D67" s="180">
        <f t="shared" si="5"/>
        <v>10509600.680446928</v>
      </c>
      <c r="E67" s="180">
        <f t="shared" si="5"/>
        <v>788220.05103351944</v>
      </c>
      <c r="F67" s="180">
        <f t="shared" si="5"/>
        <v>11297820.731480448</v>
      </c>
      <c r="G67" s="180">
        <f t="shared" si="5"/>
        <v>185930</v>
      </c>
      <c r="H67" s="180">
        <f t="shared" si="5"/>
        <v>0</v>
      </c>
      <c r="I67" s="180">
        <f t="shared" si="5"/>
        <v>13944.75</v>
      </c>
      <c r="J67" s="200">
        <f t="shared" si="5"/>
        <v>342822762.00153369</v>
      </c>
      <c r="K67" s="180">
        <f t="shared" si="5"/>
        <v>192057571.03585768</v>
      </c>
      <c r="L67" s="201"/>
      <c r="M67" s="180"/>
    </row>
    <row r="68" spans="1:13" ht="13" x14ac:dyDescent="0.3">
      <c r="A68" s="174">
        <f t="shared" si="6"/>
        <v>43</v>
      </c>
      <c r="B68" s="132" t="s">
        <v>8</v>
      </c>
      <c r="C68" s="179">
        <v>2019</v>
      </c>
      <c r="D68" s="180">
        <f t="shared" si="5"/>
        <v>18429547.798468925</v>
      </c>
      <c r="E68" s="180">
        <f t="shared" si="5"/>
        <v>1382216.0848851695</v>
      </c>
      <c r="F68" s="180">
        <f t="shared" si="5"/>
        <v>19811763.883354098</v>
      </c>
      <c r="G68" s="180">
        <f t="shared" si="5"/>
        <v>204642.63</v>
      </c>
      <c r="H68" s="180">
        <f t="shared" si="5"/>
        <v>0</v>
      </c>
      <c r="I68" s="180">
        <f t="shared" si="5"/>
        <v>15348.197249999999</v>
      </c>
      <c r="J68" s="200">
        <f t="shared" si="5"/>
        <v>362414535.05763781</v>
      </c>
      <c r="K68" s="180">
        <f t="shared" si="5"/>
        <v>211649344.09196177</v>
      </c>
      <c r="L68" s="201"/>
      <c r="M68" s="180"/>
    </row>
    <row r="69" spans="1:13" ht="13" x14ac:dyDescent="0.3">
      <c r="A69" s="174">
        <f t="shared" si="6"/>
        <v>44</v>
      </c>
      <c r="B69" s="132" t="s">
        <v>18</v>
      </c>
      <c r="C69" s="179">
        <v>2019</v>
      </c>
      <c r="D69" s="180">
        <f t="shared" si="5"/>
        <v>20210542.548006929</v>
      </c>
      <c r="E69" s="180">
        <f t="shared" si="5"/>
        <v>1515790.6911005196</v>
      </c>
      <c r="F69" s="180">
        <f t="shared" si="5"/>
        <v>21726333.239107449</v>
      </c>
      <c r="G69" s="180">
        <f t="shared" si="5"/>
        <v>361033.7</v>
      </c>
      <c r="H69" s="180">
        <f t="shared" si="5"/>
        <v>0</v>
      </c>
      <c r="I69" s="180">
        <f t="shared" si="5"/>
        <v>27077.5275</v>
      </c>
      <c r="J69" s="200">
        <f t="shared" si="5"/>
        <v>383752757.06924528</v>
      </c>
      <c r="K69" s="180">
        <f t="shared" si="5"/>
        <v>232987566.10356924</v>
      </c>
      <c r="L69" s="201"/>
      <c r="M69" s="180"/>
    </row>
    <row r="70" spans="1:13" ht="13" x14ac:dyDescent="0.3">
      <c r="A70" s="174">
        <f t="shared" si="6"/>
        <v>45</v>
      </c>
      <c r="B70" s="132" t="s">
        <v>9</v>
      </c>
      <c r="C70" s="179">
        <v>2019</v>
      </c>
      <c r="D70" s="180">
        <f t="shared" si="5"/>
        <v>18395093.093095724</v>
      </c>
      <c r="E70" s="180">
        <f t="shared" si="5"/>
        <v>1379631.9819821792</v>
      </c>
      <c r="F70" s="180">
        <f t="shared" si="5"/>
        <v>19774725.075077903</v>
      </c>
      <c r="G70" s="180">
        <f t="shared" si="5"/>
        <v>373816.33</v>
      </c>
      <c r="H70" s="180">
        <f t="shared" si="5"/>
        <v>0</v>
      </c>
      <c r="I70" s="180">
        <f t="shared" si="5"/>
        <v>28036.224750000001</v>
      </c>
      <c r="J70" s="200">
        <f t="shared" si="5"/>
        <v>403125629.58957309</v>
      </c>
      <c r="K70" s="180">
        <f t="shared" si="5"/>
        <v>252360438.62389714</v>
      </c>
      <c r="L70" s="201"/>
      <c r="M70" s="180"/>
    </row>
    <row r="71" spans="1:13" ht="13" x14ac:dyDescent="0.3">
      <c r="A71" s="174">
        <f t="shared" si="6"/>
        <v>46</v>
      </c>
      <c r="B71" s="132" t="s">
        <v>10</v>
      </c>
      <c r="C71" s="179">
        <v>2019</v>
      </c>
      <c r="D71" s="180">
        <f t="shared" ref="D71:K78" si="7">D105+D138+D169+D202+D233+D266+D297+D330+D361+D394</f>
        <v>19070891.887879726</v>
      </c>
      <c r="E71" s="180">
        <f t="shared" si="7"/>
        <v>1430316.8915909794</v>
      </c>
      <c r="F71" s="180">
        <f t="shared" si="7"/>
        <v>20501208.779470704</v>
      </c>
      <c r="G71" s="180">
        <f t="shared" si="7"/>
        <v>400430.52</v>
      </c>
      <c r="H71" s="180">
        <f t="shared" si="7"/>
        <v>0</v>
      </c>
      <c r="I71" s="180">
        <f t="shared" si="7"/>
        <v>30032.289000000001</v>
      </c>
      <c r="J71" s="200">
        <f t="shared" si="7"/>
        <v>423196375.56004381</v>
      </c>
      <c r="K71" s="180">
        <f t="shared" si="7"/>
        <v>272431184.5943678</v>
      </c>
      <c r="L71" s="201"/>
      <c r="M71" s="180"/>
    </row>
    <row r="72" spans="1:13" ht="13" x14ac:dyDescent="0.3">
      <c r="A72" s="174">
        <f t="shared" si="6"/>
        <v>47</v>
      </c>
      <c r="B72" s="132" t="s">
        <v>25</v>
      </c>
      <c r="C72" s="179">
        <v>2019</v>
      </c>
      <c r="D72" s="180">
        <f t="shared" si="7"/>
        <v>34328458.891959727</v>
      </c>
      <c r="E72" s="180">
        <f t="shared" si="7"/>
        <v>2574634.4168969793</v>
      </c>
      <c r="F72" s="180">
        <f t="shared" si="7"/>
        <v>36903093.308856703</v>
      </c>
      <c r="G72" s="180">
        <f t="shared" si="7"/>
        <v>413213.15</v>
      </c>
      <c r="H72" s="180">
        <f t="shared" si="7"/>
        <v>0</v>
      </c>
      <c r="I72" s="180">
        <f t="shared" si="7"/>
        <v>30990.986250000002</v>
      </c>
      <c r="J72" s="200">
        <f t="shared" si="7"/>
        <v>459655264.73265052</v>
      </c>
      <c r="K72" s="180">
        <f t="shared" si="7"/>
        <v>308890073.76697457</v>
      </c>
      <c r="L72" s="201"/>
      <c r="M72" s="180"/>
    </row>
    <row r="73" spans="1:13" ht="13" x14ac:dyDescent="0.3">
      <c r="A73" s="174">
        <f t="shared" si="6"/>
        <v>48</v>
      </c>
      <c r="B73" s="132" t="s">
        <v>11</v>
      </c>
      <c r="C73" s="179">
        <v>2019</v>
      </c>
      <c r="D73" s="180">
        <f t="shared" si="7"/>
        <v>21416332.885885727</v>
      </c>
      <c r="E73" s="180">
        <f t="shared" si="7"/>
        <v>1606224.9664414295</v>
      </c>
      <c r="F73" s="180">
        <f t="shared" si="7"/>
        <v>23022557.852327153</v>
      </c>
      <c r="G73" s="180">
        <f t="shared" si="7"/>
        <v>432386.85</v>
      </c>
      <c r="H73" s="180">
        <f t="shared" si="7"/>
        <v>0</v>
      </c>
      <c r="I73" s="180">
        <f t="shared" si="7"/>
        <v>32429.013749999998</v>
      </c>
      <c r="J73" s="200">
        <f t="shared" si="7"/>
        <v>482213006.72122765</v>
      </c>
      <c r="K73" s="180">
        <f t="shared" si="7"/>
        <v>331447815.7555517</v>
      </c>
      <c r="L73" s="201"/>
      <c r="M73" s="180"/>
    </row>
    <row r="74" spans="1:13" ht="13" x14ac:dyDescent="0.3">
      <c r="A74" s="174">
        <f t="shared" si="6"/>
        <v>49</v>
      </c>
      <c r="B74" s="132" t="s">
        <v>12</v>
      </c>
      <c r="C74" s="179">
        <v>2019</v>
      </c>
      <c r="D74" s="180">
        <f t="shared" si="7"/>
        <v>22238369.516114414</v>
      </c>
      <c r="E74" s="180">
        <f t="shared" si="7"/>
        <v>1667877.7137085809</v>
      </c>
      <c r="F74" s="180">
        <f t="shared" si="7"/>
        <v>23906247.229822993</v>
      </c>
      <c r="G74" s="180">
        <f t="shared" si="7"/>
        <v>14427934.35</v>
      </c>
      <c r="H74" s="180">
        <f t="shared" si="7"/>
        <v>8470082.9399999995</v>
      </c>
      <c r="I74" s="180">
        <f t="shared" si="7"/>
        <v>446838.85574999999</v>
      </c>
      <c r="J74" s="200">
        <f t="shared" si="7"/>
        <v>491244480.74530065</v>
      </c>
      <c r="K74" s="180">
        <f t="shared" si="7"/>
        <v>340479289.7796247</v>
      </c>
      <c r="L74" s="201"/>
      <c r="M74" s="180"/>
    </row>
    <row r="75" spans="1:13" ht="13" x14ac:dyDescent="0.3">
      <c r="A75" s="174">
        <f t="shared" si="6"/>
        <v>50</v>
      </c>
      <c r="B75" s="132" t="s">
        <v>13</v>
      </c>
      <c r="C75" s="179">
        <v>2019</v>
      </c>
      <c r="D75" s="180">
        <f t="shared" si="7"/>
        <v>24775208.928607386</v>
      </c>
      <c r="E75" s="180">
        <f t="shared" si="7"/>
        <v>1858140.6696455539</v>
      </c>
      <c r="F75" s="180">
        <f t="shared" si="7"/>
        <v>26633349.598252941</v>
      </c>
      <c r="G75" s="180">
        <f t="shared" si="7"/>
        <v>453078.41000000003</v>
      </c>
      <c r="H75" s="180">
        <f t="shared" si="7"/>
        <v>0</v>
      </c>
      <c r="I75" s="180">
        <f t="shared" si="7"/>
        <v>33980.880749999997</v>
      </c>
      <c r="J75" s="200">
        <f t="shared" si="7"/>
        <v>517390771.05280358</v>
      </c>
      <c r="K75" s="202">
        <f t="shared" si="7"/>
        <v>366625580.08712757</v>
      </c>
      <c r="L75" s="201"/>
      <c r="M75" s="180"/>
    </row>
    <row r="76" spans="1:13" ht="13" x14ac:dyDescent="0.3">
      <c r="A76" s="174">
        <f t="shared" si="6"/>
        <v>51</v>
      </c>
      <c r="B76" s="132" t="s">
        <v>15</v>
      </c>
      <c r="C76" s="179">
        <v>2019</v>
      </c>
      <c r="D76" s="180">
        <f>D110+D143+D174+D207+D238+D271+D302+D335+D366</f>
        <v>23310192.734987721</v>
      </c>
      <c r="E76" s="180">
        <f>E110+E143+E174+E207+E238+E271+E302+E335+E366+E399</f>
        <v>2891631.9551240792</v>
      </c>
      <c r="F76" s="180">
        <f t="shared" si="7"/>
        <v>41446724.690111801</v>
      </c>
      <c r="G76" s="180">
        <f t="shared" si="7"/>
        <v>19987218.269999996</v>
      </c>
      <c r="H76" s="180">
        <f t="shared" si="7"/>
        <v>9341863.8599999994</v>
      </c>
      <c r="I76" s="180">
        <f t="shared" si="7"/>
        <v>798401.58074999985</v>
      </c>
      <c r="J76" s="200">
        <f t="shared" si="7"/>
        <v>538051875.89216554</v>
      </c>
      <c r="K76" s="202">
        <f t="shared" si="7"/>
        <v>387286684.92648947</v>
      </c>
      <c r="L76" s="201"/>
      <c r="M76" s="180"/>
    </row>
    <row r="77" spans="1:13" ht="13" x14ac:dyDescent="0.3">
      <c r="A77" s="174">
        <f t="shared" si="6"/>
        <v>52</v>
      </c>
      <c r="B77" s="132" t="s">
        <v>14</v>
      </c>
      <c r="C77" s="179">
        <v>2019</v>
      </c>
      <c r="D77" s="180">
        <f>D111+D144+D175+D208+D239+D272+D303+D336+D367</f>
        <v>28594395.182708353</v>
      </c>
      <c r="E77" s="180">
        <f>E111+E144+E175+E208+E239+E272+E303+E336+E367+E400</f>
        <v>2488228.9637031266</v>
      </c>
      <c r="F77" s="180">
        <f t="shared" si="7"/>
        <v>35664615.146411479</v>
      </c>
      <c r="G77" s="180">
        <f t="shared" si="7"/>
        <v>16531554.139999997</v>
      </c>
      <c r="H77" s="180">
        <f t="shared" si="7"/>
        <v>6140181.3599999994</v>
      </c>
      <c r="I77" s="180">
        <f t="shared" si="7"/>
        <v>779352.95849999983</v>
      </c>
      <c r="J77" s="200">
        <f t="shared" si="7"/>
        <v>556405583.94007695</v>
      </c>
      <c r="K77" s="202">
        <f t="shared" si="7"/>
        <v>405640392.97440094</v>
      </c>
      <c r="L77" s="201"/>
      <c r="M77" s="180"/>
    </row>
    <row r="78" spans="1:13" ht="13" x14ac:dyDescent="0.3">
      <c r="A78" s="174">
        <f t="shared" si="6"/>
        <v>53</v>
      </c>
      <c r="B78" s="132" t="s">
        <v>6</v>
      </c>
      <c r="C78" s="179">
        <v>2019</v>
      </c>
      <c r="D78" s="180">
        <f>D112+D145+D176+D209+D240+D273+D304+D337+D368+D401</f>
        <v>33982790.172716424</v>
      </c>
      <c r="E78" s="180">
        <f>E112+E145+E176+E209+E240+E273+E304+E337+E368+E401</f>
        <v>2548709.2629537322</v>
      </c>
      <c r="F78" s="180">
        <f t="shared" si="7"/>
        <v>36531499.43567016</v>
      </c>
      <c r="G78" s="180">
        <f t="shared" si="7"/>
        <v>5786284.5911999997</v>
      </c>
      <c r="H78" s="180">
        <f t="shared" si="7"/>
        <v>2531642.4799999995</v>
      </c>
      <c r="I78" s="180">
        <f t="shared" si="7"/>
        <v>244098.15833999997</v>
      </c>
      <c r="J78" s="200">
        <f t="shared" si="7"/>
        <v>586906700.62620711</v>
      </c>
      <c r="K78" s="184">
        <f>K112+K145+K176+K209+K240+K273+K304+K337+K368+K401</f>
        <v>436141509.6605311</v>
      </c>
      <c r="L78" s="203"/>
      <c r="M78" s="180"/>
    </row>
    <row r="79" spans="1:13" ht="13" x14ac:dyDescent="0.3">
      <c r="A79" s="174">
        <f t="shared" si="6"/>
        <v>54</v>
      </c>
      <c r="C79" s="204" t="s">
        <v>380</v>
      </c>
      <c r="K79" s="205">
        <f>AVERAGE(K66:K78)</f>
        <v>301458236.65036392</v>
      </c>
      <c r="L79" s="206"/>
    </row>
    <row r="81" spans="1:11" ht="13" x14ac:dyDescent="0.3">
      <c r="B81" s="107" t="s">
        <v>381</v>
      </c>
    </row>
    <row r="82" spans="1:11" ht="13" x14ac:dyDescent="0.3">
      <c r="B82" s="207" t="s">
        <v>382</v>
      </c>
      <c r="D82" s="280" t="s">
        <v>338</v>
      </c>
      <c r="E82" s="280"/>
    </row>
    <row r="83" spans="1:11" s="177" customFormat="1" ht="13" x14ac:dyDescent="0.3">
      <c r="D83" s="177" t="s">
        <v>148</v>
      </c>
      <c r="E83" s="177" t="s">
        <v>149</v>
      </c>
      <c r="F83" s="177" t="s">
        <v>150</v>
      </c>
      <c r="G83" s="177" t="s">
        <v>151</v>
      </c>
      <c r="H83" s="177" t="s">
        <v>329</v>
      </c>
      <c r="I83" s="177" t="s">
        <v>330</v>
      </c>
      <c r="J83" s="177" t="s">
        <v>346</v>
      </c>
      <c r="K83" s="177" t="s">
        <v>347</v>
      </c>
    </row>
    <row r="84" spans="1:11" ht="25.9" customHeight="1" x14ac:dyDescent="0.3">
      <c r="D84" s="171"/>
      <c r="E84" s="208" t="s">
        <v>383</v>
      </c>
      <c r="F84" s="199" t="s">
        <v>384</v>
      </c>
      <c r="G84" s="199"/>
      <c r="H84" s="171"/>
      <c r="I84" s="208" t="s">
        <v>385</v>
      </c>
      <c r="J84" s="208" t="s">
        <v>386</v>
      </c>
      <c r="K84" s="208" t="s">
        <v>387</v>
      </c>
    </row>
    <row r="85" spans="1:11" ht="13" x14ac:dyDescent="0.3">
      <c r="D85" s="171"/>
      <c r="E85" s="209"/>
      <c r="F85" s="209"/>
      <c r="G85" s="174" t="str">
        <f>G51</f>
        <v>Unloaded</v>
      </c>
      <c r="H85" s="171"/>
      <c r="I85" s="209"/>
      <c r="J85" s="209"/>
      <c r="K85" s="174"/>
    </row>
    <row r="86" spans="1:11" s="174" customFormat="1" ht="13" x14ac:dyDescent="0.3">
      <c r="D86" s="174" t="str">
        <f>D$52</f>
        <v>Forecast</v>
      </c>
      <c r="E86" s="174" t="str">
        <f t="shared" ref="E86:J86" si="8">E$52</f>
        <v>Corporate</v>
      </c>
      <c r="F86" s="174" t="str">
        <f t="shared" si="8"/>
        <v xml:space="preserve">Total </v>
      </c>
      <c r="G86" s="174" t="str">
        <f>G52</f>
        <v>Total</v>
      </c>
      <c r="H86" s="174" t="str">
        <f t="shared" si="8"/>
        <v>Prior Period</v>
      </c>
      <c r="I86" s="174" t="str">
        <f t="shared" si="8"/>
        <v>Over Heads</v>
      </c>
      <c r="J86" s="174" t="str">
        <f t="shared" si="8"/>
        <v>Forecast</v>
      </c>
      <c r="K86" s="174" t="str">
        <f>K$52</f>
        <v>Forecast Period</v>
      </c>
    </row>
    <row r="87" spans="1:11" ht="13" x14ac:dyDescent="0.3">
      <c r="A87" s="176" t="s">
        <v>336</v>
      </c>
      <c r="B87" s="134" t="s">
        <v>16</v>
      </c>
      <c r="C87" s="134" t="s">
        <v>17</v>
      </c>
      <c r="D87" s="177" t="str">
        <f>D$53</f>
        <v>Expenditures</v>
      </c>
      <c r="E87" s="177" t="str">
        <f t="shared" ref="E87:J87" si="9">E$53</f>
        <v>Overheads</v>
      </c>
      <c r="F87" s="177" t="str">
        <f t="shared" si="9"/>
        <v>CWIP Exp</v>
      </c>
      <c r="G87" s="177" t="str">
        <f>G53</f>
        <v>Plant Adds</v>
      </c>
      <c r="H87" s="177" t="str">
        <f t="shared" si="9"/>
        <v>CWIP Closed</v>
      </c>
      <c r="I87" s="177" t="str">
        <f t="shared" si="9"/>
        <v>Closed to PIS</v>
      </c>
      <c r="J87" s="177" t="str">
        <f t="shared" si="9"/>
        <v>Period CWIP</v>
      </c>
      <c r="K87" s="177" t="str">
        <f>K$53</f>
        <v>Incremental CWIP</v>
      </c>
    </row>
    <row r="88" spans="1:11" ht="13" x14ac:dyDescent="0.3">
      <c r="A88" s="174">
        <f>A79+1</f>
        <v>55</v>
      </c>
      <c r="B88" s="132" t="s">
        <v>6</v>
      </c>
      <c r="C88" s="179">
        <v>2017</v>
      </c>
      <c r="D88" s="199" t="s">
        <v>361</v>
      </c>
      <c r="E88" s="199" t="s">
        <v>361</v>
      </c>
      <c r="F88" s="199" t="s">
        <v>361</v>
      </c>
      <c r="G88" s="199" t="s">
        <v>361</v>
      </c>
      <c r="H88" s="199" t="s">
        <v>361</v>
      </c>
      <c r="I88" s="199" t="s">
        <v>361</v>
      </c>
      <c r="J88" s="180">
        <f>E25</f>
        <v>150976.49</v>
      </c>
      <c r="K88" s="199" t="s">
        <v>361</v>
      </c>
    </row>
    <row r="89" spans="1:11" ht="13" x14ac:dyDescent="0.3">
      <c r="A89" s="174">
        <f>A88+1</f>
        <v>56</v>
      </c>
      <c r="B89" s="132" t="s">
        <v>7</v>
      </c>
      <c r="C89" s="179">
        <v>2018</v>
      </c>
      <c r="D89" s="182">
        <v>426481</v>
      </c>
      <c r="E89" s="180">
        <v>31986.074999999997</v>
      </c>
      <c r="F89" s="180">
        <f>E89+D89</f>
        <v>458467.07500000001</v>
      </c>
      <c r="G89" s="182">
        <v>191116.00000000003</v>
      </c>
      <c r="H89" s="182">
        <v>0</v>
      </c>
      <c r="I89" s="180">
        <v>14333.700000000003</v>
      </c>
      <c r="J89" s="180">
        <f>J88+F89-G89-I89</f>
        <v>403993.86499999993</v>
      </c>
      <c r="K89" s="180">
        <f>J89-$J$88</f>
        <v>253017.37499999994</v>
      </c>
    </row>
    <row r="90" spans="1:11" ht="13" x14ac:dyDescent="0.3">
      <c r="A90" s="174">
        <f t="shared" ref="A90:A108" si="10">A89+1</f>
        <v>57</v>
      </c>
      <c r="B90" s="132" t="s">
        <v>8</v>
      </c>
      <c r="C90" s="179">
        <v>2018</v>
      </c>
      <c r="D90" s="182">
        <v>659259</v>
      </c>
      <c r="E90" s="180">
        <v>49444.424999999996</v>
      </c>
      <c r="F90" s="180">
        <f t="shared" ref="F90:F112" si="11">E90+D90</f>
        <v>708703.42500000005</v>
      </c>
      <c r="G90" s="182">
        <v>891972</v>
      </c>
      <c r="H90" s="182">
        <v>0</v>
      </c>
      <c r="I90" s="180">
        <v>66897.899999999994</v>
      </c>
      <c r="J90" s="180">
        <f t="shared" ref="J90:J108" si="12">J89+F90-G90-I90</f>
        <v>153827.39000000004</v>
      </c>
      <c r="K90" s="180">
        <f t="shared" ref="K90:K112" si="13">J90-$J$88</f>
        <v>2850.9000000000524</v>
      </c>
    </row>
    <row r="91" spans="1:11" ht="13" x14ac:dyDescent="0.3">
      <c r="A91" s="174">
        <f t="shared" si="10"/>
        <v>58</v>
      </c>
      <c r="B91" s="132" t="s">
        <v>18</v>
      </c>
      <c r="C91" s="179">
        <v>2018</v>
      </c>
      <c r="D91" s="182">
        <v>589704.00000000012</v>
      </c>
      <c r="E91" s="180">
        <v>44227.80000000001</v>
      </c>
      <c r="F91" s="180">
        <f t="shared" si="11"/>
        <v>633931.80000000016</v>
      </c>
      <c r="G91" s="182">
        <v>588345.00000000012</v>
      </c>
      <c r="H91" s="182">
        <v>0</v>
      </c>
      <c r="I91" s="180">
        <v>44125.875000000007</v>
      </c>
      <c r="J91" s="180">
        <f t="shared" si="12"/>
        <v>155288.31500000006</v>
      </c>
      <c r="K91" s="180">
        <f t="shared" si="13"/>
        <v>4311.8250000000698</v>
      </c>
    </row>
    <row r="92" spans="1:11" ht="13" x14ac:dyDescent="0.3">
      <c r="A92" s="174">
        <f t="shared" si="10"/>
        <v>59</v>
      </c>
      <c r="B92" s="132" t="s">
        <v>9</v>
      </c>
      <c r="C92" s="179">
        <v>2018</v>
      </c>
      <c r="D92" s="182">
        <v>82255.000000000015</v>
      </c>
      <c r="E92" s="180">
        <v>6169.1250000000009</v>
      </c>
      <c r="F92" s="180">
        <f t="shared" si="11"/>
        <v>88424.125000000015</v>
      </c>
      <c r="G92" s="182">
        <v>80255.000000000015</v>
      </c>
      <c r="H92" s="182">
        <v>0</v>
      </c>
      <c r="I92" s="180">
        <v>6019.1250000000009</v>
      </c>
      <c r="J92" s="180">
        <f t="shared" si="12"/>
        <v>157438.31500000006</v>
      </c>
      <c r="K92" s="180">
        <f t="shared" si="13"/>
        <v>6461.8250000000698</v>
      </c>
    </row>
    <row r="93" spans="1:11" ht="13" x14ac:dyDescent="0.3">
      <c r="A93" s="174">
        <f t="shared" si="10"/>
        <v>60</v>
      </c>
      <c r="B93" s="132" t="s">
        <v>10</v>
      </c>
      <c r="C93" s="179">
        <v>2018</v>
      </c>
      <c r="D93" s="182">
        <v>788000</v>
      </c>
      <c r="E93" s="180">
        <v>59100</v>
      </c>
      <c r="F93" s="180">
        <f t="shared" si="11"/>
        <v>847100</v>
      </c>
      <c r="G93" s="182">
        <v>786000</v>
      </c>
      <c r="H93" s="182">
        <v>0</v>
      </c>
      <c r="I93" s="180">
        <v>58950</v>
      </c>
      <c r="J93" s="180">
        <f t="shared" si="12"/>
        <v>159588.31500000006</v>
      </c>
      <c r="K93" s="180">
        <f t="shared" si="13"/>
        <v>8611.8250000000698</v>
      </c>
    </row>
    <row r="94" spans="1:11" ht="13" x14ac:dyDescent="0.3">
      <c r="A94" s="174">
        <f t="shared" si="10"/>
        <v>61</v>
      </c>
      <c r="B94" s="132" t="s">
        <v>25</v>
      </c>
      <c r="C94" s="179">
        <v>2018</v>
      </c>
      <c r="D94" s="182">
        <v>703326</v>
      </c>
      <c r="E94" s="180">
        <v>52749.45</v>
      </c>
      <c r="F94" s="180">
        <f t="shared" si="11"/>
        <v>756075.45</v>
      </c>
      <c r="G94" s="182">
        <v>862313.49</v>
      </c>
      <c r="H94" s="182">
        <v>150976.49</v>
      </c>
      <c r="I94" s="180">
        <v>53350.275000000001</v>
      </c>
      <c r="J94" s="180">
        <f t="shared" si="12"/>
        <v>0</v>
      </c>
      <c r="K94" s="180">
        <f t="shared" si="13"/>
        <v>-150976.49</v>
      </c>
    </row>
    <row r="95" spans="1:11" ht="13" x14ac:dyDescent="0.3">
      <c r="A95" s="174">
        <f t="shared" si="10"/>
        <v>62</v>
      </c>
      <c r="B95" s="132" t="s">
        <v>11</v>
      </c>
      <c r="C95" s="179">
        <v>2018</v>
      </c>
      <c r="D95" s="182">
        <v>503326</v>
      </c>
      <c r="E95" s="180">
        <v>37749.449999999997</v>
      </c>
      <c r="F95" s="180">
        <f t="shared" si="11"/>
        <v>541075.44999999995</v>
      </c>
      <c r="G95" s="182">
        <v>503326</v>
      </c>
      <c r="H95" s="182">
        <v>0</v>
      </c>
      <c r="I95" s="180">
        <v>37749.449999999997</v>
      </c>
      <c r="J95" s="180">
        <f t="shared" si="12"/>
        <v>0</v>
      </c>
      <c r="K95" s="180">
        <f t="shared" si="13"/>
        <v>-150976.49</v>
      </c>
    </row>
    <row r="96" spans="1:11" ht="13" x14ac:dyDescent="0.3">
      <c r="A96" s="174">
        <f t="shared" si="10"/>
        <v>63</v>
      </c>
      <c r="B96" s="132" t="s">
        <v>12</v>
      </c>
      <c r="C96" s="179">
        <v>2018</v>
      </c>
      <c r="D96" s="182">
        <v>252663</v>
      </c>
      <c r="E96" s="180">
        <v>18949.724999999999</v>
      </c>
      <c r="F96" s="180">
        <f t="shared" si="11"/>
        <v>271612.72499999998</v>
      </c>
      <c r="G96" s="182">
        <v>252663</v>
      </c>
      <c r="H96" s="182">
        <v>0</v>
      </c>
      <c r="I96" s="180">
        <v>18949.724999999999</v>
      </c>
      <c r="J96" s="180">
        <f t="shared" si="12"/>
        <v>0</v>
      </c>
      <c r="K96" s="180">
        <f t="shared" si="13"/>
        <v>-150976.49</v>
      </c>
    </row>
    <row r="97" spans="1:11" ht="13" x14ac:dyDescent="0.3">
      <c r="A97" s="174">
        <f t="shared" si="10"/>
        <v>64</v>
      </c>
      <c r="B97" s="132" t="s">
        <v>13</v>
      </c>
      <c r="C97" s="179">
        <v>2018</v>
      </c>
      <c r="D97" s="182">
        <v>304971</v>
      </c>
      <c r="E97" s="180">
        <v>22872.825000000001</v>
      </c>
      <c r="F97" s="180">
        <f t="shared" si="11"/>
        <v>327843.82500000001</v>
      </c>
      <c r="G97" s="182">
        <v>304971</v>
      </c>
      <c r="H97" s="182">
        <v>0</v>
      </c>
      <c r="I97" s="180">
        <v>22872.825000000001</v>
      </c>
      <c r="J97" s="180">
        <f t="shared" si="12"/>
        <v>0</v>
      </c>
      <c r="K97" s="180">
        <f t="shared" si="13"/>
        <v>-150976.49</v>
      </c>
    </row>
    <row r="98" spans="1:11" ht="13" x14ac:dyDescent="0.3">
      <c r="A98" s="174">
        <f t="shared" si="10"/>
        <v>65</v>
      </c>
      <c r="B98" s="132" t="s">
        <v>15</v>
      </c>
      <c r="C98" s="179">
        <v>2018</v>
      </c>
      <c r="D98" s="182">
        <v>2000</v>
      </c>
      <c r="E98" s="180">
        <v>150</v>
      </c>
      <c r="F98" s="180">
        <f t="shared" si="11"/>
        <v>2150</v>
      </c>
      <c r="G98" s="182">
        <v>2000</v>
      </c>
      <c r="H98" s="182">
        <v>0</v>
      </c>
      <c r="I98" s="180">
        <v>150</v>
      </c>
      <c r="J98" s="180">
        <f t="shared" si="12"/>
        <v>0</v>
      </c>
      <c r="K98" s="180">
        <f t="shared" si="13"/>
        <v>-150976.49</v>
      </c>
    </row>
    <row r="99" spans="1:11" ht="13" x14ac:dyDescent="0.3">
      <c r="A99" s="174">
        <f t="shared" si="10"/>
        <v>66</v>
      </c>
      <c r="B99" s="132" t="s">
        <v>14</v>
      </c>
      <c r="C99" s="179">
        <v>2018</v>
      </c>
      <c r="D99" s="182">
        <v>2000</v>
      </c>
      <c r="E99" s="180">
        <v>150</v>
      </c>
      <c r="F99" s="180">
        <f t="shared" si="11"/>
        <v>2150</v>
      </c>
      <c r="G99" s="182">
        <v>2000</v>
      </c>
      <c r="H99" s="182">
        <v>0</v>
      </c>
      <c r="I99" s="180">
        <v>150</v>
      </c>
      <c r="J99" s="180">
        <f t="shared" si="12"/>
        <v>0</v>
      </c>
      <c r="K99" s="180">
        <f t="shared" si="13"/>
        <v>-150976.49</v>
      </c>
    </row>
    <row r="100" spans="1:11" ht="13" x14ac:dyDescent="0.3">
      <c r="A100" s="174">
        <f t="shared" si="10"/>
        <v>67</v>
      </c>
      <c r="B100" s="132" t="s">
        <v>6</v>
      </c>
      <c r="C100" s="179">
        <v>2018</v>
      </c>
      <c r="D100" s="182">
        <v>2161291</v>
      </c>
      <c r="E100" s="180">
        <v>162096.82499999998</v>
      </c>
      <c r="F100" s="180">
        <f t="shared" si="11"/>
        <v>2323387.8250000002</v>
      </c>
      <c r="G100" s="182">
        <v>2161291</v>
      </c>
      <c r="H100" s="182">
        <v>0</v>
      </c>
      <c r="I100" s="180">
        <v>162096.82499999998</v>
      </c>
      <c r="J100" s="180">
        <f t="shared" si="12"/>
        <v>0</v>
      </c>
      <c r="K100" s="180">
        <f t="shared" si="13"/>
        <v>-150976.49</v>
      </c>
    </row>
    <row r="101" spans="1:11" ht="13" x14ac:dyDescent="0.3">
      <c r="A101" s="174">
        <f t="shared" si="10"/>
        <v>68</v>
      </c>
      <c r="B101" s="132" t="s">
        <v>7</v>
      </c>
      <c r="C101" s="179">
        <v>2019</v>
      </c>
      <c r="D101" s="182">
        <v>0</v>
      </c>
      <c r="E101" s="180">
        <v>0</v>
      </c>
      <c r="F101" s="180">
        <f t="shared" si="11"/>
        <v>0</v>
      </c>
      <c r="G101" s="182">
        <v>0</v>
      </c>
      <c r="H101" s="182">
        <v>0</v>
      </c>
      <c r="I101" s="180">
        <v>0</v>
      </c>
      <c r="J101" s="180">
        <f t="shared" si="12"/>
        <v>0</v>
      </c>
      <c r="K101" s="180">
        <f t="shared" si="13"/>
        <v>-150976.49</v>
      </c>
    </row>
    <row r="102" spans="1:11" ht="13" x14ac:dyDescent="0.3">
      <c r="A102" s="174">
        <f t="shared" si="10"/>
        <v>69</v>
      </c>
      <c r="B102" s="132" t="s">
        <v>8</v>
      </c>
      <c r="C102" s="179">
        <v>2019</v>
      </c>
      <c r="D102" s="182">
        <v>0</v>
      </c>
      <c r="E102" s="180">
        <v>0</v>
      </c>
      <c r="F102" s="180">
        <f t="shared" si="11"/>
        <v>0</v>
      </c>
      <c r="G102" s="182">
        <v>0</v>
      </c>
      <c r="H102" s="182">
        <v>0</v>
      </c>
      <c r="I102" s="180">
        <v>0</v>
      </c>
      <c r="J102" s="180">
        <f t="shared" si="12"/>
        <v>0</v>
      </c>
      <c r="K102" s="180">
        <f t="shared" si="13"/>
        <v>-150976.49</v>
      </c>
    </row>
    <row r="103" spans="1:11" ht="13" x14ac:dyDescent="0.3">
      <c r="A103" s="174">
        <f t="shared" si="10"/>
        <v>70</v>
      </c>
      <c r="B103" s="132" t="s">
        <v>18</v>
      </c>
      <c r="C103" s="179">
        <v>2019</v>
      </c>
      <c r="D103" s="182">
        <v>0</v>
      </c>
      <c r="E103" s="180">
        <v>0</v>
      </c>
      <c r="F103" s="180">
        <f t="shared" si="11"/>
        <v>0</v>
      </c>
      <c r="G103" s="182">
        <v>0</v>
      </c>
      <c r="H103" s="182">
        <v>0</v>
      </c>
      <c r="I103" s="180">
        <v>0</v>
      </c>
      <c r="J103" s="180">
        <f t="shared" si="12"/>
        <v>0</v>
      </c>
      <c r="K103" s="180">
        <f t="shared" si="13"/>
        <v>-150976.49</v>
      </c>
    </row>
    <row r="104" spans="1:11" ht="13" x14ac:dyDescent="0.3">
      <c r="A104" s="174">
        <f t="shared" si="10"/>
        <v>71</v>
      </c>
      <c r="B104" s="132" t="s">
        <v>9</v>
      </c>
      <c r="C104" s="179">
        <v>2019</v>
      </c>
      <c r="D104" s="182">
        <v>0</v>
      </c>
      <c r="E104" s="180">
        <v>0</v>
      </c>
      <c r="F104" s="180">
        <f t="shared" si="11"/>
        <v>0</v>
      </c>
      <c r="G104" s="182">
        <v>0</v>
      </c>
      <c r="H104" s="182">
        <v>0</v>
      </c>
      <c r="I104" s="180">
        <v>0</v>
      </c>
      <c r="J104" s="180">
        <f t="shared" si="12"/>
        <v>0</v>
      </c>
      <c r="K104" s="180">
        <f t="shared" si="13"/>
        <v>-150976.49</v>
      </c>
    </row>
    <row r="105" spans="1:11" ht="13" x14ac:dyDescent="0.3">
      <c r="A105" s="174">
        <f t="shared" si="10"/>
        <v>72</v>
      </c>
      <c r="B105" s="132" t="s">
        <v>10</v>
      </c>
      <c r="C105" s="179">
        <v>2019</v>
      </c>
      <c r="D105" s="182">
        <v>0</v>
      </c>
      <c r="E105" s="180">
        <v>0</v>
      </c>
      <c r="F105" s="180">
        <f t="shared" si="11"/>
        <v>0</v>
      </c>
      <c r="G105" s="182">
        <v>0</v>
      </c>
      <c r="H105" s="182">
        <v>0</v>
      </c>
      <c r="I105" s="180">
        <v>0</v>
      </c>
      <c r="J105" s="180">
        <f t="shared" si="12"/>
        <v>0</v>
      </c>
      <c r="K105" s="180">
        <f t="shared" si="13"/>
        <v>-150976.49</v>
      </c>
    </row>
    <row r="106" spans="1:11" ht="13" x14ac:dyDescent="0.3">
      <c r="A106" s="174">
        <f t="shared" si="10"/>
        <v>73</v>
      </c>
      <c r="B106" s="132" t="s">
        <v>25</v>
      </c>
      <c r="C106" s="179">
        <v>2019</v>
      </c>
      <c r="D106" s="182">
        <v>0</v>
      </c>
      <c r="E106" s="180">
        <v>0</v>
      </c>
      <c r="F106" s="180">
        <f t="shared" si="11"/>
        <v>0</v>
      </c>
      <c r="G106" s="182">
        <v>0</v>
      </c>
      <c r="H106" s="182">
        <v>0</v>
      </c>
      <c r="I106" s="180">
        <v>0</v>
      </c>
      <c r="J106" s="180">
        <f t="shared" si="12"/>
        <v>0</v>
      </c>
      <c r="K106" s="180">
        <f t="shared" si="13"/>
        <v>-150976.49</v>
      </c>
    </row>
    <row r="107" spans="1:11" ht="13" x14ac:dyDescent="0.3">
      <c r="A107" s="174">
        <f t="shared" si="10"/>
        <v>74</v>
      </c>
      <c r="B107" s="132" t="s">
        <v>11</v>
      </c>
      <c r="C107" s="179">
        <v>2019</v>
      </c>
      <c r="D107" s="182">
        <v>0</v>
      </c>
      <c r="E107" s="180">
        <v>0</v>
      </c>
      <c r="F107" s="180">
        <f t="shared" si="11"/>
        <v>0</v>
      </c>
      <c r="G107" s="182">
        <v>0</v>
      </c>
      <c r="H107" s="182">
        <v>0</v>
      </c>
      <c r="I107" s="180">
        <v>0</v>
      </c>
      <c r="J107" s="180">
        <f t="shared" si="12"/>
        <v>0</v>
      </c>
      <c r="K107" s="180">
        <f t="shared" si="13"/>
        <v>-150976.49</v>
      </c>
    </row>
    <row r="108" spans="1:11" ht="13" x14ac:dyDescent="0.3">
      <c r="A108" s="174">
        <f t="shared" si="10"/>
        <v>75</v>
      </c>
      <c r="B108" s="132" t="s">
        <v>12</v>
      </c>
      <c r="C108" s="179">
        <v>2019</v>
      </c>
      <c r="D108" s="182">
        <v>0</v>
      </c>
      <c r="E108" s="180">
        <v>0</v>
      </c>
      <c r="F108" s="180">
        <f t="shared" si="11"/>
        <v>0</v>
      </c>
      <c r="G108" s="182">
        <v>0</v>
      </c>
      <c r="H108" s="182">
        <v>0</v>
      </c>
      <c r="I108" s="180">
        <v>0</v>
      </c>
      <c r="J108" s="180">
        <f t="shared" si="12"/>
        <v>0</v>
      </c>
      <c r="K108" s="180">
        <f t="shared" si="13"/>
        <v>-150976.49</v>
      </c>
    </row>
    <row r="109" spans="1:11" ht="13" x14ac:dyDescent="0.3">
      <c r="A109" s="174">
        <f>A108+1</f>
        <v>76</v>
      </c>
      <c r="B109" s="132" t="s">
        <v>13</v>
      </c>
      <c r="C109" s="179">
        <v>2019</v>
      </c>
      <c r="D109" s="182">
        <v>0</v>
      </c>
      <c r="E109" s="180">
        <v>0</v>
      </c>
      <c r="F109" s="180">
        <f t="shared" si="11"/>
        <v>0</v>
      </c>
      <c r="G109" s="182">
        <v>0</v>
      </c>
      <c r="H109" s="182">
        <v>0</v>
      </c>
      <c r="I109" s="180">
        <v>0</v>
      </c>
      <c r="J109" s="180">
        <f>J108+F109-G109-I109</f>
        <v>0</v>
      </c>
      <c r="K109" s="180">
        <f t="shared" si="13"/>
        <v>-150976.49</v>
      </c>
    </row>
    <row r="110" spans="1:11" ht="13" x14ac:dyDescent="0.3">
      <c r="A110" s="174">
        <f t="shared" ref="A110:A113" si="14">A109+1</f>
        <v>77</v>
      </c>
      <c r="B110" s="132" t="s">
        <v>15</v>
      </c>
      <c r="C110" s="179">
        <v>2019</v>
      </c>
      <c r="D110" s="182">
        <v>0</v>
      </c>
      <c r="E110" s="180">
        <v>0</v>
      </c>
      <c r="F110" s="180">
        <f t="shared" si="11"/>
        <v>0</v>
      </c>
      <c r="G110" s="182">
        <v>0</v>
      </c>
      <c r="H110" s="182">
        <v>0</v>
      </c>
      <c r="I110" s="180">
        <v>0</v>
      </c>
      <c r="J110" s="180">
        <f t="shared" ref="J110:J112" si="15">J109+F110-G110-I110</f>
        <v>0</v>
      </c>
      <c r="K110" s="180">
        <f t="shared" si="13"/>
        <v>-150976.49</v>
      </c>
    </row>
    <row r="111" spans="1:11" ht="13" x14ac:dyDescent="0.3">
      <c r="A111" s="174">
        <f t="shared" si="14"/>
        <v>78</v>
      </c>
      <c r="B111" s="132" t="s">
        <v>14</v>
      </c>
      <c r="C111" s="179">
        <v>2019</v>
      </c>
      <c r="D111" s="182">
        <v>0</v>
      </c>
      <c r="E111" s="180">
        <v>0</v>
      </c>
      <c r="F111" s="180">
        <f t="shared" si="11"/>
        <v>0</v>
      </c>
      <c r="G111" s="182">
        <v>0</v>
      </c>
      <c r="H111" s="182">
        <v>0</v>
      </c>
      <c r="I111" s="180">
        <v>0</v>
      </c>
      <c r="J111" s="180">
        <f t="shared" si="15"/>
        <v>0</v>
      </c>
      <c r="K111" s="180">
        <f t="shared" si="13"/>
        <v>-150976.49</v>
      </c>
    </row>
    <row r="112" spans="1:11" ht="13" x14ac:dyDescent="0.3">
      <c r="A112" s="174">
        <f t="shared" si="14"/>
        <v>79</v>
      </c>
      <c r="B112" s="132" t="s">
        <v>6</v>
      </c>
      <c r="C112" s="179">
        <v>2019</v>
      </c>
      <c r="D112" s="182">
        <v>0</v>
      </c>
      <c r="E112" s="180">
        <v>0</v>
      </c>
      <c r="F112" s="180">
        <f t="shared" si="11"/>
        <v>0</v>
      </c>
      <c r="G112" s="182">
        <v>0</v>
      </c>
      <c r="H112" s="182">
        <v>0</v>
      </c>
      <c r="I112" s="180">
        <v>0</v>
      </c>
      <c r="J112" s="180">
        <f t="shared" si="15"/>
        <v>0</v>
      </c>
      <c r="K112" s="184">
        <f t="shared" si="13"/>
        <v>-150976.49</v>
      </c>
    </row>
    <row r="113" spans="1:11" ht="13" x14ac:dyDescent="0.3">
      <c r="A113" s="174">
        <f t="shared" si="14"/>
        <v>80</v>
      </c>
      <c r="C113" s="204" t="s">
        <v>380</v>
      </c>
      <c r="K113" s="205">
        <f>AVERAGE(K100:K112)</f>
        <v>-150976.49</v>
      </c>
    </row>
    <row r="114" spans="1:11" ht="13" x14ac:dyDescent="0.3">
      <c r="A114" s="174"/>
      <c r="C114" s="204"/>
      <c r="K114" s="205"/>
    </row>
    <row r="115" spans="1:11" ht="13" x14ac:dyDescent="0.3">
      <c r="B115" s="207" t="s">
        <v>388</v>
      </c>
      <c r="D115" s="280" t="s">
        <v>389</v>
      </c>
      <c r="E115" s="280"/>
    </row>
    <row r="116" spans="1:11" ht="13" x14ac:dyDescent="0.3">
      <c r="A116" s="177"/>
      <c r="B116" s="177"/>
      <c r="C116" s="177"/>
      <c r="D116" s="177" t="s">
        <v>148</v>
      </c>
      <c r="E116" s="177" t="s">
        <v>149</v>
      </c>
      <c r="F116" s="177" t="s">
        <v>150</v>
      </c>
      <c r="G116" s="177" t="s">
        <v>151</v>
      </c>
      <c r="H116" s="177" t="s">
        <v>329</v>
      </c>
      <c r="I116" s="177" t="s">
        <v>330</v>
      </c>
      <c r="J116" s="177" t="s">
        <v>346</v>
      </c>
      <c r="K116" s="177" t="s">
        <v>347</v>
      </c>
    </row>
    <row r="117" spans="1:11" ht="25.5" x14ac:dyDescent="0.3">
      <c r="D117" s="171"/>
      <c r="E117" s="208" t="s">
        <v>383</v>
      </c>
      <c r="F117" s="199" t="s">
        <v>384</v>
      </c>
      <c r="G117" s="199"/>
      <c r="H117" s="171"/>
      <c r="I117" s="208" t="s">
        <v>385</v>
      </c>
      <c r="J117" s="208" t="s">
        <v>386</v>
      </c>
      <c r="K117" s="208" t="s">
        <v>387</v>
      </c>
    </row>
    <row r="118" spans="1:11" ht="13" x14ac:dyDescent="0.3">
      <c r="D118" s="171"/>
      <c r="E118" s="171"/>
      <c r="F118" s="171"/>
      <c r="G118" s="174" t="str">
        <f>G51</f>
        <v>Unloaded</v>
      </c>
      <c r="H118" s="171"/>
      <c r="I118" s="171"/>
    </row>
    <row r="119" spans="1:11" ht="13" x14ac:dyDescent="0.3">
      <c r="A119" s="174"/>
      <c r="B119" s="174"/>
      <c r="C119" s="174"/>
      <c r="D119" s="174" t="str">
        <f>D$52</f>
        <v>Forecast</v>
      </c>
      <c r="E119" s="174" t="str">
        <f t="shared" ref="E119:J119" si="16">E$52</f>
        <v>Corporate</v>
      </c>
      <c r="F119" s="174" t="str">
        <f t="shared" si="16"/>
        <v xml:space="preserve">Total </v>
      </c>
      <c r="G119" s="174" t="str">
        <f>G52</f>
        <v>Total</v>
      </c>
      <c r="H119" s="174" t="str">
        <f t="shared" si="16"/>
        <v>Prior Period</v>
      </c>
      <c r="I119" s="174" t="str">
        <f t="shared" si="16"/>
        <v>Over Heads</v>
      </c>
      <c r="J119" s="174" t="str">
        <f t="shared" si="16"/>
        <v>Forecast</v>
      </c>
      <c r="K119" s="174" t="str">
        <f>K$52</f>
        <v>Forecast Period</v>
      </c>
    </row>
    <row r="120" spans="1:11" ht="13" x14ac:dyDescent="0.3">
      <c r="A120" s="176" t="s">
        <v>336</v>
      </c>
      <c r="B120" s="134" t="s">
        <v>16</v>
      </c>
      <c r="C120" s="134" t="s">
        <v>17</v>
      </c>
      <c r="D120" s="177" t="str">
        <f>D$53</f>
        <v>Expenditures</v>
      </c>
      <c r="E120" s="177" t="str">
        <f t="shared" ref="E120:J120" si="17">E$53</f>
        <v>Overheads</v>
      </c>
      <c r="F120" s="177" t="str">
        <f t="shared" si="17"/>
        <v>CWIP Exp</v>
      </c>
      <c r="G120" s="177" t="str">
        <f>G53</f>
        <v>Plant Adds</v>
      </c>
      <c r="H120" s="177" t="str">
        <f t="shared" si="17"/>
        <v>CWIP Closed</v>
      </c>
      <c r="I120" s="177" t="str">
        <f t="shared" si="17"/>
        <v>Closed to PIS</v>
      </c>
      <c r="J120" s="177" t="str">
        <f t="shared" si="17"/>
        <v>Period CWIP</v>
      </c>
      <c r="K120" s="177" t="str">
        <f>K$53</f>
        <v>Incremental CWIP</v>
      </c>
    </row>
    <row r="121" spans="1:11" ht="13" x14ac:dyDescent="0.3">
      <c r="A121" s="174">
        <f>A113+1</f>
        <v>81</v>
      </c>
      <c r="B121" s="132" t="s">
        <v>6</v>
      </c>
      <c r="C121" s="179">
        <v>2017</v>
      </c>
      <c r="D121" s="199" t="s">
        <v>361</v>
      </c>
      <c r="E121" s="199" t="s">
        <v>361</v>
      </c>
      <c r="F121" s="199" t="s">
        <v>361</v>
      </c>
      <c r="G121" s="199" t="s">
        <v>361</v>
      </c>
      <c r="H121" s="199" t="s">
        <v>361</v>
      </c>
      <c r="I121" s="199" t="s">
        <v>361</v>
      </c>
      <c r="J121" s="180">
        <f>F25</f>
        <v>0</v>
      </c>
      <c r="K121" s="199" t="s">
        <v>361</v>
      </c>
    </row>
    <row r="122" spans="1:11" ht="13" x14ac:dyDescent="0.3">
      <c r="A122" s="174">
        <f>A121+1</f>
        <v>82</v>
      </c>
      <c r="B122" s="132" t="s">
        <v>7</v>
      </c>
      <c r="C122" s="179">
        <v>2018</v>
      </c>
      <c r="D122" s="182">
        <v>0</v>
      </c>
      <c r="E122" s="180">
        <v>0</v>
      </c>
      <c r="F122" s="180">
        <f>E122+D122</f>
        <v>0</v>
      </c>
      <c r="G122" s="182">
        <v>0</v>
      </c>
      <c r="H122" s="182">
        <v>0</v>
      </c>
      <c r="I122" s="180">
        <v>0</v>
      </c>
      <c r="J122" s="180">
        <f>J121+F122-G122-I122</f>
        <v>0</v>
      </c>
      <c r="K122" s="202">
        <f>J122-$J$121</f>
        <v>0</v>
      </c>
    </row>
    <row r="123" spans="1:11" ht="13" x14ac:dyDescent="0.3">
      <c r="A123" s="174">
        <f t="shared" ref="A123:A146" si="18">A122+1</f>
        <v>83</v>
      </c>
      <c r="B123" s="132" t="s">
        <v>8</v>
      </c>
      <c r="C123" s="179">
        <v>2018</v>
      </c>
      <c r="D123" s="182">
        <v>0</v>
      </c>
      <c r="E123" s="180">
        <v>0</v>
      </c>
      <c r="F123" s="180">
        <f t="shared" ref="F123:F145" si="19">E123+D123</f>
        <v>0</v>
      </c>
      <c r="G123" s="182">
        <v>0</v>
      </c>
      <c r="H123" s="182">
        <v>0</v>
      </c>
      <c r="I123" s="180">
        <v>0</v>
      </c>
      <c r="J123" s="180">
        <f t="shared" ref="J123:J145" si="20">J122+F123-G123-I123</f>
        <v>0</v>
      </c>
      <c r="K123" s="202">
        <f t="shared" ref="K123:K145" si="21">J123-$J$121</f>
        <v>0</v>
      </c>
    </row>
    <row r="124" spans="1:11" ht="13" x14ac:dyDescent="0.3">
      <c r="A124" s="174">
        <f t="shared" si="18"/>
        <v>84</v>
      </c>
      <c r="B124" s="132" t="s">
        <v>18</v>
      </c>
      <c r="C124" s="179">
        <v>2018</v>
      </c>
      <c r="D124" s="182">
        <v>0</v>
      </c>
      <c r="E124" s="180">
        <v>0</v>
      </c>
      <c r="F124" s="180">
        <f t="shared" si="19"/>
        <v>0</v>
      </c>
      <c r="G124" s="182">
        <v>0</v>
      </c>
      <c r="H124" s="182">
        <v>0</v>
      </c>
      <c r="I124" s="180">
        <v>0</v>
      </c>
      <c r="J124" s="180">
        <f t="shared" si="20"/>
        <v>0</v>
      </c>
      <c r="K124" s="202">
        <f t="shared" si="21"/>
        <v>0</v>
      </c>
    </row>
    <row r="125" spans="1:11" ht="13" x14ac:dyDescent="0.3">
      <c r="A125" s="174">
        <f t="shared" si="18"/>
        <v>85</v>
      </c>
      <c r="B125" s="132" t="s">
        <v>9</v>
      </c>
      <c r="C125" s="179">
        <v>2018</v>
      </c>
      <c r="D125" s="182">
        <v>0</v>
      </c>
      <c r="E125" s="180">
        <v>0</v>
      </c>
      <c r="F125" s="180">
        <f t="shared" si="19"/>
        <v>0</v>
      </c>
      <c r="G125" s="182">
        <v>0</v>
      </c>
      <c r="H125" s="182">
        <v>0</v>
      </c>
      <c r="I125" s="180">
        <v>0</v>
      </c>
      <c r="J125" s="180">
        <f t="shared" si="20"/>
        <v>0</v>
      </c>
      <c r="K125" s="202">
        <f t="shared" si="21"/>
        <v>0</v>
      </c>
    </row>
    <row r="126" spans="1:11" ht="13" x14ac:dyDescent="0.3">
      <c r="A126" s="174">
        <f t="shared" si="18"/>
        <v>86</v>
      </c>
      <c r="B126" s="132" t="s">
        <v>10</v>
      </c>
      <c r="C126" s="179">
        <v>2018</v>
      </c>
      <c r="D126" s="182">
        <v>0</v>
      </c>
      <c r="E126" s="180">
        <v>0</v>
      </c>
      <c r="F126" s="180">
        <f t="shared" si="19"/>
        <v>0</v>
      </c>
      <c r="G126" s="182">
        <v>0</v>
      </c>
      <c r="H126" s="182">
        <v>0</v>
      </c>
      <c r="I126" s="180">
        <v>0</v>
      </c>
      <c r="J126" s="180">
        <f t="shared" si="20"/>
        <v>0</v>
      </c>
      <c r="K126" s="202">
        <f t="shared" si="21"/>
        <v>0</v>
      </c>
    </row>
    <row r="127" spans="1:11" ht="13" x14ac:dyDescent="0.3">
      <c r="A127" s="174">
        <f t="shared" si="18"/>
        <v>87</v>
      </c>
      <c r="B127" s="132" t="s">
        <v>25</v>
      </c>
      <c r="C127" s="179">
        <v>2018</v>
      </c>
      <c r="D127" s="182">
        <v>0</v>
      </c>
      <c r="E127" s="180">
        <v>0</v>
      </c>
      <c r="F127" s="180">
        <f t="shared" si="19"/>
        <v>0</v>
      </c>
      <c r="G127" s="182">
        <v>0</v>
      </c>
      <c r="H127" s="182">
        <v>0</v>
      </c>
      <c r="I127" s="180">
        <v>0</v>
      </c>
      <c r="J127" s="180">
        <f t="shared" si="20"/>
        <v>0</v>
      </c>
      <c r="K127" s="202">
        <f t="shared" si="21"/>
        <v>0</v>
      </c>
    </row>
    <row r="128" spans="1:11" ht="13" x14ac:dyDescent="0.3">
      <c r="A128" s="174">
        <f t="shared" si="18"/>
        <v>88</v>
      </c>
      <c r="B128" s="132" t="s">
        <v>11</v>
      </c>
      <c r="C128" s="179">
        <v>2018</v>
      </c>
      <c r="D128" s="182">
        <v>0</v>
      </c>
      <c r="E128" s="180">
        <v>0</v>
      </c>
      <c r="F128" s="180">
        <f t="shared" si="19"/>
        <v>0</v>
      </c>
      <c r="G128" s="182">
        <v>0</v>
      </c>
      <c r="H128" s="182">
        <v>0</v>
      </c>
      <c r="I128" s="180">
        <v>0</v>
      </c>
      <c r="J128" s="180">
        <f t="shared" si="20"/>
        <v>0</v>
      </c>
      <c r="K128" s="202">
        <f t="shared" si="21"/>
        <v>0</v>
      </c>
    </row>
    <row r="129" spans="1:11" ht="13" x14ac:dyDescent="0.3">
      <c r="A129" s="174">
        <f t="shared" si="18"/>
        <v>89</v>
      </c>
      <c r="B129" s="132" t="s">
        <v>12</v>
      </c>
      <c r="C129" s="179">
        <v>2018</v>
      </c>
      <c r="D129" s="182">
        <v>0</v>
      </c>
      <c r="E129" s="180">
        <v>0</v>
      </c>
      <c r="F129" s="180">
        <f t="shared" si="19"/>
        <v>0</v>
      </c>
      <c r="G129" s="182">
        <v>0</v>
      </c>
      <c r="H129" s="182">
        <v>0</v>
      </c>
      <c r="I129" s="180">
        <v>0</v>
      </c>
      <c r="J129" s="180">
        <f t="shared" si="20"/>
        <v>0</v>
      </c>
      <c r="K129" s="202">
        <f t="shared" si="21"/>
        <v>0</v>
      </c>
    </row>
    <row r="130" spans="1:11" ht="13" x14ac:dyDescent="0.3">
      <c r="A130" s="174">
        <f t="shared" si="18"/>
        <v>90</v>
      </c>
      <c r="B130" s="132" t="s">
        <v>13</v>
      </c>
      <c r="C130" s="179">
        <v>2018</v>
      </c>
      <c r="D130" s="182">
        <v>0</v>
      </c>
      <c r="E130" s="180">
        <v>0</v>
      </c>
      <c r="F130" s="180">
        <f t="shared" si="19"/>
        <v>0</v>
      </c>
      <c r="G130" s="182">
        <v>0</v>
      </c>
      <c r="H130" s="182">
        <v>0</v>
      </c>
      <c r="I130" s="180">
        <v>0</v>
      </c>
      <c r="J130" s="180">
        <f t="shared" si="20"/>
        <v>0</v>
      </c>
      <c r="K130" s="202">
        <f t="shared" si="21"/>
        <v>0</v>
      </c>
    </row>
    <row r="131" spans="1:11" ht="13" x14ac:dyDescent="0.3">
      <c r="A131" s="174">
        <f t="shared" si="18"/>
        <v>91</v>
      </c>
      <c r="B131" s="132" t="s">
        <v>15</v>
      </c>
      <c r="C131" s="179">
        <v>2018</v>
      </c>
      <c r="D131" s="182">
        <v>0</v>
      </c>
      <c r="E131" s="180">
        <v>0</v>
      </c>
      <c r="F131" s="180">
        <f t="shared" si="19"/>
        <v>0</v>
      </c>
      <c r="G131" s="182">
        <v>0</v>
      </c>
      <c r="H131" s="182">
        <v>0</v>
      </c>
      <c r="I131" s="180">
        <v>0</v>
      </c>
      <c r="J131" s="180">
        <f t="shared" si="20"/>
        <v>0</v>
      </c>
      <c r="K131" s="202">
        <f t="shared" si="21"/>
        <v>0</v>
      </c>
    </row>
    <row r="132" spans="1:11" ht="13" x14ac:dyDescent="0.3">
      <c r="A132" s="174">
        <f t="shared" si="18"/>
        <v>92</v>
      </c>
      <c r="B132" s="132" t="s">
        <v>14</v>
      </c>
      <c r="C132" s="179">
        <v>2018</v>
      </c>
      <c r="D132" s="182">
        <v>0</v>
      </c>
      <c r="E132" s="180">
        <v>0</v>
      </c>
      <c r="F132" s="180">
        <f t="shared" si="19"/>
        <v>0</v>
      </c>
      <c r="G132" s="182">
        <v>0</v>
      </c>
      <c r="H132" s="182">
        <v>0</v>
      </c>
      <c r="I132" s="180">
        <v>0</v>
      </c>
      <c r="J132" s="180">
        <f t="shared" si="20"/>
        <v>0</v>
      </c>
      <c r="K132" s="202">
        <f t="shared" si="21"/>
        <v>0</v>
      </c>
    </row>
    <row r="133" spans="1:11" ht="13" x14ac:dyDescent="0.3">
      <c r="A133" s="174">
        <f t="shared" si="18"/>
        <v>93</v>
      </c>
      <c r="B133" s="132" t="s">
        <v>6</v>
      </c>
      <c r="C133" s="179">
        <v>2018</v>
      </c>
      <c r="D133" s="182">
        <v>0</v>
      </c>
      <c r="E133" s="180">
        <v>0</v>
      </c>
      <c r="F133" s="180">
        <f t="shared" si="19"/>
        <v>0</v>
      </c>
      <c r="G133" s="182">
        <v>0</v>
      </c>
      <c r="H133" s="182">
        <v>0</v>
      </c>
      <c r="I133" s="180">
        <v>0</v>
      </c>
      <c r="J133" s="180">
        <f t="shared" si="20"/>
        <v>0</v>
      </c>
      <c r="K133" s="202">
        <f t="shared" si="21"/>
        <v>0</v>
      </c>
    </row>
    <row r="134" spans="1:11" ht="13" x14ac:dyDescent="0.3">
      <c r="A134" s="174">
        <f t="shared" si="18"/>
        <v>94</v>
      </c>
      <c r="B134" s="132" t="s">
        <v>7</v>
      </c>
      <c r="C134" s="179">
        <v>2019</v>
      </c>
      <c r="D134" s="182">
        <v>0</v>
      </c>
      <c r="E134" s="180">
        <v>0</v>
      </c>
      <c r="F134" s="180">
        <f t="shared" si="19"/>
        <v>0</v>
      </c>
      <c r="G134" s="182">
        <v>0</v>
      </c>
      <c r="H134" s="182">
        <v>0</v>
      </c>
      <c r="I134" s="180">
        <v>0</v>
      </c>
      <c r="J134" s="180">
        <f t="shared" si="20"/>
        <v>0</v>
      </c>
      <c r="K134" s="202">
        <f t="shared" si="21"/>
        <v>0</v>
      </c>
    </row>
    <row r="135" spans="1:11" ht="13" x14ac:dyDescent="0.3">
      <c r="A135" s="174">
        <f t="shared" si="18"/>
        <v>95</v>
      </c>
      <c r="B135" s="132" t="s">
        <v>8</v>
      </c>
      <c r="C135" s="179">
        <v>2019</v>
      </c>
      <c r="D135" s="182">
        <v>0</v>
      </c>
      <c r="E135" s="180">
        <v>0</v>
      </c>
      <c r="F135" s="180">
        <f t="shared" si="19"/>
        <v>0</v>
      </c>
      <c r="G135" s="182">
        <v>0</v>
      </c>
      <c r="H135" s="182">
        <v>0</v>
      </c>
      <c r="I135" s="180">
        <v>0</v>
      </c>
      <c r="J135" s="180">
        <f t="shared" si="20"/>
        <v>0</v>
      </c>
      <c r="K135" s="202">
        <f t="shared" si="21"/>
        <v>0</v>
      </c>
    </row>
    <row r="136" spans="1:11" ht="13" x14ac:dyDescent="0.3">
      <c r="A136" s="174">
        <f t="shared" si="18"/>
        <v>96</v>
      </c>
      <c r="B136" s="132" t="s">
        <v>18</v>
      </c>
      <c r="C136" s="179">
        <v>2019</v>
      </c>
      <c r="D136" s="182">
        <v>0</v>
      </c>
      <c r="E136" s="180">
        <v>0</v>
      </c>
      <c r="F136" s="180">
        <f t="shared" si="19"/>
        <v>0</v>
      </c>
      <c r="G136" s="182">
        <v>0</v>
      </c>
      <c r="H136" s="182">
        <v>0</v>
      </c>
      <c r="I136" s="180">
        <v>0</v>
      </c>
      <c r="J136" s="180">
        <f t="shared" si="20"/>
        <v>0</v>
      </c>
      <c r="K136" s="202">
        <f t="shared" si="21"/>
        <v>0</v>
      </c>
    </row>
    <row r="137" spans="1:11" ht="13" x14ac:dyDescent="0.3">
      <c r="A137" s="174">
        <f t="shared" si="18"/>
        <v>97</v>
      </c>
      <c r="B137" s="132" t="s">
        <v>9</v>
      </c>
      <c r="C137" s="179">
        <v>2019</v>
      </c>
      <c r="D137" s="182">
        <v>0</v>
      </c>
      <c r="E137" s="180">
        <v>0</v>
      </c>
      <c r="F137" s="180">
        <f t="shared" si="19"/>
        <v>0</v>
      </c>
      <c r="G137" s="182">
        <v>0</v>
      </c>
      <c r="H137" s="182">
        <v>0</v>
      </c>
      <c r="I137" s="180">
        <v>0</v>
      </c>
      <c r="J137" s="180">
        <f t="shared" si="20"/>
        <v>0</v>
      </c>
      <c r="K137" s="202">
        <f t="shared" si="21"/>
        <v>0</v>
      </c>
    </row>
    <row r="138" spans="1:11" ht="13" x14ac:dyDescent="0.3">
      <c r="A138" s="174">
        <f t="shared" si="18"/>
        <v>98</v>
      </c>
      <c r="B138" s="132" t="s">
        <v>10</v>
      </c>
      <c r="C138" s="179">
        <v>2019</v>
      </c>
      <c r="D138" s="182">
        <v>0</v>
      </c>
      <c r="E138" s="180">
        <v>0</v>
      </c>
      <c r="F138" s="180">
        <f t="shared" si="19"/>
        <v>0</v>
      </c>
      <c r="G138" s="182">
        <v>0</v>
      </c>
      <c r="H138" s="182">
        <v>0</v>
      </c>
      <c r="I138" s="180">
        <v>0</v>
      </c>
      <c r="J138" s="180">
        <f t="shared" si="20"/>
        <v>0</v>
      </c>
      <c r="K138" s="202">
        <f t="shared" si="21"/>
        <v>0</v>
      </c>
    </row>
    <row r="139" spans="1:11" ht="13" x14ac:dyDescent="0.3">
      <c r="A139" s="174">
        <f t="shared" si="18"/>
        <v>99</v>
      </c>
      <c r="B139" s="132" t="s">
        <v>25</v>
      </c>
      <c r="C139" s="179">
        <v>2019</v>
      </c>
      <c r="D139" s="182">
        <v>0</v>
      </c>
      <c r="E139" s="180">
        <v>0</v>
      </c>
      <c r="F139" s="180">
        <f t="shared" si="19"/>
        <v>0</v>
      </c>
      <c r="G139" s="182">
        <v>0</v>
      </c>
      <c r="H139" s="182">
        <v>0</v>
      </c>
      <c r="I139" s="180">
        <v>0</v>
      </c>
      <c r="J139" s="180">
        <f t="shared" si="20"/>
        <v>0</v>
      </c>
      <c r="K139" s="202">
        <f t="shared" si="21"/>
        <v>0</v>
      </c>
    </row>
    <row r="140" spans="1:11" ht="13" x14ac:dyDescent="0.3">
      <c r="A140" s="174">
        <f t="shared" si="18"/>
        <v>100</v>
      </c>
      <c r="B140" s="132" t="s">
        <v>11</v>
      </c>
      <c r="C140" s="179">
        <v>2019</v>
      </c>
      <c r="D140" s="182">
        <v>0</v>
      </c>
      <c r="E140" s="180">
        <v>0</v>
      </c>
      <c r="F140" s="180">
        <f t="shared" si="19"/>
        <v>0</v>
      </c>
      <c r="G140" s="182">
        <v>0</v>
      </c>
      <c r="H140" s="182">
        <v>0</v>
      </c>
      <c r="I140" s="180">
        <v>0</v>
      </c>
      <c r="J140" s="180">
        <f t="shared" si="20"/>
        <v>0</v>
      </c>
      <c r="K140" s="202">
        <f t="shared" si="21"/>
        <v>0</v>
      </c>
    </row>
    <row r="141" spans="1:11" ht="13" x14ac:dyDescent="0.3">
      <c r="A141" s="174">
        <f t="shared" si="18"/>
        <v>101</v>
      </c>
      <c r="B141" s="132" t="s">
        <v>12</v>
      </c>
      <c r="C141" s="179">
        <v>2019</v>
      </c>
      <c r="D141" s="182">
        <v>0</v>
      </c>
      <c r="E141" s="180">
        <v>0</v>
      </c>
      <c r="F141" s="180">
        <f t="shared" si="19"/>
        <v>0</v>
      </c>
      <c r="G141" s="182">
        <v>0</v>
      </c>
      <c r="H141" s="182">
        <v>0</v>
      </c>
      <c r="I141" s="180">
        <v>0</v>
      </c>
      <c r="J141" s="180">
        <f t="shared" si="20"/>
        <v>0</v>
      </c>
      <c r="K141" s="202">
        <f t="shared" si="21"/>
        <v>0</v>
      </c>
    </row>
    <row r="142" spans="1:11" ht="13" x14ac:dyDescent="0.3">
      <c r="A142" s="174">
        <f t="shared" si="18"/>
        <v>102</v>
      </c>
      <c r="B142" s="132" t="s">
        <v>13</v>
      </c>
      <c r="C142" s="179">
        <v>2019</v>
      </c>
      <c r="D142" s="182">
        <v>0</v>
      </c>
      <c r="E142" s="180">
        <v>0</v>
      </c>
      <c r="F142" s="180">
        <f t="shared" si="19"/>
        <v>0</v>
      </c>
      <c r="G142" s="182">
        <v>0</v>
      </c>
      <c r="H142" s="182">
        <v>0</v>
      </c>
      <c r="I142" s="180">
        <v>0</v>
      </c>
      <c r="J142" s="180">
        <f t="shared" si="20"/>
        <v>0</v>
      </c>
      <c r="K142" s="202">
        <f t="shared" si="21"/>
        <v>0</v>
      </c>
    </row>
    <row r="143" spans="1:11" ht="13" x14ac:dyDescent="0.3">
      <c r="A143" s="174">
        <f t="shared" si="18"/>
        <v>103</v>
      </c>
      <c r="B143" s="132" t="s">
        <v>15</v>
      </c>
      <c r="C143" s="179">
        <v>2019</v>
      </c>
      <c r="D143" s="182">
        <v>0</v>
      </c>
      <c r="E143" s="180">
        <v>0</v>
      </c>
      <c r="F143" s="180">
        <f t="shared" si="19"/>
        <v>0</v>
      </c>
      <c r="G143" s="182">
        <v>0</v>
      </c>
      <c r="H143" s="182">
        <v>0</v>
      </c>
      <c r="I143" s="180">
        <v>0</v>
      </c>
      <c r="J143" s="180">
        <f t="shared" si="20"/>
        <v>0</v>
      </c>
      <c r="K143" s="202">
        <f t="shared" si="21"/>
        <v>0</v>
      </c>
    </row>
    <row r="144" spans="1:11" ht="13" x14ac:dyDescent="0.3">
      <c r="A144" s="174">
        <f t="shared" si="18"/>
        <v>104</v>
      </c>
      <c r="B144" s="132" t="s">
        <v>14</v>
      </c>
      <c r="C144" s="179">
        <v>2019</v>
      </c>
      <c r="D144" s="182">
        <v>0</v>
      </c>
      <c r="E144" s="180">
        <v>0</v>
      </c>
      <c r="F144" s="180">
        <f t="shared" si="19"/>
        <v>0</v>
      </c>
      <c r="G144" s="182">
        <v>0</v>
      </c>
      <c r="H144" s="182">
        <v>0</v>
      </c>
      <c r="I144" s="180">
        <v>0</v>
      </c>
      <c r="J144" s="180">
        <f t="shared" si="20"/>
        <v>0</v>
      </c>
      <c r="K144" s="202">
        <f t="shared" si="21"/>
        <v>0</v>
      </c>
    </row>
    <row r="145" spans="1:11" ht="13" x14ac:dyDescent="0.3">
      <c r="A145" s="174">
        <f t="shared" si="18"/>
        <v>105</v>
      </c>
      <c r="B145" s="132" t="s">
        <v>6</v>
      </c>
      <c r="C145" s="179">
        <v>2019</v>
      </c>
      <c r="D145" s="182">
        <v>0</v>
      </c>
      <c r="E145" s="180">
        <v>0</v>
      </c>
      <c r="F145" s="180">
        <f t="shared" si="19"/>
        <v>0</v>
      </c>
      <c r="G145" s="182">
        <v>0</v>
      </c>
      <c r="H145" s="182">
        <v>0</v>
      </c>
      <c r="I145" s="180">
        <v>0</v>
      </c>
      <c r="J145" s="180">
        <f t="shared" si="20"/>
        <v>0</v>
      </c>
      <c r="K145" s="184">
        <f t="shared" si="21"/>
        <v>0</v>
      </c>
    </row>
    <row r="146" spans="1:11" ht="13" x14ac:dyDescent="0.3">
      <c r="A146" s="174">
        <f t="shared" si="18"/>
        <v>106</v>
      </c>
      <c r="C146" s="204" t="s">
        <v>380</v>
      </c>
      <c r="K146" s="205">
        <f>AVERAGE(K133:K145)</f>
        <v>0</v>
      </c>
    </row>
    <row r="147" spans="1:11" ht="13" x14ac:dyDescent="0.3">
      <c r="A147" s="174"/>
      <c r="C147" s="204"/>
      <c r="K147" s="205"/>
    </row>
    <row r="148" spans="1:11" ht="13" x14ac:dyDescent="0.3">
      <c r="B148" s="207" t="s">
        <v>390</v>
      </c>
      <c r="D148" s="280" t="s">
        <v>391</v>
      </c>
      <c r="E148" s="280"/>
    </row>
    <row r="149" spans="1:11" ht="13" x14ac:dyDescent="0.3">
      <c r="D149" s="171"/>
      <c r="E149" s="171"/>
      <c r="F149" s="171"/>
      <c r="G149" s="174" t="str">
        <f>G51</f>
        <v>Unloaded</v>
      </c>
      <c r="H149" s="171"/>
      <c r="I149" s="171"/>
    </row>
    <row r="150" spans="1:11" ht="13" x14ac:dyDescent="0.3">
      <c r="A150" s="174"/>
      <c r="B150" s="174"/>
      <c r="C150" s="174"/>
      <c r="D150" s="174" t="str">
        <f>D$52</f>
        <v>Forecast</v>
      </c>
      <c r="E150" s="174" t="str">
        <f t="shared" ref="E150:J150" si="22">E$52</f>
        <v>Corporate</v>
      </c>
      <c r="F150" s="174" t="str">
        <f t="shared" si="22"/>
        <v xml:space="preserve">Total </v>
      </c>
      <c r="G150" s="174" t="str">
        <f>G52</f>
        <v>Total</v>
      </c>
      <c r="H150" s="174" t="str">
        <f t="shared" si="22"/>
        <v>Prior Period</v>
      </c>
      <c r="I150" s="174" t="str">
        <f t="shared" si="22"/>
        <v>Over Heads</v>
      </c>
      <c r="J150" s="174" t="str">
        <f t="shared" si="22"/>
        <v>Forecast</v>
      </c>
      <c r="K150" s="174" t="str">
        <f>K$52</f>
        <v>Forecast Period</v>
      </c>
    </row>
    <row r="151" spans="1:11" ht="13" x14ac:dyDescent="0.3">
      <c r="A151" s="176" t="s">
        <v>336</v>
      </c>
      <c r="B151" s="134" t="s">
        <v>16</v>
      </c>
      <c r="C151" s="134" t="s">
        <v>17</v>
      </c>
      <c r="D151" s="177" t="str">
        <f>D$53</f>
        <v>Expenditures</v>
      </c>
      <c r="E151" s="177" t="str">
        <f t="shared" ref="E151:J151" si="23">E$53</f>
        <v>Overheads</v>
      </c>
      <c r="F151" s="177" t="str">
        <f t="shared" si="23"/>
        <v>CWIP Exp</v>
      </c>
      <c r="G151" s="177" t="str">
        <f>G53</f>
        <v>Plant Adds</v>
      </c>
      <c r="H151" s="177" t="str">
        <f t="shared" si="23"/>
        <v>CWIP Closed</v>
      </c>
      <c r="I151" s="177" t="str">
        <f t="shared" si="23"/>
        <v>Closed to PIS</v>
      </c>
      <c r="J151" s="177" t="str">
        <f t="shared" si="23"/>
        <v>Period CWIP</v>
      </c>
      <c r="K151" s="177" t="str">
        <f>K$53</f>
        <v>Incremental CWIP</v>
      </c>
    </row>
    <row r="152" spans="1:11" ht="13" x14ac:dyDescent="0.3">
      <c r="A152" s="174">
        <f>A146+1</f>
        <v>107</v>
      </c>
      <c r="B152" s="132" t="s">
        <v>6</v>
      </c>
      <c r="C152" s="179">
        <v>2017</v>
      </c>
      <c r="D152" s="199" t="s">
        <v>361</v>
      </c>
      <c r="E152" s="199" t="s">
        <v>361</v>
      </c>
      <c r="F152" s="199" t="s">
        <v>361</v>
      </c>
      <c r="G152" s="199" t="s">
        <v>361</v>
      </c>
      <c r="H152" s="199" t="s">
        <v>361</v>
      </c>
      <c r="I152" s="199" t="s">
        <v>361</v>
      </c>
      <c r="J152" s="180">
        <f>G25</f>
        <v>4884727.96</v>
      </c>
      <c r="K152" s="199" t="s">
        <v>361</v>
      </c>
    </row>
    <row r="153" spans="1:11" ht="13" x14ac:dyDescent="0.3">
      <c r="A153" s="174">
        <f>A152+1</f>
        <v>108</v>
      </c>
      <c r="B153" s="132" t="s">
        <v>7</v>
      </c>
      <c r="C153" s="179">
        <v>2018</v>
      </c>
      <c r="D153" s="182">
        <v>11515</v>
      </c>
      <c r="E153" s="180">
        <v>863.625</v>
      </c>
      <c r="F153" s="180">
        <f>E153+D153</f>
        <v>12378.625</v>
      </c>
      <c r="G153" s="182">
        <v>0</v>
      </c>
      <c r="H153" s="182">
        <v>0</v>
      </c>
      <c r="I153" s="180">
        <v>0</v>
      </c>
      <c r="J153" s="180">
        <f>J152+F153-G153-I153</f>
        <v>4897106.585</v>
      </c>
      <c r="K153" s="180">
        <f>J153-$J$152</f>
        <v>12378.625</v>
      </c>
    </row>
    <row r="154" spans="1:11" ht="13" x14ac:dyDescent="0.3">
      <c r="A154" s="174">
        <f t="shared" ref="A154:A177" si="24">A153+1</f>
        <v>109</v>
      </c>
      <c r="B154" s="132" t="s">
        <v>8</v>
      </c>
      <c r="C154" s="179">
        <v>2018</v>
      </c>
      <c r="D154" s="182">
        <v>11776</v>
      </c>
      <c r="E154" s="180">
        <v>883.19999999999993</v>
      </c>
      <c r="F154" s="180">
        <f t="shared" ref="F154:F176" si="25">E154+D154</f>
        <v>12659.2</v>
      </c>
      <c r="G154" s="182">
        <v>0</v>
      </c>
      <c r="H154" s="182">
        <v>0</v>
      </c>
      <c r="I154" s="180">
        <v>0</v>
      </c>
      <c r="J154" s="180">
        <f t="shared" ref="J154:J176" si="26">J153+F154-G154-I154</f>
        <v>4909765.7850000001</v>
      </c>
      <c r="K154" s="180">
        <f t="shared" ref="K154:K176" si="27">J154-$J$152</f>
        <v>25037.825000000186</v>
      </c>
    </row>
    <row r="155" spans="1:11" ht="13" x14ac:dyDescent="0.3">
      <c r="A155" s="174">
        <f t="shared" si="24"/>
        <v>110</v>
      </c>
      <c r="B155" s="132" t="s">
        <v>18</v>
      </c>
      <c r="C155" s="179">
        <v>2018</v>
      </c>
      <c r="D155" s="182">
        <v>11286</v>
      </c>
      <c r="E155" s="180">
        <v>846.44999999999993</v>
      </c>
      <c r="F155" s="180">
        <f t="shared" si="25"/>
        <v>12132.45</v>
      </c>
      <c r="G155" s="182">
        <v>0</v>
      </c>
      <c r="H155" s="182">
        <v>0</v>
      </c>
      <c r="I155" s="180">
        <v>0</v>
      </c>
      <c r="J155" s="180">
        <f t="shared" si="26"/>
        <v>4921898.2350000003</v>
      </c>
      <c r="K155" s="180">
        <f t="shared" si="27"/>
        <v>37170.275000000373</v>
      </c>
    </row>
    <row r="156" spans="1:11" ht="13" x14ac:dyDescent="0.3">
      <c r="A156" s="174">
        <f t="shared" si="24"/>
        <v>111</v>
      </c>
      <c r="B156" s="132" t="s">
        <v>9</v>
      </c>
      <c r="C156" s="179">
        <v>2018</v>
      </c>
      <c r="D156" s="182">
        <v>18380</v>
      </c>
      <c r="E156" s="180">
        <v>1378.5</v>
      </c>
      <c r="F156" s="180">
        <f t="shared" si="25"/>
        <v>19758.5</v>
      </c>
      <c r="G156" s="182">
        <v>0</v>
      </c>
      <c r="H156" s="182">
        <v>0</v>
      </c>
      <c r="I156" s="180">
        <v>0</v>
      </c>
      <c r="J156" s="180">
        <f t="shared" si="26"/>
        <v>4941656.7350000003</v>
      </c>
      <c r="K156" s="180">
        <f t="shared" si="27"/>
        <v>56928.775000000373</v>
      </c>
    </row>
    <row r="157" spans="1:11" ht="13" x14ac:dyDescent="0.3">
      <c r="A157" s="174">
        <f t="shared" si="24"/>
        <v>112</v>
      </c>
      <c r="B157" s="132" t="s">
        <v>10</v>
      </c>
      <c r="C157" s="179">
        <v>2018</v>
      </c>
      <c r="D157" s="182">
        <v>18380</v>
      </c>
      <c r="E157" s="180">
        <v>1378.5</v>
      </c>
      <c r="F157" s="180">
        <f t="shared" si="25"/>
        <v>19758.5</v>
      </c>
      <c r="G157" s="182">
        <v>0</v>
      </c>
      <c r="H157" s="182">
        <v>0</v>
      </c>
      <c r="I157" s="180">
        <v>0</v>
      </c>
      <c r="J157" s="180">
        <f t="shared" si="26"/>
        <v>4961415.2350000003</v>
      </c>
      <c r="K157" s="180">
        <f t="shared" si="27"/>
        <v>76687.275000000373</v>
      </c>
    </row>
    <row r="158" spans="1:11" ht="13" x14ac:dyDescent="0.3">
      <c r="A158" s="174">
        <f t="shared" si="24"/>
        <v>113</v>
      </c>
      <c r="B158" s="132" t="s">
        <v>25</v>
      </c>
      <c r="C158" s="179">
        <v>2018</v>
      </c>
      <c r="D158" s="182">
        <v>18380</v>
      </c>
      <c r="E158" s="180">
        <v>1378.5</v>
      </c>
      <c r="F158" s="180">
        <f t="shared" si="25"/>
        <v>19758.5</v>
      </c>
      <c r="G158" s="182">
        <v>0</v>
      </c>
      <c r="H158" s="182">
        <v>0</v>
      </c>
      <c r="I158" s="180">
        <v>0</v>
      </c>
      <c r="J158" s="180">
        <f t="shared" si="26"/>
        <v>4981173.7350000003</v>
      </c>
      <c r="K158" s="180">
        <f t="shared" si="27"/>
        <v>96445.775000000373</v>
      </c>
    </row>
    <row r="159" spans="1:11" ht="13" x14ac:dyDescent="0.3">
      <c r="A159" s="174">
        <f t="shared" si="24"/>
        <v>114</v>
      </c>
      <c r="B159" s="132" t="s">
        <v>11</v>
      </c>
      <c r="C159" s="179">
        <v>2018</v>
      </c>
      <c r="D159" s="182">
        <v>18380</v>
      </c>
      <c r="E159" s="180">
        <v>1378.5</v>
      </c>
      <c r="F159" s="180">
        <f t="shared" si="25"/>
        <v>19758.5</v>
      </c>
      <c r="G159" s="182">
        <v>0</v>
      </c>
      <c r="H159" s="182">
        <v>0</v>
      </c>
      <c r="I159" s="180">
        <v>0</v>
      </c>
      <c r="J159" s="180">
        <f t="shared" si="26"/>
        <v>5000932.2350000003</v>
      </c>
      <c r="K159" s="180">
        <f t="shared" si="27"/>
        <v>116204.27500000037</v>
      </c>
    </row>
    <row r="160" spans="1:11" ht="13" x14ac:dyDescent="0.3">
      <c r="A160" s="174">
        <f t="shared" si="24"/>
        <v>115</v>
      </c>
      <c r="B160" s="132" t="s">
        <v>12</v>
      </c>
      <c r="C160" s="179">
        <v>2018</v>
      </c>
      <c r="D160" s="182">
        <v>18380</v>
      </c>
      <c r="E160" s="180">
        <v>1378.5</v>
      </c>
      <c r="F160" s="180">
        <f t="shared" si="25"/>
        <v>19758.5</v>
      </c>
      <c r="G160" s="182">
        <v>0</v>
      </c>
      <c r="H160" s="182">
        <v>0</v>
      </c>
      <c r="I160" s="180">
        <v>0</v>
      </c>
      <c r="J160" s="180">
        <f t="shared" si="26"/>
        <v>5020690.7350000003</v>
      </c>
      <c r="K160" s="180">
        <f t="shared" si="27"/>
        <v>135962.77500000037</v>
      </c>
    </row>
    <row r="161" spans="1:11" ht="13" x14ac:dyDescent="0.3">
      <c r="A161" s="174">
        <f t="shared" si="24"/>
        <v>116</v>
      </c>
      <c r="B161" s="132" t="s">
        <v>13</v>
      </c>
      <c r="C161" s="179">
        <v>2018</v>
      </c>
      <c r="D161" s="182">
        <v>18380</v>
      </c>
      <c r="E161" s="180">
        <v>1378.5</v>
      </c>
      <c r="F161" s="180">
        <f t="shared" si="25"/>
        <v>19758.5</v>
      </c>
      <c r="G161" s="182">
        <v>0</v>
      </c>
      <c r="H161" s="182">
        <v>0</v>
      </c>
      <c r="I161" s="180">
        <v>0</v>
      </c>
      <c r="J161" s="180">
        <f t="shared" si="26"/>
        <v>5040449.2350000003</v>
      </c>
      <c r="K161" s="180">
        <f t="shared" si="27"/>
        <v>155721.27500000037</v>
      </c>
    </row>
    <row r="162" spans="1:11" ht="13" x14ac:dyDescent="0.3">
      <c r="A162" s="174">
        <f t="shared" si="24"/>
        <v>117</v>
      </c>
      <c r="B162" s="132" t="s">
        <v>15</v>
      </c>
      <c r="C162" s="179">
        <v>2018</v>
      </c>
      <c r="D162" s="182">
        <v>18380</v>
      </c>
      <c r="E162" s="180">
        <v>1378.5</v>
      </c>
      <c r="F162" s="180">
        <f t="shared" si="25"/>
        <v>19758.5</v>
      </c>
      <c r="G162" s="182">
        <v>0</v>
      </c>
      <c r="H162" s="182">
        <v>0</v>
      </c>
      <c r="I162" s="180">
        <v>0</v>
      </c>
      <c r="J162" s="180">
        <f t="shared" si="26"/>
        <v>5060207.7350000003</v>
      </c>
      <c r="K162" s="180">
        <f t="shared" si="27"/>
        <v>175479.77500000037</v>
      </c>
    </row>
    <row r="163" spans="1:11" ht="13" x14ac:dyDescent="0.3">
      <c r="A163" s="174">
        <f t="shared" si="24"/>
        <v>118</v>
      </c>
      <c r="B163" s="132" t="s">
        <v>14</v>
      </c>
      <c r="C163" s="179">
        <v>2018</v>
      </c>
      <c r="D163" s="182">
        <v>18380</v>
      </c>
      <c r="E163" s="180">
        <v>1378.5</v>
      </c>
      <c r="F163" s="180">
        <f t="shared" si="25"/>
        <v>19758.5</v>
      </c>
      <c r="G163" s="182">
        <v>0</v>
      </c>
      <c r="H163" s="182">
        <v>0</v>
      </c>
      <c r="I163" s="180">
        <v>0</v>
      </c>
      <c r="J163" s="180">
        <f t="shared" si="26"/>
        <v>5079966.2350000003</v>
      </c>
      <c r="K163" s="180">
        <f t="shared" si="27"/>
        <v>195238.27500000037</v>
      </c>
    </row>
    <row r="164" spans="1:11" ht="13" x14ac:dyDescent="0.3">
      <c r="A164" s="174">
        <f t="shared" si="24"/>
        <v>119</v>
      </c>
      <c r="B164" s="132" t="s">
        <v>6</v>
      </c>
      <c r="C164" s="179">
        <v>2018</v>
      </c>
      <c r="D164" s="182">
        <v>18383</v>
      </c>
      <c r="E164" s="180">
        <v>1378.7249999999999</v>
      </c>
      <c r="F164" s="180">
        <f t="shared" si="25"/>
        <v>19761.724999999999</v>
      </c>
      <c r="G164" s="182">
        <v>0</v>
      </c>
      <c r="H164" s="182">
        <v>0</v>
      </c>
      <c r="I164" s="180">
        <v>0</v>
      </c>
      <c r="J164" s="180">
        <f t="shared" si="26"/>
        <v>5099727.96</v>
      </c>
      <c r="K164" s="180">
        <f t="shared" si="27"/>
        <v>215000</v>
      </c>
    </row>
    <row r="165" spans="1:11" ht="13" x14ac:dyDescent="0.3">
      <c r="A165" s="174">
        <f t="shared" si="24"/>
        <v>120</v>
      </c>
      <c r="B165" s="132" t="s">
        <v>7</v>
      </c>
      <c r="C165" s="179">
        <v>2019</v>
      </c>
      <c r="D165" s="182">
        <v>25000</v>
      </c>
      <c r="E165" s="180">
        <v>1875</v>
      </c>
      <c r="F165" s="180">
        <f t="shared" si="25"/>
        <v>26875</v>
      </c>
      <c r="G165" s="182">
        <v>0</v>
      </c>
      <c r="H165" s="182">
        <v>0</v>
      </c>
      <c r="I165" s="180">
        <v>0</v>
      </c>
      <c r="J165" s="180">
        <f t="shared" si="26"/>
        <v>5126602.96</v>
      </c>
      <c r="K165" s="180">
        <f t="shared" si="27"/>
        <v>241875</v>
      </c>
    </row>
    <row r="166" spans="1:11" ht="13" x14ac:dyDescent="0.3">
      <c r="A166" s="174">
        <f t="shared" si="24"/>
        <v>121</v>
      </c>
      <c r="B166" s="132" t="s">
        <v>8</v>
      </c>
      <c r="C166" s="179">
        <v>2019</v>
      </c>
      <c r="D166" s="182">
        <v>25000</v>
      </c>
      <c r="E166" s="180">
        <v>1875</v>
      </c>
      <c r="F166" s="180">
        <f t="shared" si="25"/>
        <v>26875</v>
      </c>
      <c r="G166" s="182">
        <v>0</v>
      </c>
      <c r="H166" s="182">
        <v>0</v>
      </c>
      <c r="I166" s="180">
        <v>0</v>
      </c>
      <c r="J166" s="180">
        <f t="shared" si="26"/>
        <v>5153477.96</v>
      </c>
      <c r="K166" s="180">
        <f t="shared" si="27"/>
        <v>268750</v>
      </c>
    </row>
    <row r="167" spans="1:11" ht="13" x14ac:dyDescent="0.3">
      <c r="A167" s="174">
        <f t="shared" si="24"/>
        <v>122</v>
      </c>
      <c r="B167" s="132" t="s">
        <v>18</v>
      </c>
      <c r="C167" s="179">
        <v>2019</v>
      </c>
      <c r="D167" s="182">
        <v>25000</v>
      </c>
      <c r="E167" s="180">
        <v>1875</v>
      </c>
      <c r="F167" s="180">
        <f t="shared" si="25"/>
        <v>26875</v>
      </c>
      <c r="G167" s="182">
        <v>0</v>
      </c>
      <c r="H167" s="182">
        <v>0</v>
      </c>
      <c r="I167" s="180">
        <v>0</v>
      </c>
      <c r="J167" s="180">
        <f t="shared" si="26"/>
        <v>5180352.96</v>
      </c>
      <c r="K167" s="180">
        <f t="shared" si="27"/>
        <v>295625</v>
      </c>
    </row>
    <row r="168" spans="1:11" ht="13" x14ac:dyDescent="0.3">
      <c r="A168" s="174">
        <f t="shared" si="24"/>
        <v>123</v>
      </c>
      <c r="B168" s="132" t="s">
        <v>9</v>
      </c>
      <c r="C168" s="179">
        <v>2019</v>
      </c>
      <c r="D168" s="182">
        <v>25000</v>
      </c>
      <c r="E168" s="180">
        <v>1875</v>
      </c>
      <c r="F168" s="180">
        <f t="shared" si="25"/>
        <v>26875</v>
      </c>
      <c r="G168" s="182">
        <v>0</v>
      </c>
      <c r="H168" s="182">
        <v>0</v>
      </c>
      <c r="I168" s="180">
        <v>0</v>
      </c>
      <c r="J168" s="180">
        <f t="shared" si="26"/>
        <v>5207227.96</v>
      </c>
      <c r="K168" s="180">
        <f t="shared" si="27"/>
        <v>322500</v>
      </c>
    </row>
    <row r="169" spans="1:11" ht="13" x14ac:dyDescent="0.3">
      <c r="A169" s="174">
        <f t="shared" si="24"/>
        <v>124</v>
      </c>
      <c r="B169" s="132" t="s">
        <v>10</v>
      </c>
      <c r="C169" s="179">
        <v>2019</v>
      </c>
      <c r="D169" s="182">
        <v>25000</v>
      </c>
      <c r="E169" s="180">
        <v>1875</v>
      </c>
      <c r="F169" s="180">
        <f t="shared" si="25"/>
        <v>26875</v>
      </c>
      <c r="G169" s="182">
        <v>0</v>
      </c>
      <c r="H169" s="182">
        <v>0</v>
      </c>
      <c r="I169" s="180">
        <v>0</v>
      </c>
      <c r="J169" s="180">
        <f t="shared" si="26"/>
        <v>5234102.96</v>
      </c>
      <c r="K169" s="180">
        <f t="shared" si="27"/>
        <v>349375</v>
      </c>
    </row>
    <row r="170" spans="1:11" ht="13" x14ac:dyDescent="0.3">
      <c r="A170" s="174">
        <f t="shared" si="24"/>
        <v>125</v>
      </c>
      <c r="B170" s="132" t="s">
        <v>25</v>
      </c>
      <c r="C170" s="179">
        <v>2019</v>
      </c>
      <c r="D170" s="182">
        <v>25000</v>
      </c>
      <c r="E170" s="180">
        <v>1875</v>
      </c>
      <c r="F170" s="180">
        <f t="shared" si="25"/>
        <v>26875</v>
      </c>
      <c r="G170" s="182">
        <v>0</v>
      </c>
      <c r="H170" s="182">
        <v>0</v>
      </c>
      <c r="I170" s="180">
        <v>0</v>
      </c>
      <c r="J170" s="180">
        <f t="shared" si="26"/>
        <v>5260977.96</v>
      </c>
      <c r="K170" s="180">
        <f t="shared" si="27"/>
        <v>376250</v>
      </c>
    </row>
    <row r="171" spans="1:11" ht="13" x14ac:dyDescent="0.3">
      <c r="A171" s="174">
        <f t="shared" si="24"/>
        <v>126</v>
      </c>
      <c r="B171" s="132" t="s">
        <v>11</v>
      </c>
      <c r="C171" s="179">
        <v>2019</v>
      </c>
      <c r="D171" s="182">
        <v>25000</v>
      </c>
      <c r="E171" s="180">
        <v>1875</v>
      </c>
      <c r="F171" s="180">
        <f t="shared" si="25"/>
        <v>26875</v>
      </c>
      <c r="G171" s="182">
        <v>0</v>
      </c>
      <c r="H171" s="182">
        <v>0</v>
      </c>
      <c r="I171" s="180">
        <v>0</v>
      </c>
      <c r="J171" s="180">
        <f t="shared" si="26"/>
        <v>5287852.96</v>
      </c>
      <c r="K171" s="180">
        <f t="shared" si="27"/>
        <v>403125</v>
      </c>
    </row>
    <row r="172" spans="1:11" ht="13" x14ac:dyDescent="0.3">
      <c r="A172" s="174">
        <f t="shared" si="24"/>
        <v>127</v>
      </c>
      <c r="B172" s="132" t="s">
        <v>12</v>
      </c>
      <c r="C172" s="179">
        <v>2019</v>
      </c>
      <c r="D172" s="182">
        <v>125000</v>
      </c>
      <c r="E172" s="180">
        <v>9375</v>
      </c>
      <c r="F172" s="180">
        <f t="shared" si="25"/>
        <v>134375</v>
      </c>
      <c r="G172" s="182">
        <v>0</v>
      </c>
      <c r="H172" s="182">
        <v>0</v>
      </c>
      <c r="I172" s="180">
        <v>0</v>
      </c>
      <c r="J172" s="180">
        <f t="shared" si="26"/>
        <v>5422227.96</v>
      </c>
      <c r="K172" s="180">
        <f t="shared" si="27"/>
        <v>537500</v>
      </c>
    </row>
    <row r="173" spans="1:11" ht="13" x14ac:dyDescent="0.3">
      <c r="A173" s="174">
        <f t="shared" si="24"/>
        <v>128</v>
      </c>
      <c r="B173" s="132" t="s">
        <v>13</v>
      </c>
      <c r="C173" s="179">
        <v>2019</v>
      </c>
      <c r="D173" s="182">
        <v>250000</v>
      </c>
      <c r="E173" s="180">
        <v>18750</v>
      </c>
      <c r="F173" s="180">
        <f t="shared" si="25"/>
        <v>268750</v>
      </c>
      <c r="G173" s="182">
        <v>0</v>
      </c>
      <c r="H173" s="182">
        <v>0</v>
      </c>
      <c r="I173" s="180">
        <v>0</v>
      </c>
      <c r="J173" s="180">
        <f t="shared" si="26"/>
        <v>5690977.96</v>
      </c>
      <c r="K173" s="180">
        <f t="shared" si="27"/>
        <v>806250</v>
      </c>
    </row>
    <row r="174" spans="1:11" ht="13" x14ac:dyDescent="0.3">
      <c r="A174" s="174">
        <f t="shared" si="24"/>
        <v>129</v>
      </c>
      <c r="B174" s="132" t="s">
        <v>15</v>
      </c>
      <c r="C174" s="179">
        <v>2019</v>
      </c>
      <c r="D174" s="182">
        <v>250000</v>
      </c>
      <c r="E174" s="180">
        <v>18750</v>
      </c>
      <c r="F174" s="180">
        <f t="shared" si="25"/>
        <v>268750</v>
      </c>
      <c r="G174" s="182">
        <v>0</v>
      </c>
      <c r="H174" s="182">
        <v>0</v>
      </c>
      <c r="I174" s="180">
        <v>0</v>
      </c>
      <c r="J174" s="180">
        <f t="shared" si="26"/>
        <v>5959727.96</v>
      </c>
      <c r="K174" s="180">
        <f t="shared" si="27"/>
        <v>1075000</v>
      </c>
    </row>
    <row r="175" spans="1:11" ht="13" x14ac:dyDescent="0.3">
      <c r="A175" s="174">
        <f t="shared" si="24"/>
        <v>130</v>
      </c>
      <c r="B175" s="132" t="s">
        <v>14</v>
      </c>
      <c r="C175" s="179">
        <v>2019</v>
      </c>
      <c r="D175" s="182">
        <v>250000</v>
      </c>
      <c r="E175" s="180">
        <v>18750</v>
      </c>
      <c r="F175" s="180">
        <f t="shared" si="25"/>
        <v>268750</v>
      </c>
      <c r="G175" s="182">
        <v>0</v>
      </c>
      <c r="H175" s="182">
        <v>0</v>
      </c>
      <c r="I175" s="180">
        <v>0</v>
      </c>
      <c r="J175" s="180">
        <f t="shared" si="26"/>
        <v>6228477.96</v>
      </c>
      <c r="K175" s="180">
        <f t="shared" si="27"/>
        <v>1343750</v>
      </c>
    </row>
    <row r="176" spans="1:11" ht="13" x14ac:dyDescent="0.3">
      <c r="A176" s="174">
        <f t="shared" si="24"/>
        <v>131</v>
      </c>
      <c r="B176" s="132" t="s">
        <v>6</v>
      </c>
      <c r="C176" s="179">
        <v>2019</v>
      </c>
      <c r="D176" s="182">
        <v>545000</v>
      </c>
      <c r="E176" s="180">
        <v>40875</v>
      </c>
      <c r="F176" s="180">
        <f t="shared" si="25"/>
        <v>585875</v>
      </c>
      <c r="G176" s="182">
        <v>0</v>
      </c>
      <c r="H176" s="182">
        <v>0</v>
      </c>
      <c r="I176" s="180">
        <v>0</v>
      </c>
      <c r="J176" s="180">
        <f t="shared" si="26"/>
        <v>6814352.96</v>
      </c>
      <c r="K176" s="184">
        <f t="shared" si="27"/>
        <v>1929625</v>
      </c>
    </row>
    <row r="177" spans="1:11" ht="13" x14ac:dyDescent="0.3">
      <c r="A177" s="174">
        <f t="shared" si="24"/>
        <v>132</v>
      </c>
      <c r="C177" s="204" t="s">
        <v>380</v>
      </c>
      <c r="K177" s="205">
        <f>AVERAGE(K164:K176)</f>
        <v>628048.07692307688</v>
      </c>
    </row>
    <row r="178" spans="1:11" ht="13" x14ac:dyDescent="0.3">
      <c r="A178" s="174"/>
      <c r="C178" s="204"/>
      <c r="K178" s="205"/>
    </row>
    <row r="179" spans="1:11" ht="13" x14ac:dyDescent="0.3">
      <c r="B179" s="207" t="s">
        <v>392</v>
      </c>
      <c r="D179" s="280" t="s">
        <v>393</v>
      </c>
      <c r="E179" s="280"/>
    </row>
    <row r="180" spans="1:11" ht="13" x14ac:dyDescent="0.3">
      <c r="A180" s="177"/>
      <c r="B180" s="177"/>
      <c r="C180" s="177"/>
      <c r="D180" s="177" t="s">
        <v>148</v>
      </c>
      <c r="E180" s="177" t="s">
        <v>149</v>
      </c>
      <c r="F180" s="177" t="s">
        <v>150</v>
      </c>
      <c r="G180" s="177" t="s">
        <v>151</v>
      </c>
      <c r="H180" s="177" t="s">
        <v>329</v>
      </c>
      <c r="I180" s="177" t="s">
        <v>330</v>
      </c>
      <c r="J180" s="177" t="s">
        <v>346</v>
      </c>
      <c r="K180" s="177" t="s">
        <v>347</v>
      </c>
    </row>
    <row r="181" spans="1:11" ht="25.5" x14ac:dyDescent="0.3">
      <c r="D181" s="171"/>
      <c r="E181" s="208" t="s">
        <v>383</v>
      </c>
      <c r="F181" s="199" t="s">
        <v>384</v>
      </c>
      <c r="G181" s="199"/>
      <c r="H181" s="171"/>
      <c r="I181" s="208" t="s">
        <v>385</v>
      </c>
      <c r="J181" s="208" t="s">
        <v>386</v>
      </c>
      <c r="K181" s="208" t="s">
        <v>387</v>
      </c>
    </row>
    <row r="182" spans="1:11" ht="13" x14ac:dyDescent="0.3">
      <c r="D182" s="171"/>
      <c r="E182" s="208"/>
      <c r="F182" s="199"/>
      <c r="G182" s="210" t="str">
        <f>G51</f>
        <v>Unloaded</v>
      </c>
      <c r="H182" s="171"/>
      <c r="I182" s="208"/>
      <c r="J182" s="208"/>
      <c r="K182" s="208"/>
    </row>
    <row r="183" spans="1:11" ht="13" x14ac:dyDescent="0.3">
      <c r="A183" s="174"/>
      <c r="B183" s="174"/>
      <c r="C183" s="174"/>
      <c r="D183" s="174" t="str">
        <f>D$52</f>
        <v>Forecast</v>
      </c>
      <c r="E183" s="174" t="str">
        <f t="shared" ref="E183:J183" si="28">E$52</f>
        <v>Corporate</v>
      </c>
      <c r="F183" s="174" t="str">
        <f t="shared" si="28"/>
        <v xml:space="preserve">Total </v>
      </c>
      <c r="G183" s="210" t="str">
        <f>G52</f>
        <v>Total</v>
      </c>
      <c r="H183" s="174" t="str">
        <f t="shared" si="28"/>
        <v>Prior Period</v>
      </c>
      <c r="I183" s="174" t="str">
        <f t="shared" si="28"/>
        <v>Over Heads</v>
      </c>
      <c r="J183" s="174" t="str">
        <f t="shared" si="28"/>
        <v>Forecast</v>
      </c>
      <c r="K183" s="174" t="str">
        <f>K$52</f>
        <v>Forecast Period</v>
      </c>
    </row>
    <row r="184" spans="1:11" ht="13" x14ac:dyDescent="0.3">
      <c r="A184" s="176" t="s">
        <v>336</v>
      </c>
      <c r="B184" s="134" t="s">
        <v>16</v>
      </c>
      <c r="C184" s="134" t="s">
        <v>17</v>
      </c>
      <c r="D184" s="177" t="str">
        <f>D$53</f>
        <v>Expenditures</v>
      </c>
      <c r="E184" s="177" t="str">
        <f t="shared" ref="E184:J184" si="29">E$53</f>
        <v>Overheads</v>
      </c>
      <c r="F184" s="177" t="str">
        <f t="shared" si="29"/>
        <v>CWIP Exp</v>
      </c>
      <c r="G184" s="171" t="str">
        <f>G53</f>
        <v>Plant Adds</v>
      </c>
      <c r="H184" s="177" t="str">
        <f t="shared" si="29"/>
        <v>CWIP Closed</v>
      </c>
      <c r="I184" s="177" t="str">
        <f t="shared" si="29"/>
        <v>Closed to PIS</v>
      </c>
      <c r="J184" s="177" t="str">
        <f t="shared" si="29"/>
        <v>Period CWIP</v>
      </c>
      <c r="K184" s="177" t="str">
        <f>K$53</f>
        <v>Incremental CWIP</v>
      </c>
    </row>
    <row r="185" spans="1:11" ht="13" x14ac:dyDescent="0.3">
      <c r="A185" s="174">
        <f>A177+1</f>
        <v>133</v>
      </c>
      <c r="B185" s="132" t="s">
        <v>6</v>
      </c>
      <c r="C185" s="179">
        <v>2017</v>
      </c>
      <c r="D185" s="199" t="s">
        <v>361</v>
      </c>
      <c r="E185" s="199" t="s">
        <v>361</v>
      </c>
      <c r="F185" s="199" t="s">
        <v>361</v>
      </c>
      <c r="G185" s="199" t="s">
        <v>361</v>
      </c>
      <c r="H185" s="199" t="s">
        <v>361</v>
      </c>
      <c r="I185" s="199" t="s">
        <v>361</v>
      </c>
      <c r="J185" s="180">
        <f>H25</f>
        <v>98805811.510000005</v>
      </c>
      <c r="K185" s="199" t="s">
        <v>361</v>
      </c>
    </row>
    <row r="186" spans="1:11" ht="13" x14ac:dyDescent="0.3">
      <c r="A186" s="174">
        <f>A185+1</f>
        <v>134</v>
      </c>
      <c r="B186" s="132" t="s">
        <v>7</v>
      </c>
      <c r="C186" s="179">
        <v>2018</v>
      </c>
      <c r="D186" s="182">
        <v>588166.99999999988</v>
      </c>
      <c r="E186" s="180">
        <v>44112.524999999987</v>
      </c>
      <c r="F186" s="180">
        <f>E186+D186</f>
        <v>632279.52499999991</v>
      </c>
      <c r="G186" s="182">
        <v>0</v>
      </c>
      <c r="H186" s="182">
        <v>0</v>
      </c>
      <c r="I186" s="180">
        <v>0</v>
      </c>
      <c r="J186" s="180">
        <f>J185+F186-G186-I186</f>
        <v>99438091.035000011</v>
      </c>
      <c r="K186" s="180">
        <f>J186-$J$185</f>
        <v>632279.52500000596</v>
      </c>
    </row>
    <row r="187" spans="1:11" ht="13" x14ac:dyDescent="0.3">
      <c r="A187" s="174">
        <f t="shared" ref="A187:A210" si="30">A186+1</f>
        <v>135</v>
      </c>
      <c r="B187" s="132" t="s">
        <v>8</v>
      </c>
      <c r="C187" s="179">
        <v>2018</v>
      </c>
      <c r="D187" s="182">
        <v>2503299.9999999995</v>
      </c>
      <c r="E187" s="180">
        <v>187747.49999999997</v>
      </c>
      <c r="F187" s="180">
        <f t="shared" ref="F187:F209" si="31">E187+D187</f>
        <v>2691047.4999999995</v>
      </c>
      <c r="G187" s="182">
        <v>0</v>
      </c>
      <c r="H187" s="182">
        <v>0</v>
      </c>
      <c r="I187" s="180">
        <v>0</v>
      </c>
      <c r="J187" s="180">
        <f t="shared" ref="J187:J209" si="32">J186+F187-G187-I187</f>
        <v>102129138.53500001</v>
      </c>
      <c r="K187" s="180">
        <f t="shared" ref="K187:K209" si="33">J187-$J$185</f>
        <v>3323327.025000006</v>
      </c>
    </row>
    <row r="188" spans="1:11" ht="13" x14ac:dyDescent="0.3">
      <c r="A188" s="174">
        <f t="shared" si="30"/>
        <v>136</v>
      </c>
      <c r="B188" s="132" t="s">
        <v>18</v>
      </c>
      <c r="C188" s="179">
        <v>2018</v>
      </c>
      <c r="D188" s="182">
        <v>4798387</v>
      </c>
      <c r="E188" s="180">
        <v>359879.02499999997</v>
      </c>
      <c r="F188" s="180">
        <f t="shared" si="31"/>
        <v>5158266.0250000004</v>
      </c>
      <c r="G188" s="182">
        <v>0</v>
      </c>
      <c r="H188" s="182">
        <v>0</v>
      </c>
      <c r="I188" s="180">
        <v>0</v>
      </c>
      <c r="J188" s="180">
        <f t="shared" si="32"/>
        <v>107287404.56000002</v>
      </c>
      <c r="K188" s="180">
        <f t="shared" si="33"/>
        <v>8481593.0500000119</v>
      </c>
    </row>
    <row r="189" spans="1:11" ht="13" x14ac:dyDescent="0.3">
      <c r="A189" s="174">
        <f t="shared" si="30"/>
        <v>137</v>
      </c>
      <c r="B189" s="132" t="s">
        <v>9</v>
      </c>
      <c r="C189" s="179">
        <v>2018</v>
      </c>
      <c r="D189" s="182">
        <v>5648177</v>
      </c>
      <c r="E189" s="180">
        <v>423613.27499999997</v>
      </c>
      <c r="F189" s="180">
        <f t="shared" si="31"/>
        <v>6071790.2750000004</v>
      </c>
      <c r="G189" s="182">
        <v>0</v>
      </c>
      <c r="H189" s="182">
        <v>0</v>
      </c>
      <c r="I189" s="180">
        <v>0</v>
      </c>
      <c r="J189" s="180">
        <f t="shared" si="32"/>
        <v>113359194.83500002</v>
      </c>
      <c r="K189" s="180">
        <f t="shared" si="33"/>
        <v>14553383.325000018</v>
      </c>
    </row>
    <row r="190" spans="1:11" ht="13" x14ac:dyDescent="0.3">
      <c r="A190" s="174">
        <f t="shared" si="30"/>
        <v>138</v>
      </c>
      <c r="B190" s="132" t="s">
        <v>10</v>
      </c>
      <c r="C190" s="179">
        <v>2018</v>
      </c>
      <c r="D190" s="182">
        <v>5573177</v>
      </c>
      <c r="E190" s="180">
        <v>417988.27499999997</v>
      </c>
      <c r="F190" s="180">
        <f t="shared" si="31"/>
        <v>5991165.2750000004</v>
      </c>
      <c r="G190" s="182">
        <v>0</v>
      </c>
      <c r="H190" s="182">
        <v>0</v>
      </c>
      <c r="I190" s="180">
        <v>0</v>
      </c>
      <c r="J190" s="180">
        <f t="shared" si="32"/>
        <v>119350360.11000003</v>
      </c>
      <c r="K190" s="180">
        <f t="shared" si="33"/>
        <v>20544548.600000024</v>
      </c>
    </row>
    <row r="191" spans="1:11" ht="13" x14ac:dyDescent="0.3">
      <c r="A191" s="174">
        <f t="shared" si="30"/>
        <v>139</v>
      </c>
      <c r="B191" s="132" t="s">
        <v>25</v>
      </c>
      <c r="C191" s="179">
        <v>2018</v>
      </c>
      <c r="D191" s="182">
        <v>6499929</v>
      </c>
      <c r="E191" s="180">
        <v>487494.67499999999</v>
      </c>
      <c r="F191" s="180">
        <f t="shared" si="31"/>
        <v>6987423.6749999998</v>
      </c>
      <c r="G191" s="182">
        <v>2458050.5399999996</v>
      </c>
      <c r="H191" s="182">
        <v>2207008.54</v>
      </c>
      <c r="I191" s="180">
        <v>18828.149999999965</v>
      </c>
      <c r="J191" s="180">
        <f t="shared" si="32"/>
        <v>123860905.09500001</v>
      </c>
      <c r="K191" s="180">
        <f t="shared" si="33"/>
        <v>25055093.585000008</v>
      </c>
    </row>
    <row r="192" spans="1:11" ht="13" x14ac:dyDescent="0.3">
      <c r="A192" s="174">
        <f t="shared" si="30"/>
        <v>140</v>
      </c>
      <c r="B192" s="132" t="s">
        <v>11</v>
      </c>
      <c r="C192" s="179">
        <v>2018</v>
      </c>
      <c r="D192" s="182">
        <v>5781065</v>
      </c>
      <c r="E192" s="180">
        <v>433579.875</v>
      </c>
      <c r="F192" s="180">
        <f t="shared" si="31"/>
        <v>6214644.875</v>
      </c>
      <c r="G192" s="182">
        <v>45000</v>
      </c>
      <c r="H192" s="182">
        <v>0</v>
      </c>
      <c r="I192" s="180">
        <v>3375</v>
      </c>
      <c r="J192" s="180">
        <f t="shared" si="32"/>
        <v>130027174.97000001</v>
      </c>
      <c r="K192" s="180">
        <f t="shared" si="33"/>
        <v>31221363.460000008</v>
      </c>
    </row>
    <row r="193" spans="1:11" ht="13" x14ac:dyDescent="0.3">
      <c r="A193" s="174">
        <f t="shared" si="30"/>
        <v>141</v>
      </c>
      <c r="B193" s="132" t="s">
        <v>12</v>
      </c>
      <c r="C193" s="179">
        <v>2018</v>
      </c>
      <c r="D193" s="182">
        <v>7660609</v>
      </c>
      <c r="E193" s="180">
        <v>574545.67499999993</v>
      </c>
      <c r="F193" s="180">
        <f t="shared" si="31"/>
        <v>8235154.6749999998</v>
      </c>
      <c r="G193" s="182">
        <v>45000</v>
      </c>
      <c r="H193" s="182">
        <v>0</v>
      </c>
      <c r="I193" s="180">
        <v>3375</v>
      </c>
      <c r="J193" s="180">
        <f t="shared" si="32"/>
        <v>138213954.64500001</v>
      </c>
      <c r="K193" s="180">
        <f t="shared" si="33"/>
        <v>39408143.135000005</v>
      </c>
    </row>
    <row r="194" spans="1:11" ht="13" x14ac:dyDescent="0.3">
      <c r="A194" s="174">
        <f t="shared" si="30"/>
        <v>142</v>
      </c>
      <c r="B194" s="132" t="s">
        <v>13</v>
      </c>
      <c r="C194" s="179">
        <v>2018</v>
      </c>
      <c r="D194" s="182">
        <v>7537297</v>
      </c>
      <c r="E194" s="180">
        <v>565297.27500000002</v>
      </c>
      <c r="F194" s="180">
        <f t="shared" si="31"/>
        <v>8102594.2750000004</v>
      </c>
      <c r="G194" s="182">
        <v>45000</v>
      </c>
      <c r="H194" s="182">
        <v>0</v>
      </c>
      <c r="I194" s="180">
        <v>3375</v>
      </c>
      <c r="J194" s="180">
        <f t="shared" si="32"/>
        <v>146268173.92000002</v>
      </c>
      <c r="K194" s="180">
        <f t="shared" si="33"/>
        <v>47462362.410000011</v>
      </c>
    </row>
    <row r="195" spans="1:11" ht="13" x14ac:dyDescent="0.3">
      <c r="A195" s="174">
        <f t="shared" si="30"/>
        <v>143</v>
      </c>
      <c r="B195" s="132" t="s">
        <v>15</v>
      </c>
      <c r="C195" s="179">
        <v>2018</v>
      </c>
      <c r="D195" s="182">
        <v>18313481</v>
      </c>
      <c r="E195" s="180">
        <v>1373511.075</v>
      </c>
      <c r="F195" s="180">
        <f t="shared" si="31"/>
        <v>19686992.074999999</v>
      </c>
      <c r="G195" s="182">
        <v>75673</v>
      </c>
      <c r="H195" s="182">
        <v>0</v>
      </c>
      <c r="I195" s="180">
        <v>5675.4749999999995</v>
      </c>
      <c r="J195" s="180">
        <f t="shared" si="32"/>
        <v>165873817.52000001</v>
      </c>
      <c r="K195" s="180">
        <f t="shared" si="33"/>
        <v>67068006.010000005</v>
      </c>
    </row>
    <row r="196" spans="1:11" ht="13" x14ac:dyDescent="0.3">
      <c r="A196" s="174">
        <f t="shared" si="30"/>
        <v>144</v>
      </c>
      <c r="B196" s="132" t="s">
        <v>14</v>
      </c>
      <c r="C196" s="179">
        <v>2018</v>
      </c>
      <c r="D196" s="182">
        <v>19079066</v>
      </c>
      <c r="E196" s="180">
        <v>1430929.95</v>
      </c>
      <c r="F196" s="180">
        <f t="shared" si="31"/>
        <v>20509995.949999999</v>
      </c>
      <c r="G196" s="182">
        <v>45000</v>
      </c>
      <c r="H196" s="182">
        <v>0</v>
      </c>
      <c r="I196" s="180">
        <v>3375</v>
      </c>
      <c r="J196" s="180">
        <f t="shared" si="32"/>
        <v>186335438.47</v>
      </c>
      <c r="K196" s="180">
        <f t="shared" si="33"/>
        <v>87529626.959999993</v>
      </c>
    </row>
    <row r="197" spans="1:11" ht="13" x14ac:dyDescent="0.3">
      <c r="A197" s="174">
        <f t="shared" si="30"/>
        <v>145</v>
      </c>
      <c r="B197" s="132" t="s">
        <v>6</v>
      </c>
      <c r="C197" s="179">
        <v>2018</v>
      </c>
      <c r="D197" s="182">
        <v>20045129.999999996</v>
      </c>
      <c r="E197" s="180">
        <v>1503384.7499999998</v>
      </c>
      <c r="F197" s="180">
        <f t="shared" si="31"/>
        <v>21548514.749999996</v>
      </c>
      <c r="G197" s="182">
        <v>18456121.27</v>
      </c>
      <c r="H197" s="182">
        <v>8497680.2700000014</v>
      </c>
      <c r="I197" s="180">
        <v>746883.07499999984</v>
      </c>
      <c r="J197" s="180">
        <f t="shared" si="32"/>
        <v>188680948.875</v>
      </c>
      <c r="K197" s="180">
        <f t="shared" si="33"/>
        <v>89875137.364999995</v>
      </c>
    </row>
    <row r="198" spans="1:11" ht="13" x14ac:dyDescent="0.3">
      <c r="A198" s="174">
        <f t="shared" si="30"/>
        <v>146</v>
      </c>
      <c r="B198" s="132" t="s">
        <v>7</v>
      </c>
      <c r="C198" s="179">
        <v>2019</v>
      </c>
      <c r="D198" s="182">
        <v>4609602</v>
      </c>
      <c r="E198" s="180">
        <v>345720.14999999997</v>
      </c>
      <c r="F198" s="180">
        <f t="shared" si="31"/>
        <v>4955322.1500000004</v>
      </c>
      <c r="G198" s="182">
        <v>185000</v>
      </c>
      <c r="H198" s="182">
        <v>0</v>
      </c>
      <c r="I198" s="180">
        <v>13875</v>
      </c>
      <c r="J198" s="180">
        <f t="shared" si="32"/>
        <v>193437396.02500001</v>
      </c>
      <c r="K198" s="180">
        <f t="shared" si="33"/>
        <v>94631584.515000001</v>
      </c>
    </row>
    <row r="199" spans="1:11" ht="13" x14ac:dyDescent="0.3">
      <c r="A199" s="174">
        <f t="shared" si="30"/>
        <v>147</v>
      </c>
      <c r="B199" s="132" t="s">
        <v>8</v>
      </c>
      <c r="C199" s="179">
        <v>2019</v>
      </c>
      <c r="D199" s="182">
        <v>5236167</v>
      </c>
      <c r="E199" s="180">
        <v>392712.52499999997</v>
      </c>
      <c r="F199" s="180">
        <f t="shared" si="31"/>
        <v>5628879.5250000004</v>
      </c>
      <c r="G199" s="182">
        <v>190000</v>
      </c>
      <c r="H199" s="182">
        <v>0</v>
      </c>
      <c r="I199" s="180">
        <v>14250</v>
      </c>
      <c r="J199" s="180">
        <f t="shared" si="32"/>
        <v>198862025.55000001</v>
      </c>
      <c r="K199" s="180">
        <f t="shared" si="33"/>
        <v>100056214.04000001</v>
      </c>
    </row>
    <row r="200" spans="1:11" ht="13" x14ac:dyDescent="0.3">
      <c r="A200" s="174">
        <f t="shared" si="30"/>
        <v>148</v>
      </c>
      <c r="B200" s="132" t="s">
        <v>18</v>
      </c>
      <c r="C200" s="179">
        <v>2019</v>
      </c>
      <c r="D200" s="182">
        <v>11290424</v>
      </c>
      <c r="E200" s="180">
        <v>846781.79999999993</v>
      </c>
      <c r="F200" s="180">
        <f t="shared" si="31"/>
        <v>12137205.800000001</v>
      </c>
      <c r="G200" s="182">
        <v>340000</v>
      </c>
      <c r="H200" s="182">
        <v>0</v>
      </c>
      <c r="I200" s="180">
        <v>25500</v>
      </c>
      <c r="J200" s="180">
        <f t="shared" si="32"/>
        <v>210633731.35000002</v>
      </c>
      <c r="K200" s="180">
        <f t="shared" si="33"/>
        <v>111827919.84000002</v>
      </c>
    </row>
    <row r="201" spans="1:11" ht="13" x14ac:dyDescent="0.3">
      <c r="A201" s="174">
        <f t="shared" si="30"/>
        <v>149</v>
      </c>
      <c r="B201" s="132" t="s">
        <v>9</v>
      </c>
      <c r="C201" s="179">
        <v>2019</v>
      </c>
      <c r="D201" s="182">
        <v>12835520</v>
      </c>
      <c r="E201" s="180">
        <v>962664</v>
      </c>
      <c r="F201" s="180">
        <f t="shared" si="31"/>
        <v>13798184</v>
      </c>
      <c r="G201" s="182">
        <v>340000</v>
      </c>
      <c r="H201" s="182">
        <v>0</v>
      </c>
      <c r="I201" s="180">
        <v>25500</v>
      </c>
      <c r="J201" s="180">
        <f t="shared" si="32"/>
        <v>224066415.35000002</v>
      </c>
      <c r="K201" s="180">
        <f t="shared" si="33"/>
        <v>125260603.84000002</v>
      </c>
    </row>
    <row r="202" spans="1:11" ht="13" x14ac:dyDescent="0.3">
      <c r="A202" s="174">
        <f t="shared" si="30"/>
        <v>150</v>
      </c>
      <c r="B202" s="132" t="s">
        <v>10</v>
      </c>
      <c r="C202" s="179">
        <v>2019</v>
      </c>
      <c r="D202" s="182">
        <v>13428006</v>
      </c>
      <c r="E202" s="180">
        <v>1007100.45</v>
      </c>
      <c r="F202" s="180">
        <f t="shared" si="31"/>
        <v>14435106.449999999</v>
      </c>
      <c r="G202" s="182">
        <v>340000</v>
      </c>
      <c r="H202" s="182">
        <v>0</v>
      </c>
      <c r="I202" s="180">
        <v>25500</v>
      </c>
      <c r="J202" s="180">
        <f t="shared" si="32"/>
        <v>238136021.80000001</v>
      </c>
      <c r="K202" s="180">
        <f t="shared" si="33"/>
        <v>139330210.29000002</v>
      </c>
    </row>
    <row r="203" spans="1:11" ht="13" x14ac:dyDescent="0.3">
      <c r="A203" s="174">
        <f t="shared" si="30"/>
        <v>151</v>
      </c>
      <c r="B203" s="132" t="s">
        <v>25</v>
      </c>
      <c r="C203" s="179">
        <v>2019</v>
      </c>
      <c r="D203" s="182">
        <v>14204694</v>
      </c>
      <c r="E203" s="180">
        <v>1065352.05</v>
      </c>
      <c r="F203" s="180">
        <f t="shared" si="31"/>
        <v>15270046.050000001</v>
      </c>
      <c r="G203" s="182">
        <v>340000</v>
      </c>
      <c r="H203" s="182">
        <v>0</v>
      </c>
      <c r="I203" s="180">
        <v>25500</v>
      </c>
      <c r="J203" s="180">
        <f t="shared" si="32"/>
        <v>253040567.85000002</v>
      </c>
      <c r="K203" s="180">
        <f t="shared" si="33"/>
        <v>154234756.34000003</v>
      </c>
    </row>
    <row r="204" spans="1:11" ht="13" x14ac:dyDescent="0.3">
      <c r="A204" s="174">
        <f t="shared" si="30"/>
        <v>152</v>
      </c>
      <c r="B204" s="132" t="s">
        <v>11</v>
      </c>
      <c r="C204" s="179">
        <v>2019</v>
      </c>
      <c r="D204" s="182">
        <v>14472486</v>
      </c>
      <c r="E204" s="180">
        <v>1085436.45</v>
      </c>
      <c r="F204" s="180">
        <f t="shared" si="31"/>
        <v>15557922.449999999</v>
      </c>
      <c r="G204" s="182">
        <v>340000</v>
      </c>
      <c r="H204" s="182">
        <v>0</v>
      </c>
      <c r="I204" s="180">
        <v>25500</v>
      </c>
      <c r="J204" s="180">
        <f t="shared" si="32"/>
        <v>268232990.30000001</v>
      </c>
      <c r="K204" s="180">
        <f t="shared" si="33"/>
        <v>169427178.79000002</v>
      </c>
    </row>
    <row r="205" spans="1:11" ht="13" x14ac:dyDescent="0.3">
      <c r="A205" s="174">
        <f t="shared" si="30"/>
        <v>153</v>
      </c>
      <c r="B205" s="132" t="s">
        <v>12</v>
      </c>
      <c r="C205" s="179">
        <v>2019</v>
      </c>
      <c r="D205" s="182">
        <v>14642486</v>
      </c>
      <c r="E205" s="180">
        <v>1098186.45</v>
      </c>
      <c r="F205" s="180">
        <f t="shared" si="31"/>
        <v>15740672.449999999</v>
      </c>
      <c r="G205" s="182">
        <v>340000</v>
      </c>
      <c r="H205" s="182">
        <v>0</v>
      </c>
      <c r="I205" s="180">
        <v>25500</v>
      </c>
      <c r="J205" s="180">
        <f t="shared" si="32"/>
        <v>283608162.75</v>
      </c>
      <c r="K205" s="180">
        <f t="shared" si="33"/>
        <v>184802351.24000001</v>
      </c>
    </row>
    <row r="206" spans="1:11" ht="13" x14ac:dyDescent="0.3">
      <c r="A206" s="174">
        <f t="shared" si="30"/>
        <v>154</v>
      </c>
      <c r="B206" s="132" t="s">
        <v>13</v>
      </c>
      <c r="C206" s="179">
        <v>2019</v>
      </c>
      <c r="D206" s="182">
        <v>15213790</v>
      </c>
      <c r="E206" s="180">
        <v>1141034.25</v>
      </c>
      <c r="F206" s="180">
        <f t="shared" si="31"/>
        <v>16354824.25</v>
      </c>
      <c r="G206" s="182">
        <v>340000</v>
      </c>
      <c r="H206" s="182">
        <v>0</v>
      </c>
      <c r="I206" s="180">
        <v>25500</v>
      </c>
      <c r="J206" s="180">
        <f t="shared" si="32"/>
        <v>299597487</v>
      </c>
      <c r="K206" s="180">
        <f t="shared" si="33"/>
        <v>200791675.49000001</v>
      </c>
    </row>
    <row r="207" spans="1:11" ht="13" x14ac:dyDescent="0.3">
      <c r="A207" s="174">
        <f t="shared" si="30"/>
        <v>155</v>
      </c>
      <c r="B207" s="132" t="s">
        <v>15</v>
      </c>
      <c r="C207" s="179">
        <v>2019</v>
      </c>
      <c r="D207" s="182">
        <v>18580671</v>
      </c>
      <c r="E207" s="180">
        <v>1393550.325</v>
      </c>
      <c r="F207" s="180">
        <f t="shared" si="31"/>
        <v>19974221.324999999</v>
      </c>
      <c r="G207" s="182">
        <v>5706366.5899999999</v>
      </c>
      <c r="H207" s="182">
        <v>3174604.59</v>
      </c>
      <c r="I207" s="180">
        <v>189882.15</v>
      </c>
      <c r="J207" s="180">
        <f t="shared" si="32"/>
        <v>313675459.58500004</v>
      </c>
      <c r="K207" s="180">
        <f t="shared" si="33"/>
        <v>214869648.07500005</v>
      </c>
    </row>
    <row r="208" spans="1:11" ht="13" x14ac:dyDescent="0.3">
      <c r="A208" s="174">
        <f t="shared" si="30"/>
        <v>156</v>
      </c>
      <c r="B208" s="132" t="s">
        <v>14</v>
      </c>
      <c r="C208" s="179">
        <v>2019</v>
      </c>
      <c r="D208" s="182">
        <v>13761026</v>
      </c>
      <c r="E208" s="180">
        <v>1032076.95</v>
      </c>
      <c r="F208" s="180">
        <f t="shared" si="31"/>
        <v>14793102.949999999</v>
      </c>
      <c r="G208" s="182">
        <v>290000</v>
      </c>
      <c r="H208" s="182">
        <v>0</v>
      </c>
      <c r="I208" s="180">
        <v>21750</v>
      </c>
      <c r="J208" s="180">
        <f t="shared" si="32"/>
        <v>328156812.53500003</v>
      </c>
      <c r="K208" s="180">
        <f t="shared" si="33"/>
        <v>229351001.02500004</v>
      </c>
    </row>
    <row r="209" spans="1:11" ht="13" x14ac:dyDescent="0.3">
      <c r="A209" s="174">
        <f t="shared" si="30"/>
        <v>157</v>
      </c>
      <c r="B209" s="132" t="s">
        <v>6</v>
      </c>
      <c r="C209" s="179">
        <v>2019</v>
      </c>
      <c r="D209" s="182">
        <v>14863709</v>
      </c>
      <c r="E209" s="180">
        <v>1114778.175</v>
      </c>
      <c r="F209" s="180">
        <f t="shared" si="31"/>
        <v>15978487.175000001</v>
      </c>
      <c r="G209" s="182">
        <v>290000</v>
      </c>
      <c r="H209" s="182">
        <v>0</v>
      </c>
      <c r="I209" s="180">
        <v>21750</v>
      </c>
      <c r="J209" s="180">
        <f t="shared" si="32"/>
        <v>343823549.71000004</v>
      </c>
      <c r="K209" s="184">
        <f t="shared" si="33"/>
        <v>245017738.20000005</v>
      </c>
    </row>
    <row r="210" spans="1:11" ht="13" x14ac:dyDescent="0.3">
      <c r="A210" s="174">
        <f t="shared" si="30"/>
        <v>158</v>
      </c>
      <c r="C210" s="204" t="s">
        <v>380</v>
      </c>
      <c r="K210" s="205">
        <f>AVERAGE(K197:K209)</f>
        <v>158421232.23461542</v>
      </c>
    </row>
    <row r="211" spans="1:11" ht="13" x14ac:dyDescent="0.3">
      <c r="A211" s="174"/>
      <c r="C211" s="204"/>
      <c r="K211" s="205"/>
    </row>
    <row r="212" spans="1:11" ht="13" x14ac:dyDescent="0.3">
      <c r="B212" s="207" t="s">
        <v>394</v>
      </c>
      <c r="D212" s="280" t="s">
        <v>342</v>
      </c>
      <c r="E212" s="280"/>
    </row>
    <row r="213" spans="1:11" ht="13" x14ac:dyDescent="0.3">
      <c r="D213" s="171"/>
      <c r="E213" s="171"/>
      <c r="F213" s="171"/>
      <c r="G213" s="174" t="str">
        <f>G51</f>
        <v>Unloaded</v>
      </c>
      <c r="H213" s="171"/>
      <c r="I213" s="171"/>
    </row>
    <row r="214" spans="1:11" ht="13" x14ac:dyDescent="0.3">
      <c r="A214" s="174"/>
      <c r="B214" s="174"/>
      <c r="C214" s="174"/>
      <c r="D214" s="174" t="str">
        <f>D$52</f>
        <v>Forecast</v>
      </c>
      <c r="E214" s="174" t="str">
        <f t="shared" ref="E214:J214" si="34">E$52</f>
        <v>Corporate</v>
      </c>
      <c r="F214" s="174" t="str">
        <f t="shared" si="34"/>
        <v xml:space="preserve">Total </v>
      </c>
      <c r="G214" s="174" t="str">
        <f>G52</f>
        <v>Total</v>
      </c>
      <c r="H214" s="174" t="str">
        <f t="shared" si="34"/>
        <v>Prior Period</v>
      </c>
      <c r="I214" s="174" t="str">
        <f t="shared" si="34"/>
        <v>Over Heads</v>
      </c>
      <c r="J214" s="174" t="str">
        <f t="shared" si="34"/>
        <v>Forecast</v>
      </c>
      <c r="K214" s="174" t="str">
        <f>K$52</f>
        <v>Forecast Period</v>
      </c>
    </row>
    <row r="215" spans="1:11" ht="13" x14ac:dyDescent="0.3">
      <c r="A215" s="176" t="s">
        <v>336</v>
      </c>
      <c r="B215" s="134" t="s">
        <v>16</v>
      </c>
      <c r="C215" s="134" t="s">
        <v>17</v>
      </c>
      <c r="D215" s="177" t="str">
        <f>D$53</f>
        <v>Expenditures</v>
      </c>
      <c r="E215" s="177" t="str">
        <f t="shared" ref="E215:J215" si="35">E$53</f>
        <v>Overheads</v>
      </c>
      <c r="F215" s="177" t="str">
        <f t="shared" si="35"/>
        <v>CWIP Exp</v>
      </c>
      <c r="G215" s="177" t="str">
        <f>G53</f>
        <v>Plant Adds</v>
      </c>
      <c r="H215" s="177" t="str">
        <f t="shared" si="35"/>
        <v>CWIP Closed</v>
      </c>
      <c r="I215" s="177" t="str">
        <f t="shared" si="35"/>
        <v>Closed to PIS</v>
      </c>
      <c r="J215" s="177" t="str">
        <f t="shared" si="35"/>
        <v>Period CWIP</v>
      </c>
      <c r="K215" s="177" t="str">
        <f>K$53</f>
        <v>Incremental CWIP</v>
      </c>
    </row>
    <row r="216" spans="1:11" ht="13" x14ac:dyDescent="0.3">
      <c r="A216" s="174">
        <f>A210+1</f>
        <v>159</v>
      </c>
      <c r="B216" s="132" t="s">
        <v>6</v>
      </c>
      <c r="C216" s="179">
        <v>2017</v>
      </c>
      <c r="D216" s="199" t="s">
        <v>361</v>
      </c>
      <c r="E216" s="199" t="s">
        <v>361</v>
      </c>
      <c r="F216" s="199" t="s">
        <v>361</v>
      </c>
      <c r="G216" s="199" t="s">
        <v>361</v>
      </c>
      <c r="H216" s="199" t="s">
        <v>361</v>
      </c>
      <c r="I216" s="199" t="s">
        <v>361</v>
      </c>
      <c r="J216" s="180">
        <f>I25</f>
        <v>0</v>
      </c>
      <c r="K216" s="199" t="s">
        <v>361</v>
      </c>
    </row>
    <row r="217" spans="1:11" ht="13" x14ac:dyDescent="0.3">
      <c r="A217" s="174">
        <f>A216+1</f>
        <v>160</v>
      </c>
      <c r="B217" s="132" t="s">
        <v>7</v>
      </c>
      <c r="C217" s="179">
        <v>2018</v>
      </c>
      <c r="D217" s="182">
        <v>0</v>
      </c>
      <c r="E217" s="180">
        <v>0</v>
      </c>
      <c r="F217" s="180">
        <f>E217+D217</f>
        <v>0</v>
      </c>
      <c r="G217" s="182">
        <v>0</v>
      </c>
      <c r="H217" s="182">
        <v>0</v>
      </c>
      <c r="I217" s="180">
        <v>0</v>
      </c>
      <c r="J217" s="180">
        <f>J216+F217-G217-I217</f>
        <v>0</v>
      </c>
      <c r="K217" s="180">
        <f>J217-$J$216</f>
        <v>0</v>
      </c>
    </row>
    <row r="218" spans="1:11" ht="13" x14ac:dyDescent="0.3">
      <c r="A218" s="174">
        <f t="shared" ref="A218:A241" si="36">A217+1</f>
        <v>161</v>
      </c>
      <c r="B218" s="132" t="s">
        <v>8</v>
      </c>
      <c r="C218" s="179">
        <v>2018</v>
      </c>
      <c r="D218" s="182">
        <v>0</v>
      </c>
      <c r="E218" s="180">
        <v>0</v>
      </c>
      <c r="F218" s="180">
        <f t="shared" ref="F218:F240" si="37">E218+D218</f>
        <v>0</v>
      </c>
      <c r="G218" s="182">
        <v>0</v>
      </c>
      <c r="H218" s="182">
        <v>0</v>
      </c>
      <c r="I218" s="180">
        <v>0</v>
      </c>
      <c r="J218" s="180">
        <f t="shared" ref="J218:J240" si="38">J217+F218-G218-I218</f>
        <v>0</v>
      </c>
      <c r="K218" s="180">
        <f t="shared" ref="K218:K240" si="39">J218-$J$216</f>
        <v>0</v>
      </c>
    </row>
    <row r="219" spans="1:11" ht="13" x14ac:dyDescent="0.3">
      <c r="A219" s="174">
        <f t="shared" si="36"/>
        <v>162</v>
      </c>
      <c r="B219" s="132" t="s">
        <v>18</v>
      </c>
      <c r="C219" s="179">
        <v>2018</v>
      </c>
      <c r="D219" s="182">
        <v>0</v>
      </c>
      <c r="E219" s="180">
        <v>0</v>
      </c>
      <c r="F219" s="180">
        <f t="shared" si="37"/>
        <v>0</v>
      </c>
      <c r="G219" s="182">
        <v>0</v>
      </c>
      <c r="H219" s="182">
        <v>0</v>
      </c>
      <c r="I219" s="180">
        <v>0</v>
      </c>
      <c r="J219" s="180">
        <f t="shared" si="38"/>
        <v>0</v>
      </c>
      <c r="K219" s="180">
        <f t="shared" si="39"/>
        <v>0</v>
      </c>
    </row>
    <row r="220" spans="1:11" ht="13" x14ac:dyDescent="0.3">
      <c r="A220" s="174">
        <f t="shared" si="36"/>
        <v>163</v>
      </c>
      <c r="B220" s="132" t="s">
        <v>9</v>
      </c>
      <c r="C220" s="179">
        <v>2018</v>
      </c>
      <c r="D220" s="182">
        <v>0</v>
      </c>
      <c r="E220" s="180">
        <v>0</v>
      </c>
      <c r="F220" s="180">
        <f t="shared" si="37"/>
        <v>0</v>
      </c>
      <c r="G220" s="182">
        <v>0</v>
      </c>
      <c r="H220" s="182">
        <v>0</v>
      </c>
      <c r="I220" s="180">
        <v>0</v>
      </c>
      <c r="J220" s="180">
        <f t="shared" si="38"/>
        <v>0</v>
      </c>
      <c r="K220" s="180">
        <f t="shared" si="39"/>
        <v>0</v>
      </c>
    </row>
    <row r="221" spans="1:11" ht="13" x14ac:dyDescent="0.3">
      <c r="A221" s="174">
        <f t="shared" si="36"/>
        <v>164</v>
      </c>
      <c r="B221" s="132" t="s">
        <v>10</v>
      </c>
      <c r="C221" s="179">
        <v>2018</v>
      </c>
      <c r="D221" s="182">
        <v>0</v>
      </c>
      <c r="E221" s="180">
        <v>0</v>
      </c>
      <c r="F221" s="180">
        <f t="shared" si="37"/>
        <v>0</v>
      </c>
      <c r="G221" s="182">
        <v>0</v>
      </c>
      <c r="H221" s="182">
        <v>0</v>
      </c>
      <c r="I221" s="180">
        <v>0</v>
      </c>
      <c r="J221" s="180">
        <f t="shared" si="38"/>
        <v>0</v>
      </c>
      <c r="K221" s="180">
        <f t="shared" si="39"/>
        <v>0</v>
      </c>
    </row>
    <row r="222" spans="1:11" ht="13" x14ac:dyDescent="0.3">
      <c r="A222" s="174">
        <f t="shared" si="36"/>
        <v>165</v>
      </c>
      <c r="B222" s="132" t="s">
        <v>25</v>
      </c>
      <c r="C222" s="179">
        <v>2018</v>
      </c>
      <c r="D222" s="182">
        <v>0</v>
      </c>
      <c r="E222" s="180">
        <v>0</v>
      </c>
      <c r="F222" s="180">
        <f t="shared" si="37"/>
        <v>0</v>
      </c>
      <c r="G222" s="182">
        <v>0</v>
      </c>
      <c r="H222" s="182">
        <v>0</v>
      </c>
      <c r="I222" s="180">
        <v>0</v>
      </c>
      <c r="J222" s="180">
        <f t="shared" si="38"/>
        <v>0</v>
      </c>
      <c r="K222" s="180">
        <f t="shared" si="39"/>
        <v>0</v>
      </c>
    </row>
    <row r="223" spans="1:11" ht="13" x14ac:dyDescent="0.3">
      <c r="A223" s="174">
        <f t="shared" si="36"/>
        <v>166</v>
      </c>
      <c r="B223" s="132" t="s">
        <v>11</v>
      </c>
      <c r="C223" s="179">
        <v>2018</v>
      </c>
      <c r="D223" s="182">
        <v>0</v>
      </c>
      <c r="E223" s="180">
        <v>0</v>
      </c>
      <c r="F223" s="180">
        <f t="shared" si="37"/>
        <v>0</v>
      </c>
      <c r="G223" s="182">
        <v>0</v>
      </c>
      <c r="H223" s="182">
        <v>0</v>
      </c>
      <c r="I223" s="180">
        <v>0</v>
      </c>
      <c r="J223" s="180">
        <f t="shared" si="38"/>
        <v>0</v>
      </c>
      <c r="K223" s="180">
        <f t="shared" si="39"/>
        <v>0</v>
      </c>
    </row>
    <row r="224" spans="1:11" ht="13" x14ac:dyDescent="0.3">
      <c r="A224" s="174">
        <f t="shared" si="36"/>
        <v>167</v>
      </c>
      <c r="B224" s="132" t="s">
        <v>12</v>
      </c>
      <c r="C224" s="179">
        <v>2018</v>
      </c>
      <c r="D224" s="182">
        <v>0</v>
      </c>
      <c r="E224" s="180">
        <v>0</v>
      </c>
      <c r="F224" s="180">
        <f t="shared" si="37"/>
        <v>0</v>
      </c>
      <c r="G224" s="182">
        <v>0</v>
      </c>
      <c r="H224" s="182">
        <v>0</v>
      </c>
      <c r="I224" s="180">
        <v>0</v>
      </c>
      <c r="J224" s="180">
        <f t="shared" si="38"/>
        <v>0</v>
      </c>
      <c r="K224" s="180">
        <f t="shared" si="39"/>
        <v>0</v>
      </c>
    </row>
    <row r="225" spans="1:11" ht="13" x14ac:dyDescent="0.3">
      <c r="A225" s="174">
        <f t="shared" si="36"/>
        <v>168</v>
      </c>
      <c r="B225" s="132" t="s">
        <v>13</v>
      </c>
      <c r="C225" s="179">
        <v>2018</v>
      </c>
      <c r="D225" s="182">
        <v>0</v>
      </c>
      <c r="E225" s="180">
        <v>0</v>
      </c>
      <c r="F225" s="180">
        <f t="shared" si="37"/>
        <v>0</v>
      </c>
      <c r="G225" s="182">
        <v>0</v>
      </c>
      <c r="H225" s="182">
        <v>0</v>
      </c>
      <c r="I225" s="180">
        <v>0</v>
      </c>
      <c r="J225" s="180">
        <f t="shared" si="38"/>
        <v>0</v>
      </c>
      <c r="K225" s="180">
        <f t="shared" si="39"/>
        <v>0</v>
      </c>
    </row>
    <row r="226" spans="1:11" ht="13" x14ac:dyDescent="0.3">
      <c r="A226" s="174">
        <f t="shared" si="36"/>
        <v>169</v>
      </c>
      <c r="B226" s="132" t="s">
        <v>15</v>
      </c>
      <c r="C226" s="179">
        <v>2018</v>
      </c>
      <c r="D226" s="182">
        <v>0</v>
      </c>
      <c r="E226" s="180">
        <v>0</v>
      </c>
      <c r="F226" s="180">
        <f t="shared" si="37"/>
        <v>0</v>
      </c>
      <c r="G226" s="182">
        <v>0</v>
      </c>
      <c r="H226" s="182">
        <v>0</v>
      </c>
      <c r="I226" s="180">
        <v>0</v>
      </c>
      <c r="J226" s="180">
        <f t="shared" si="38"/>
        <v>0</v>
      </c>
      <c r="K226" s="180">
        <f t="shared" si="39"/>
        <v>0</v>
      </c>
    </row>
    <row r="227" spans="1:11" ht="13" x14ac:dyDescent="0.3">
      <c r="A227" s="174">
        <f t="shared" si="36"/>
        <v>170</v>
      </c>
      <c r="B227" s="132" t="s">
        <v>14</v>
      </c>
      <c r="C227" s="179">
        <v>2018</v>
      </c>
      <c r="D227" s="182">
        <v>0</v>
      </c>
      <c r="E227" s="180">
        <v>0</v>
      </c>
      <c r="F227" s="180">
        <f t="shared" si="37"/>
        <v>0</v>
      </c>
      <c r="G227" s="182">
        <v>0</v>
      </c>
      <c r="H227" s="182">
        <v>0</v>
      </c>
      <c r="I227" s="180">
        <v>0</v>
      </c>
      <c r="J227" s="180">
        <f t="shared" si="38"/>
        <v>0</v>
      </c>
      <c r="K227" s="180">
        <f t="shared" si="39"/>
        <v>0</v>
      </c>
    </row>
    <row r="228" spans="1:11" ht="13" x14ac:dyDescent="0.3">
      <c r="A228" s="174">
        <f t="shared" si="36"/>
        <v>171</v>
      </c>
      <c r="B228" s="132" t="s">
        <v>6</v>
      </c>
      <c r="C228" s="179">
        <v>2018</v>
      </c>
      <c r="D228" s="182">
        <v>0</v>
      </c>
      <c r="E228" s="180">
        <v>0</v>
      </c>
      <c r="F228" s="180">
        <f t="shared" si="37"/>
        <v>0</v>
      </c>
      <c r="G228" s="182">
        <v>0</v>
      </c>
      <c r="H228" s="182">
        <v>0</v>
      </c>
      <c r="I228" s="180">
        <v>0</v>
      </c>
      <c r="J228" s="180">
        <f t="shared" si="38"/>
        <v>0</v>
      </c>
      <c r="K228" s="180">
        <f t="shared" si="39"/>
        <v>0</v>
      </c>
    </row>
    <row r="229" spans="1:11" ht="13" x14ac:dyDescent="0.3">
      <c r="A229" s="174">
        <f t="shared" si="36"/>
        <v>172</v>
      </c>
      <c r="B229" s="132" t="s">
        <v>7</v>
      </c>
      <c r="C229" s="179">
        <v>2019</v>
      </c>
      <c r="D229" s="182">
        <v>0</v>
      </c>
      <c r="E229" s="180">
        <v>0</v>
      </c>
      <c r="F229" s="180">
        <f t="shared" si="37"/>
        <v>0</v>
      </c>
      <c r="G229" s="182">
        <v>0</v>
      </c>
      <c r="H229" s="182">
        <v>0</v>
      </c>
      <c r="I229" s="180">
        <v>0</v>
      </c>
      <c r="J229" s="180">
        <f t="shared" si="38"/>
        <v>0</v>
      </c>
      <c r="K229" s="180">
        <f t="shared" si="39"/>
        <v>0</v>
      </c>
    </row>
    <row r="230" spans="1:11" ht="13" x14ac:dyDescent="0.3">
      <c r="A230" s="174">
        <f t="shared" si="36"/>
        <v>173</v>
      </c>
      <c r="B230" s="132" t="s">
        <v>8</v>
      </c>
      <c r="C230" s="179">
        <v>2019</v>
      </c>
      <c r="D230" s="182">
        <v>0</v>
      </c>
      <c r="E230" s="180">
        <v>0</v>
      </c>
      <c r="F230" s="180">
        <f t="shared" si="37"/>
        <v>0</v>
      </c>
      <c r="G230" s="182">
        <v>0</v>
      </c>
      <c r="H230" s="182">
        <v>0</v>
      </c>
      <c r="I230" s="180">
        <v>0</v>
      </c>
      <c r="J230" s="180">
        <f t="shared" si="38"/>
        <v>0</v>
      </c>
      <c r="K230" s="180">
        <f t="shared" si="39"/>
        <v>0</v>
      </c>
    </row>
    <row r="231" spans="1:11" ht="13" x14ac:dyDescent="0.3">
      <c r="A231" s="174">
        <f t="shared" si="36"/>
        <v>174</v>
      </c>
      <c r="B231" s="132" t="s">
        <v>18</v>
      </c>
      <c r="C231" s="179">
        <v>2019</v>
      </c>
      <c r="D231" s="182">
        <v>0</v>
      </c>
      <c r="E231" s="180">
        <v>0</v>
      </c>
      <c r="F231" s="180">
        <f t="shared" si="37"/>
        <v>0</v>
      </c>
      <c r="G231" s="182">
        <v>0</v>
      </c>
      <c r="H231" s="182">
        <v>0</v>
      </c>
      <c r="I231" s="180">
        <v>0</v>
      </c>
      <c r="J231" s="180">
        <f t="shared" si="38"/>
        <v>0</v>
      </c>
      <c r="K231" s="180">
        <f t="shared" si="39"/>
        <v>0</v>
      </c>
    </row>
    <row r="232" spans="1:11" ht="13" x14ac:dyDescent="0.3">
      <c r="A232" s="174">
        <f t="shared" si="36"/>
        <v>175</v>
      </c>
      <c r="B232" s="132" t="s">
        <v>9</v>
      </c>
      <c r="C232" s="179">
        <v>2019</v>
      </c>
      <c r="D232" s="182">
        <v>0</v>
      </c>
      <c r="E232" s="180">
        <v>0</v>
      </c>
      <c r="F232" s="180">
        <f t="shared" si="37"/>
        <v>0</v>
      </c>
      <c r="G232" s="182">
        <v>0</v>
      </c>
      <c r="H232" s="182">
        <v>0</v>
      </c>
      <c r="I232" s="180">
        <v>0</v>
      </c>
      <c r="J232" s="180">
        <f t="shared" si="38"/>
        <v>0</v>
      </c>
      <c r="K232" s="180">
        <f t="shared" si="39"/>
        <v>0</v>
      </c>
    </row>
    <row r="233" spans="1:11" ht="13" x14ac:dyDescent="0.3">
      <c r="A233" s="174">
        <f t="shared" si="36"/>
        <v>176</v>
      </c>
      <c r="B233" s="132" t="s">
        <v>10</v>
      </c>
      <c r="C233" s="179">
        <v>2019</v>
      </c>
      <c r="D233" s="182">
        <v>0</v>
      </c>
      <c r="E233" s="180">
        <v>0</v>
      </c>
      <c r="F233" s="180">
        <f t="shared" si="37"/>
        <v>0</v>
      </c>
      <c r="G233" s="182">
        <v>0</v>
      </c>
      <c r="H233" s="182">
        <v>0</v>
      </c>
      <c r="I233" s="180">
        <v>0</v>
      </c>
      <c r="J233" s="180">
        <f t="shared" si="38"/>
        <v>0</v>
      </c>
      <c r="K233" s="180">
        <f t="shared" si="39"/>
        <v>0</v>
      </c>
    </row>
    <row r="234" spans="1:11" ht="13" x14ac:dyDescent="0.3">
      <c r="A234" s="174">
        <f t="shared" si="36"/>
        <v>177</v>
      </c>
      <c r="B234" s="132" t="s">
        <v>25</v>
      </c>
      <c r="C234" s="179">
        <v>2019</v>
      </c>
      <c r="D234" s="182">
        <v>0</v>
      </c>
      <c r="E234" s="180">
        <v>0</v>
      </c>
      <c r="F234" s="180">
        <f t="shared" si="37"/>
        <v>0</v>
      </c>
      <c r="G234" s="182">
        <v>0</v>
      </c>
      <c r="H234" s="182">
        <v>0</v>
      </c>
      <c r="I234" s="180">
        <v>0</v>
      </c>
      <c r="J234" s="180">
        <f t="shared" si="38"/>
        <v>0</v>
      </c>
      <c r="K234" s="180">
        <f t="shared" si="39"/>
        <v>0</v>
      </c>
    </row>
    <row r="235" spans="1:11" ht="13" x14ac:dyDescent="0.3">
      <c r="A235" s="174">
        <f t="shared" si="36"/>
        <v>178</v>
      </c>
      <c r="B235" s="132" t="s">
        <v>11</v>
      </c>
      <c r="C235" s="179">
        <v>2019</v>
      </c>
      <c r="D235" s="182">
        <v>0</v>
      </c>
      <c r="E235" s="180">
        <v>0</v>
      </c>
      <c r="F235" s="180">
        <f t="shared" si="37"/>
        <v>0</v>
      </c>
      <c r="G235" s="182">
        <v>0</v>
      </c>
      <c r="H235" s="182">
        <v>0</v>
      </c>
      <c r="I235" s="180">
        <v>0</v>
      </c>
      <c r="J235" s="180">
        <f t="shared" si="38"/>
        <v>0</v>
      </c>
      <c r="K235" s="180">
        <f t="shared" si="39"/>
        <v>0</v>
      </c>
    </row>
    <row r="236" spans="1:11" ht="13" x14ac:dyDescent="0.3">
      <c r="A236" s="174">
        <f t="shared" si="36"/>
        <v>179</v>
      </c>
      <c r="B236" s="132" t="s">
        <v>12</v>
      </c>
      <c r="C236" s="179">
        <v>2019</v>
      </c>
      <c r="D236" s="182">
        <v>0</v>
      </c>
      <c r="E236" s="180">
        <v>0</v>
      </c>
      <c r="F236" s="180">
        <f t="shared" si="37"/>
        <v>0</v>
      </c>
      <c r="G236" s="182">
        <v>0</v>
      </c>
      <c r="H236" s="182">
        <v>0</v>
      </c>
      <c r="I236" s="180">
        <v>0</v>
      </c>
      <c r="J236" s="180">
        <f t="shared" si="38"/>
        <v>0</v>
      </c>
      <c r="K236" s="180">
        <f t="shared" si="39"/>
        <v>0</v>
      </c>
    </row>
    <row r="237" spans="1:11" ht="13" x14ac:dyDescent="0.3">
      <c r="A237" s="174">
        <f t="shared" si="36"/>
        <v>180</v>
      </c>
      <c r="B237" s="132" t="s">
        <v>13</v>
      </c>
      <c r="C237" s="179">
        <v>2019</v>
      </c>
      <c r="D237" s="182">
        <v>0</v>
      </c>
      <c r="E237" s="180">
        <v>0</v>
      </c>
      <c r="F237" s="180">
        <f t="shared" si="37"/>
        <v>0</v>
      </c>
      <c r="G237" s="182">
        <v>0</v>
      </c>
      <c r="H237" s="182">
        <v>0</v>
      </c>
      <c r="I237" s="180">
        <v>0</v>
      </c>
      <c r="J237" s="180">
        <f t="shared" si="38"/>
        <v>0</v>
      </c>
      <c r="K237" s="180">
        <f t="shared" si="39"/>
        <v>0</v>
      </c>
    </row>
    <row r="238" spans="1:11" ht="13" x14ac:dyDescent="0.3">
      <c r="A238" s="174">
        <f t="shared" si="36"/>
        <v>181</v>
      </c>
      <c r="B238" s="132" t="s">
        <v>15</v>
      </c>
      <c r="C238" s="179">
        <v>2019</v>
      </c>
      <c r="D238" s="182">
        <v>0</v>
      </c>
      <c r="E238" s="180">
        <v>0</v>
      </c>
      <c r="F238" s="180">
        <f t="shared" si="37"/>
        <v>0</v>
      </c>
      <c r="G238" s="182">
        <v>0</v>
      </c>
      <c r="H238" s="182">
        <v>0</v>
      </c>
      <c r="I238" s="180">
        <v>0</v>
      </c>
      <c r="J238" s="180">
        <f t="shared" si="38"/>
        <v>0</v>
      </c>
      <c r="K238" s="180">
        <f t="shared" si="39"/>
        <v>0</v>
      </c>
    </row>
    <row r="239" spans="1:11" ht="13" x14ac:dyDescent="0.3">
      <c r="A239" s="174">
        <f t="shared" si="36"/>
        <v>182</v>
      </c>
      <c r="B239" s="132" t="s">
        <v>14</v>
      </c>
      <c r="C239" s="179">
        <v>2019</v>
      </c>
      <c r="D239" s="182">
        <v>0</v>
      </c>
      <c r="E239" s="180">
        <v>0</v>
      </c>
      <c r="F239" s="180">
        <f t="shared" si="37"/>
        <v>0</v>
      </c>
      <c r="G239" s="182">
        <v>0</v>
      </c>
      <c r="H239" s="182">
        <v>0</v>
      </c>
      <c r="I239" s="180">
        <v>0</v>
      </c>
      <c r="J239" s="180">
        <f t="shared" si="38"/>
        <v>0</v>
      </c>
      <c r="K239" s="180">
        <f t="shared" si="39"/>
        <v>0</v>
      </c>
    </row>
    <row r="240" spans="1:11" ht="13" x14ac:dyDescent="0.3">
      <c r="A240" s="174">
        <f t="shared" si="36"/>
        <v>183</v>
      </c>
      <c r="B240" s="132" t="s">
        <v>6</v>
      </c>
      <c r="C240" s="179">
        <v>2019</v>
      </c>
      <c r="D240" s="182">
        <v>0</v>
      </c>
      <c r="E240" s="180">
        <v>0</v>
      </c>
      <c r="F240" s="180">
        <f t="shared" si="37"/>
        <v>0</v>
      </c>
      <c r="G240" s="182">
        <v>0</v>
      </c>
      <c r="H240" s="182">
        <v>0</v>
      </c>
      <c r="I240" s="180">
        <v>0</v>
      </c>
      <c r="J240" s="180">
        <f t="shared" si="38"/>
        <v>0</v>
      </c>
      <c r="K240" s="184">
        <f t="shared" si="39"/>
        <v>0</v>
      </c>
    </row>
    <row r="241" spans="1:11" ht="13" x14ac:dyDescent="0.3">
      <c r="A241" s="174">
        <f t="shared" si="36"/>
        <v>184</v>
      </c>
      <c r="C241" s="204" t="s">
        <v>380</v>
      </c>
      <c r="K241" s="205">
        <f>AVERAGE(K228:K240)</f>
        <v>0</v>
      </c>
    </row>
    <row r="242" spans="1:11" ht="13" x14ac:dyDescent="0.3">
      <c r="A242" s="174"/>
      <c r="C242" s="204"/>
      <c r="K242" s="205"/>
    </row>
    <row r="243" spans="1:11" ht="13" x14ac:dyDescent="0.3">
      <c r="B243" s="207" t="s">
        <v>395</v>
      </c>
      <c r="D243" s="280" t="s">
        <v>396</v>
      </c>
      <c r="E243" s="280"/>
    </row>
    <row r="244" spans="1:11" ht="13" x14ac:dyDescent="0.3">
      <c r="A244" s="177"/>
      <c r="B244" s="177"/>
      <c r="C244" s="177"/>
      <c r="D244" s="177" t="s">
        <v>148</v>
      </c>
      <c r="E244" s="177" t="s">
        <v>149</v>
      </c>
      <c r="F244" s="177" t="s">
        <v>150</v>
      </c>
      <c r="G244" s="177" t="s">
        <v>151</v>
      </c>
      <c r="H244" s="177" t="s">
        <v>329</v>
      </c>
      <c r="I244" s="177" t="s">
        <v>330</v>
      </c>
      <c r="J244" s="177" t="s">
        <v>346</v>
      </c>
      <c r="K244" s="177" t="s">
        <v>347</v>
      </c>
    </row>
    <row r="245" spans="1:11" ht="25.5" x14ac:dyDescent="0.3">
      <c r="D245" s="171"/>
      <c r="E245" s="208" t="s">
        <v>383</v>
      </c>
      <c r="F245" s="199" t="s">
        <v>384</v>
      </c>
      <c r="G245" s="199"/>
      <c r="H245" s="171"/>
      <c r="I245" s="208" t="s">
        <v>385</v>
      </c>
      <c r="J245" s="208" t="s">
        <v>386</v>
      </c>
      <c r="K245" s="208" t="s">
        <v>387</v>
      </c>
    </row>
    <row r="246" spans="1:11" ht="13" x14ac:dyDescent="0.3">
      <c r="D246" s="171"/>
      <c r="E246" s="171"/>
      <c r="F246" s="171"/>
      <c r="G246" s="174" t="s">
        <v>397</v>
      </c>
      <c r="H246" s="171"/>
      <c r="I246" s="171"/>
    </row>
    <row r="247" spans="1:11" ht="13" x14ac:dyDescent="0.3">
      <c r="A247" s="174"/>
      <c r="B247" s="174"/>
      <c r="C247" s="174"/>
      <c r="D247" s="174" t="str">
        <f>D$52</f>
        <v>Forecast</v>
      </c>
      <c r="E247" s="174" t="str">
        <f t="shared" ref="E247:J247" si="40">E$52</f>
        <v>Corporate</v>
      </c>
      <c r="F247" s="174" t="str">
        <f t="shared" si="40"/>
        <v xml:space="preserve">Total </v>
      </c>
      <c r="G247" s="174" t="s">
        <v>368</v>
      </c>
      <c r="H247" s="174" t="str">
        <f t="shared" si="40"/>
        <v>Prior Period</v>
      </c>
      <c r="I247" s="174" t="str">
        <f t="shared" si="40"/>
        <v>Over Heads</v>
      </c>
      <c r="J247" s="174" t="str">
        <f t="shared" si="40"/>
        <v>Forecast</v>
      </c>
      <c r="K247" s="174" t="str">
        <f>K$52</f>
        <v>Forecast Period</v>
      </c>
    </row>
    <row r="248" spans="1:11" ht="13" x14ac:dyDescent="0.3">
      <c r="A248" s="176" t="s">
        <v>336</v>
      </c>
      <c r="B248" s="134" t="s">
        <v>16</v>
      </c>
      <c r="C248" s="134" t="s">
        <v>17</v>
      </c>
      <c r="D248" s="177" t="str">
        <f>D$53</f>
        <v>Expenditures</v>
      </c>
      <c r="E248" s="177" t="str">
        <f t="shared" ref="E248:J248" si="41">E$53</f>
        <v>Overheads</v>
      </c>
      <c r="F248" s="177" t="str">
        <f t="shared" si="41"/>
        <v>CWIP Exp</v>
      </c>
      <c r="G248" s="177" t="s">
        <v>375</v>
      </c>
      <c r="H248" s="177" t="str">
        <f t="shared" si="41"/>
        <v>CWIP Closed</v>
      </c>
      <c r="I248" s="177" t="str">
        <f t="shared" si="41"/>
        <v>Closed to PIS</v>
      </c>
      <c r="J248" s="177" t="str">
        <f t="shared" si="41"/>
        <v>Period CWIP</v>
      </c>
      <c r="K248" s="177" t="str">
        <f>K$53</f>
        <v>Incremental CWIP</v>
      </c>
    </row>
    <row r="249" spans="1:11" ht="13" x14ac:dyDescent="0.3">
      <c r="A249" s="174">
        <f>A241+1</f>
        <v>185</v>
      </c>
      <c r="B249" s="132" t="s">
        <v>6</v>
      </c>
      <c r="C249" s="179">
        <v>2017</v>
      </c>
      <c r="D249" s="199" t="s">
        <v>361</v>
      </c>
      <c r="E249" s="199" t="s">
        <v>361</v>
      </c>
      <c r="F249" s="199" t="s">
        <v>361</v>
      </c>
      <c r="G249" s="199" t="s">
        <v>361</v>
      </c>
      <c r="H249" s="199" t="s">
        <v>361</v>
      </c>
      <c r="I249" s="199" t="s">
        <v>361</v>
      </c>
      <c r="J249" s="180">
        <f>D45</f>
        <v>0</v>
      </c>
      <c r="K249" s="199" t="s">
        <v>361</v>
      </c>
    </row>
    <row r="250" spans="1:11" ht="13" x14ac:dyDescent="0.3">
      <c r="A250" s="174">
        <f>A249+1</f>
        <v>186</v>
      </c>
      <c r="B250" s="132" t="s">
        <v>7</v>
      </c>
      <c r="C250" s="179">
        <v>2018</v>
      </c>
      <c r="D250" s="182">
        <v>10309</v>
      </c>
      <c r="E250" s="180">
        <v>773.17499999999995</v>
      </c>
      <c r="F250" s="180">
        <f>E250+D250</f>
        <v>11082.174999999999</v>
      </c>
      <c r="G250" s="182">
        <v>10309</v>
      </c>
      <c r="H250" s="182">
        <v>0</v>
      </c>
      <c r="I250" s="180">
        <v>773.17499999999995</v>
      </c>
      <c r="J250" s="180">
        <f>J249+F250-G250-I250</f>
        <v>0</v>
      </c>
      <c r="K250" s="180">
        <f>J250-$J$249</f>
        <v>0</v>
      </c>
    </row>
    <row r="251" spans="1:11" ht="13" x14ac:dyDescent="0.3">
      <c r="A251" s="174">
        <f t="shared" ref="A251:A274" si="42">A250+1</f>
        <v>187</v>
      </c>
      <c r="B251" s="132" t="s">
        <v>8</v>
      </c>
      <c r="C251" s="179">
        <v>2018</v>
      </c>
      <c r="D251" s="182">
        <v>6204</v>
      </c>
      <c r="E251" s="180">
        <v>465.29999999999995</v>
      </c>
      <c r="F251" s="180">
        <f t="shared" ref="F251:F273" si="43">E251+D251</f>
        <v>6669.3</v>
      </c>
      <c r="G251" s="182">
        <v>6204</v>
      </c>
      <c r="H251" s="182">
        <v>0</v>
      </c>
      <c r="I251" s="180">
        <v>465.29999999999995</v>
      </c>
      <c r="J251" s="180">
        <f t="shared" ref="J251:J273" si="44">J250+F251-G251-I251</f>
        <v>0</v>
      </c>
      <c r="K251" s="180">
        <f t="shared" ref="K251:K273" si="45">J251-$J$249</f>
        <v>0</v>
      </c>
    </row>
    <row r="252" spans="1:11" ht="13" x14ac:dyDescent="0.3">
      <c r="A252" s="174">
        <f t="shared" si="42"/>
        <v>188</v>
      </c>
      <c r="B252" s="132" t="s">
        <v>18</v>
      </c>
      <c r="C252" s="179">
        <v>2018</v>
      </c>
      <c r="D252" s="182">
        <v>6687</v>
      </c>
      <c r="E252" s="180">
        <v>501.52499999999998</v>
      </c>
      <c r="F252" s="180">
        <f t="shared" si="43"/>
        <v>7188.5249999999996</v>
      </c>
      <c r="G252" s="182">
        <v>6687</v>
      </c>
      <c r="H252" s="182">
        <v>0</v>
      </c>
      <c r="I252" s="180">
        <v>501.52499999999998</v>
      </c>
      <c r="J252" s="180">
        <f t="shared" si="44"/>
        <v>0</v>
      </c>
      <c r="K252" s="180">
        <f t="shared" si="45"/>
        <v>0</v>
      </c>
    </row>
    <row r="253" spans="1:11" ht="13" x14ac:dyDescent="0.3">
      <c r="A253" s="174">
        <f t="shared" si="42"/>
        <v>189</v>
      </c>
      <c r="B253" s="132" t="s">
        <v>9</v>
      </c>
      <c r="C253" s="179">
        <v>2018</v>
      </c>
      <c r="D253" s="182">
        <v>0</v>
      </c>
      <c r="E253" s="180">
        <v>0</v>
      </c>
      <c r="F253" s="180">
        <f t="shared" si="43"/>
        <v>0</v>
      </c>
      <c r="G253" s="182">
        <v>0</v>
      </c>
      <c r="H253" s="182">
        <v>0</v>
      </c>
      <c r="I253" s="180">
        <v>0</v>
      </c>
      <c r="J253" s="180">
        <f t="shared" si="44"/>
        <v>0</v>
      </c>
      <c r="K253" s="180">
        <f t="shared" si="45"/>
        <v>0</v>
      </c>
    </row>
    <row r="254" spans="1:11" ht="13" x14ac:dyDescent="0.3">
      <c r="A254" s="174">
        <f t="shared" si="42"/>
        <v>190</v>
      </c>
      <c r="B254" s="132" t="s">
        <v>10</v>
      </c>
      <c r="C254" s="179">
        <v>2018</v>
      </c>
      <c r="D254" s="182">
        <v>0</v>
      </c>
      <c r="E254" s="180">
        <v>0</v>
      </c>
      <c r="F254" s="180">
        <f t="shared" si="43"/>
        <v>0</v>
      </c>
      <c r="G254" s="182">
        <v>0</v>
      </c>
      <c r="H254" s="182">
        <v>0</v>
      </c>
      <c r="I254" s="180">
        <v>0</v>
      </c>
      <c r="J254" s="180">
        <f t="shared" si="44"/>
        <v>0</v>
      </c>
      <c r="K254" s="180">
        <f t="shared" si="45"/>
        <v>0</v>
      </c>
    </row>
    <row r="255" spans="1:11" ht="13" x14ac:dyDescent="0.3">
      <c r="A255" s="174">
        <f t="shared" si="42"/>
        <v>191</v>
      </c>
      <c r="B255" s="132" t="s">
        <v>25</v>
      </c>
      <c r="C255" s="179">
        <v>2018</v>
      </c>
      <c r="D255" s="182">
        <v>0</v>
      </c>
      <c r="E255" s="180">
        <v>0</v>
      </c>
      <c r="F255" s="180">
        <f t="shared" si="43"/>
        <v>0</v>
      </c>
      <c r="G255" s="182">
        <v>0</v>
      </c>
      <c r="H255" s="182">
        <v>0</v>
      </c>
      <c r="I255" s="180">
        <v>0</v>
      </c>
      <c r="J255" s="180">
        <f t="shared" si="44"/>
        <v>0</v>
      </c>
      <c r="K255" s="180">
        <f t="shared" si="45"/>
        <v>0</v>
      </c>
    </row>
    <row r="256" spans="1:11" ht="13" x14ac:dyDescent="0.3">
      <c r="A256" s="174">
        <f t="shared" si="42"/>
        <v>192</v>
      </c>
      <c r="B256" s="132" t="s">
        <v>11</v>
      </c>
      <c r="C256" s="179">
        <v>2018</v>
      </c>
      <c r="D256" s="182">
        <v>0</v>
      </c>
      <c r="E256" s="180">
        <v>0</v>
      </c>
      <c r="F256" s="180">
        <f t="shared" si="43"/>
        <v>0</v>
      </c>
      <c r="G256" s="182">
        <v>0</v>
      </c>
      <c r="H256" s="182">
        <v>0</v>
      </c>
      <c r="I256" s="180">
        <v>0</v>
      </c>
      <c r="J256" s="180">
        <f t="shared" si="44"/>
        <v>0</v>
      </c>
      <c r="K256" s="180">
        <f t="shared" si="45"/>
        <v>0</v>
      </c>
    </row>
    <row r="257" spans="1:11" ht="13" x14ac:dyDescent="0.3">
      <c r="A257" s="174">
        <f t="shared" si="42"/>
        <v>193</v>
      </c>
      <c r="B257" s="132" t="s">
        <v>12</v>
      </c>
      <c r="C257" s="179">
        <v>2018</v>
      </c>
      <c r="D257" s="182">
        <v>0</v>
      </c>
      <c r="E257" s="180">
        <v>0</v>
      </c>
      <c r="F257" s="180">
        <f t="shared" si="43"/>
        <v>0</v>
      </c>
      <c r="G257" s="182">
        <v>0</v>
      </c>
      <c r="H257" s="182">
        <v>0</v>
      </c>
      <c r="I257" s="180">
        <v>0</v>
      </c>
      <c r="J257" s="180">
        <f t="shared" si="44"/>
        <v>0</v>
      </c>
      <c r="K257" s="180">
        <f t="shared" si="45"/>
        <v>0</v>
      </c>
    </row>
    <row r="258" spans="1:11" ht="13" x14ac:dyDescent="0.3">
      <c r="A258" s="174">
        <f t="shared" si="42"/>
        <v>194</v>
      </c>
      <c r="B258" s="132" t="s">
        <v>13</v>
      </c>
      <c r="C258" s="179">
        <v>2018</v>
      </c>
      <c r="D258" s="182">
        <v>0</v>
      </c>
      <c r="E258" s="180">
        <v>0</v>
      </c>
      <c r="F258" s="180">
        <f t="shared" si="43"/>
        <v>0</v>
      </c>
      <c r="G258" s="182">
        <v>0</v>
      </c>
      <c r="H258" s="182">
        <v>0</v>
      </c>
      <c r="I258" s="180">
        <v>0</v>
      </c>
      <c r="J258" s="180">
        <f t="shared" si="44"/>
        <v>0</v>
      </c>
      <c r="K258" s="180">
        <f t="shared" si="45"/>
        <v>0</v>
      </c>
    </row>
    <row r="259" spans="1:11" ht="13" x14ac:dyDescent="0.3">
      <c r="A259" s="174">
        <f t="shared" si="42"/>
        <v>195</v>
      </c>
      <c r="B259" s="132" t="s">
        <v>15</v>
      </c>
      <c r="C259" s="179">
        <v>2018</v>
      </c>
      <c r="D259" s="182">
        <v>0</v>
      </c>
      <c r="E259" s="180">
        <v>0</v>
      </c>
      <c r="F259" s="180">
        <f t="shared" si="43"/>
        <v>0</v>
      </c>
      <c r="G259" s="182">
        <v>0</v>
      </c>
      <c r="H259" s="182">
        <v>0</v>
      </c>
      <c r="I259" s="180">
        <v>0</v>
      </c>
      <c r="J259" s="180">
        <f t="shared" si="44"/>
        <v>0</v>
      </c>
      <c r="K259" s="180">
        <f t="shared" si="45"/>
        <v>0</v>
      </c>
    </row>
    <row r="260" spans="1:11" ht="13" x14ac:dyDescent="0.3">
      <c r="A260" s="174">
        <f t="shared" si="42"/>
        <v>196</v>
      </c>
      <c r="B260" s="132" t="s">
        <v>14</v>
      </c>
      <c r="C260" s="179">
        <v>2018</v>
      </c>
      <c r="D260" s="182">
        <v>0</v>
      </c>
      <c r="E260" s="180">
        <v>0</v>
      </c>
      <c r="F260" s="180">
        <f t="shared" si="43"/>
        <v>0</v>
      </c>
      <c r="G260" s="182">
        <v>0</v>
      </c>
      <c r="H260" s="182">
        <v>0</v>
      </c>
      <c r="I260" s="180">
        <v>0</v>
      </c>
      <c r="J260" s="180">
        <f t="shared" si="44"/>
        <v>0</v>
      </c>
      <c r="K260" s="180">
        <f t="shared" si="45"/>
        <v>0</v>
      </c>
    </row>
    <row r="261" spans="1:11" ht="13" x14ac:dyDescent="0.3">
      <c r="A261" s="174">
        <f t="shared" si="42"/>
        <v>197</v>
      </c>
      <c r="B261" s="132" t="s">
        <v>6</v>
      </c>
      <c r="C261" s="179">
        <v>2018</v>
      </c>
      <c r="D261" s="182">
        <v>0</v>
      </c>
      <c r="E261" s="180">
        <v>0</v>
      </c>
      <c r="F261" s="180">
        <f t="shared" si="43"/>
        <v>0</v>
      </c>
      <c r="G261" s="182">
        <v>0</v>
      </c>
      <c r="H261" s="182">
        <v>0</v>
      </c>
      <c r="I261" s="180">
        <v>0</v>
      </c>
      <c r="J261" s="180">
        <f t="shared" si="44"/>
        <v>0</v>
      </c>
      <c r="K261" s="180">
        <f t="shared" si="45"/>
        <v>0</v>
      </c>
    </row>
    <row r="262" spans="1:11" ht="13" x14ac:dyDescent="0.3">
      <c r="A262" s="174">
        <f t="shared" si="42"/>
        <v>198</v>
      </c>
      <c r="B262" s="132" t="s">
        <v>7</v>
      </c>
      <c r="C262" s="179">
        <v>2019</v>
      </c>
      <c r="D262" s="182">
        <v>0</v>
      </c>
      <c r="E262" s="180">
        <v>0</v>
      </c>
      <c r="F262" s="180">
        <f t="shared" si="43"/>
        <v>0</v>
      </c>
      <c r="G262" s="182">
        <v>0</v>
      </c>
      <c r="H262" s="182">
        <v>0</v>
      </c>
      <c r="I262" s="180">
        <v>0</v>
      </c>
      <c r="J262" s="180">
        <f t="shared" si="44"/>
        <v>0</v>
      </c>
      <c r="K262" s="180">
        <f t="shared" si="45"/>
        <v>0</v>
      </c>
    </row>
    <row r="263" spans="1:11" ht="13" x14ac:dyDescent="0.3">
      <c r="A263" s="174">
        <f t="shared" si="42"/>
        <v>199</v>
      </c>
      <c r="B263" s="132" t="s">
        <v>8</v>
      </c>
      <c r="C263" s="179">
        <v>2019</v>
      </c>
      <c r="D263" s="182">
        <v>0</v>
      </c>
      <c r="E263" s="180">
        <v>0</v>
      </c>
      <c r="F263" s="180">
        <f t="shared" si="43"/>
        <v>0</v>
      </c>
      <c r="G263" s="182">
        <v>0</v>
      </c>
      <c r="H263" s="182">
        <v>0</v>
      </c>
      <c r="I263" s="180">
        <v>0</v>
      </c>
      <c r="J263" s="180">
        <f t="shared" si="44"/>
        <v>0</v>
      </c>
      <c r="K263" s="180">
        <f t="shared" si="45"/>
        <v>0</v>
      </c>
    </row>
    <row r="264" spans="1:11" ht="13" x14ac:dyDescent="0.3">
      <c r="A264" s="174">
        <f t="shared" si="42"/>
        <v>200</v>
      </c>
      <c r="B264" s="132" t="s">
        <v>18</v>
      </c>
      <c r="C264" s="179">
        <v>2019</v>
      </c>
      <c r="D264" s="182">
        <v>0</v>
      </c>
      <c r="E264" s="180">
        <v>0</v>
      </c>
      <c r="F264" s="180">
        <f t="shared" si="43"/>
        <v>0</v>
      </c>
      <c r="G264" s="182">
        <v>0</v>
      </c>
      <c r="H264" s="182">
        <v>0</v>
      </c>
      <c r="I264" s="180">
        <v>0</v>
      </c>
      <c r="J264" s="180">
        <f t="shared" si="44"/>
        <v>0</v>
      </c>
      <c r="K264" s="180">
        <f t="shared" si="45"/>
        <v>0</v>
      </c>
    </row>
    <row r="265" spans="1:11" ht="13" x14ac:dyDescent="0.3">
      <c r="A265" s="174">
        <f t="shared" si="42"/>
        <v>201</v>
      </c>
      <c r="B265" s="132" t="s">
        <v>9</v>
      </c>
      <c r="C265" s="179">
        <v>2019</v>
      </c>
      <c r="D265" s="182">
        <v>0</v>
      </c>
      <c r="E265" s="180">
        <v>0</v>
      </c>
      <c r="F265" s="180">
        <f t="shared" si="43"/>
        <v>0</v>
      </c>
      <c r="G265" s="182">
        <v>0</v>
      </c>
      <c r="H265" s="182">
        <v>0</v>
      </c>
      <c r="I265" s="180">
        <v>0</v>
      </c>
      <c r="J265" s="180">
        <f t="shared" si="44"/>
        <v>0</v>
      </c>
      <c r="K265" s="180">
        <f t="shared" si="45"/>
        <v>0</v>
      </c>
    </row>
    <row r="266" spans="1:11" ht="13" x14ac:dyDescent="0.3">
      <c r="A266" s="174">
        <f t="shared" si="42"/>
        <v>202</v>
      </c>
      <c r="B266" s="132" t="s">
        <v>10</v>
      </c>
      <c r="C266" s="179">
        <v>2019</v>
      </c>
      <c r="D266" s="182">
        <v>0</v>
      </c>
      <c r="E266" s="180">
        <v>0</v>
      </c>
      <c r="F266" s="180">
        <f t="shared" si="43"/>
        <v>0</v>
      </c>
      <c r="G266" s="182">
        <v>0</v>
      </c>
      <c r="H266" s="182">
        <v>0</v>
      </c>
      <c r="I266" s="180">
        <v>0</v>
      </c>
      <c r="J266" s="180">
        <f t="shared" si="44"/>
        <v>0</v>
      </c>
      <c r="K266" s="180">
        <f t="shared" si="45"/>
        <v>0</v>
      </c>
    </row>
    <row r="267" spans="1:11" ht="13" x14ac:dyDescent="0.3">
      <c r="A267" s="174">
        <f t="shared" si="42"/>
        <v>203</v>
      </c>
      <c r="B267" s="132" t="s">
        <v>25</v>
      </c>
      <c r="C267" s="179">
        <v>2019</v>
      </c>
      <c r="D267" s="182">
        <v>0</v>
      </c>
      <c r="E267" s="180">
        <v>0</v>
      </c>
      <c r="F267" s="180">
        <f t="shared" si="43"/>
        <v>0</v>
      </c>
      <c r="G267" s="182">
        <v>0</v>
      </c>
      <c r="H267" s="182">
        <v>0</v>
      </c>
      <c r="I267" s="180">
        <v>0</v>
      </c>
      <c r="J267" s="180">
        <f t="shared" si="44"/>
        <v>0</v>
      </c>
      <c r="K267" s="180">
        <f t="shared" si="45"/>
        <v>0</v>
      </c>
    </row>
    <row r="268" spans="1:11" ht="13" x14ac:dyDescent="0.3">
      <c r="A268" s="174">
        <f t="shared" si="42"/>
        <v>204</v>
      </c>
      <c r="B268" s="132" t="s">
        <v>11</v>
      </c>
      <c r="C268" s="179">
        <v>2019</v>
      </c>
      <c r="D268" s="182">
        <v>0</v>
      </c>
      <c r="E268" s="180">
        <v>0</v>
      </c>
      <c r="F268" s="180">
        <f t="shared" si="43"/>
        <v>0</v>
      </c>
      <c r="G268" s="182">
        <v>0</v>
      </c>
      <c r="H268" s="182">
        <v>0</v>
      </c>
      <c r="I268" s="180">
        <v>0</v>
      </c>
      <c r="J268" s="180">
        <f t="shared" si="44"/>
        <v>0</v>
      </c>
      <c r="K268" s="180">
        <f t="shared" si="45"/>
        <v>0</v>
      </c>
    </row>
    <row r="269" spans="1:11" ht="13" x14ac:dyDescent="0.3">
      <c r="A269" s="174">
        <f t="shared" si="42"/>
        <v>205</v>
      </c>
      <c r="B269" s="132" t="s">
        <v>12</v>
      </c>
      <c r="C269" s="179">
        <v>2019</v>
      </c>
      <c r="D269" s="182">
        <v>0</v>
      </c>
      <c r="E269" s="180">
        <v>0</v>
      </c>
      <c r="F269" s="180">
        <f t="shared" si="43"/>
        <v>0</v>
      </c>
      <c r="G269" s="182">
        <v>0</v>
      </c>
      <c r="H269" s="182">
        <v>0</v>
      </c>
      <c r="I269" s="180">
        <v>0</v>
      </c>
      <c r="J269" s="180">
        <f t="shared" si="44"/>
        <v>0</v>
      </c>
      <c r="K269" s="180">
        <f t="shared" si="45"/>
        <v>0</v>
      </c>
    </row>
    <row r="270" spans="1:11" ht="13" x14ac:dyDescent="0.3">
      <c r="A270" s="174">
        <f t="shared" si="42"/>
        <v>206</v>
      </c>
      <c r="B270" s="132" t="s">
        <v>13</v>
      </c>
      <c r="C270" s="179">
        <v>2019</v>
      </c>
      <c r="D270" s="182">
        <v>0</v>
      </c>
      <c r="E270" s="180">
        <v>0</v>
      </c>
      <c r="F270" s="180">
        <f t="shared" si="43"/>
        <v>0</v>
      </c>
      <c r="G270" s="182">
        <v>0</v>
      </c>
      <c r="H270" s="182">
        <v>0</v>
      </c>
      <c r="I270" s="180">
        <v>0</v>
      </c>
      <c r="J270" s="180">
        <f t="shared" si="44"/>
        <v>0</v>
      </c>
      <c r="K270" s="180">
        <f t="shared" si="45"/>
        <v>0</v>
      </c>
    </row>
    <row r="271" spans="1:11" ht="13" x14ac:dyDescent="0.3">
      <c r="A271" s="174">
        <f t="shared" si="42"/>
        <v>207</v>
      </c>
      <c r="B271" s="132" t="s">
        <v>15</v>
      </c>
      <c r="C271" s="179">
        <v>2019</v>
      </c>
      <c r="D271" s="182">
        <v>0</v>
      </c>
      <c r="E271" s="180">
        <v>0</v>
      </c>
      <c r="F271" s="180">
        <f t="shared" si="43"/>
        <v>0</v>
      </c>
      <c r="G271" s="182">
        <v>0</v>
      </c>
      <c r="H271" s="182">
        <v>0</v>
      </c>
      <c r="I271" s="180">
        <v>0</v>
      </c>
      <c r="J271" s="180">
        <f t="shared" si="44"/>
        <v>0</v>
      </c>
      <c r="K271" s="180">
        <f t="shared" si="45"/>
        <v>0</v>
      </c>
    </row>
    <row r="272" spans="1:11" ht="13" x14ac:dyDescent="0.3">
      <c r="A272" s="174">
        <f t="shared" si="42"/>
        <v>208</v>
      </c>
      <c r="B272" s="132" t="s">
        <v>14</v>
      </c>
      <c r="C272" s="179">
        <v>2019</v>
      </c>
      <c r="D272" s="182">
        <v>0</v>
      </c>
      <c r="E272" s="180">
        <v>0</v>
      </c>
      <c r="F272" s="180">
        <f t="shared" si="43"/>
        <v>0</v>
      </c>
      <c r="G272" s="182">
        <v>0</v>
      </c>
      <c r="H272" s="182">
        <v>0</v>
      </c>
      <c r="I272" s="180">
        <v>0</v>
      </c>
      <c r="J272" s="180">
        <f t="shared" si="44"/>
        <v>0</v>
      </c>
      <c r="K272" s="180">
        <f t="shared" si="45"/>
        <v>0</v>
      </c>
    </row>
    <row r="273" spans="1:13" ht="13" x14ac:dyDescent="0.3">
      <c r="A273" s="174">
        <f t="shared" si="42"/>
        <v>209</v>
      </c>
      <c r="B273" s="132" t="s">
        <v>6</v>
      </c>
      <c r="C273" s="179">
        <v>2019</v>
      </c>
      <c r="D273" s="182">
        <v>0</v>
      </c>
      <c r="E273" s="180">
        <v>0</v>
      </c>
      <c r="F273" s="180">
        <f t="shared" si="43"/>
        <v>0</v>
      </c>
      <c r="G273" s="182">
        <v>0</v>
      </c>
      <c r="H273" s="182">
        <v>0</v>
      </c>
      <c r="I273" s="180">
        <v>0</v>
      </c>
      <c r="J273" s="180">
        <f t="shared" si="44"/>
        <v>0</v>
      </c>
      <c r="K273" s="184">
        <f t="shared" si="45"/>
        <v>0</v>
      </c>
    </row>
    <row r="274" spans="1:13" ht="13" x14ac:dyDescent="0.3">
      <c r="A274" s="174">
        <f t="shared" si="42"/>
        <v>210</v>
      </c>
      <c r="C274" s="204" t="s">
        <v>380</v>
      </c>
      <c r="K274" s="205">
        <f>AVERAGE(K261:K273)</f>
        <v>0</v>
      </c>
    </row>
    <row r="275" spans="1:13" ht="12.75" customHeight="1" x14ac:dyDescent="0.3">
      <c r="A275" s="174"/>
      <c r="C275" s="204"/>
      <c r="K275" s="205"/>
    </row>
    <row r="276" spans="1:13" ht="13" x14ac:dyDescent="0.3">
      <c r="B276" s="207" t="s">
        <v>398</v>
      </c>
      <c r="D276" s="280" t="s">
        <v>399</v>
      </c>
      <c r="E276" s="280"/>
    </row>
    <row r="277" spans="1:13" ht="13" x14ac:dyDescent="0.3">
      <c r="D277" s="171"/>
      <c r="E277" s="208"/>
      <c r="F277" s="199"/>
      <c r="G277" s="174" t="str">
        <f>G51</f>
        <v>Unloaded</v>
      </c>
      <c r="H277" s="171"/>
      <c r="I277" s="208"/>
      <c r="J277" s="208"/>
      <c r="K277" s="208"/>
    </row>
    <row r="278" spans="1:13" ht="13" x14ac:dyDescent="0.3">
      <c r="A278" s="174"/>
      <c r="B278" s="174"/>
      <c r="C278" s="174"/>
      <c r="D278" s="174" t="str">
        <f>D$52</f>
        <v>Forecast</v>
      </c>
      <c r="E278" s="174" t="str">
        <f t="shared" ref="E278:J278" si="46">E$52</f>
        <v>Corporate</v>
      </c>
      <c r="F278" s="174" t="str">
        <f t="shared" si="46"/>
        <v xml:space="preserve">Total </v>
      </c>
      <c r="G278" s="174" t="str">
        <f>G52</f>
        <v>Total</v>
      </c>
      <c r="H278" s="174" t="str">
        <f t="shared" si="46"/>
        <v>Prior Period</v>
      </c>
      <c r="I278" s="174" t="str">
        <f t="shared" si="46"/>
        <v>Over Heads</v>
      </c>
      <c r="J278" s="174" t="str">
        <f t="shared" si="46"/>
        <v>Forecast</v>
      </c>
      <c r="K278" s="174" t="str">
        <f>K$52</f>
        <v>Forecast Period</v>
      </c>
    </row>
    <row r="279" spans="1:13" ht="13" x14ac:dyDescent="0.3">
      <c r="A279" s="176" t="s">
        <v>336</v>
      </c>
      <c r="B279" s="134" t="s">
        <v>16</v>
      </c>
      <c r="C279" s="134" t="s">
        <v>17</v>
      </c>
      <c r="D279" s="177" t="str">
        <f>D$53</f>
        <v>Expenditures</v>
      </c>
      <c r="E279" s="177" t="str">
        <f t="shared" ref="E279:J279" si="47">E$53</f>
        <v>Overheads</v>
      </c>
      <c r="F279" s="177" t="str">
        <f t="shared" si="47"/>
        <v>CWIP Exp</v>
      </c>
      <c r="G279" s="177" t="str">
        <f>G53</f>
        <v>Plant Adds</v>
      </c>
      <c r="H279" s="177" t="str">
        <f t="shared" si="47"/>
        <v>CWIP Closed</v>
      </c>
      <c r="I279" s="177" t="str">
        <f t="shared" si="47"/>
        <v>Closed to PIS</v>
      </c>
      <c r="J279" s="177" t="str">
        <f t="shared" si="47"/>
        <v>Period CWIP</v>
      </c>
      <c r="K279" s="177" t="str">
        <f>K$53</f>
        <v>Incremental CWIP</v>
      </c>
    </row>
    <row r="280" spans="1:13" ht="13" x14ac:dyDescent="0.3">
      <c r="A280" s="174">
        <f>A274+1</f>
        <v>211</v>
      </c>
      <c r="B280" s="132" t="s">
        <v>6</v>
      </c>
      <c r="C280" s="179">
        <v>2017</v>
      </c>
      <c r="D280" s="199" t="s">
        <v>361</v>
      </c>
      <c r="E280" s="199" t="s">
        <v>361</v>
      </c>
      <c r="F280" s="199" t="s">
        <v>361</v>
      </c>
      <c r="G280" s="199" t="s">
        <v>361</v>
      </c>
      <c r="H280" s="199" t="s">
        <v>361</v>
      </c>
      <c r="I280" s="199" t="s">
        <v>361</v>
      </c>
      <c r="J280" s="180">
        <f>E45</f>
        <v>0</v>
      </c>
      <c r="K280" s="199" t="s">
        <v>361</v>
      </c>
    </row>
    <row r="281" spans="1:13" ht="13" x14ac:dyDescent="0.3">
      <c r="A281" s="174">
        <f>A280+1</f>
        <v>212</v>
      </c>
      <c r="B281" s="132" t="s">
        <v>7</v>
      </c>
      <c r="C281" s="179">
        <v>2018</v>
      </c>
      <c r="D281" s="182">
        <v>728</v>
      </c>
      <c r="E281" s="180">
        <v>54.6</v>
      </c>
      <c r="F281" s="180">
        <f>E281+D281</f>
        <v>782.6</v>
      </c>
      <c r="G281" s="182">
        <v>728</v>
      </c>
      <c r="H281" s="182">
        <v>0</v>
      </c>
      <c r="I281" s="180">
        <v>54.6</v>
      </c>
      <c r="J281" s="180">
        <f>J280+F281-G281-I281</f>
        <v>0</v>
      </c>
      <c r="K281" s="180">
        <f>J281-$J$280</f>
        <v>0</v>
      </c>
    </row>
    <row r="282" spans="1:13" ht="13" x14ac:dyDescent="0.3">
      <c r="A282" s="174">
        <f t="shared" ref="A282:A305" si="48">A281+1</f>
        <v>213</v>
      </c>
      <c r="B282" s="132" t="s">
        <v>8</v>
      </c>
      <c r="C282" s="179">
        <v>2018</v>
      </c>
      <c r="D282" s="182">
        <v>1158</v>
      </c>
      <c r="E282" s="180">
        <v>86.85</v>
      </c>
      <c r="F282" s="180">
        <f t="shared" ref="F282:F304" si="49">E282+D282</f>
        <v>1244.8499999999999</v>
      </c>
      <c r="G282" s="182">
        <v>1158</v>
      </c>
      <c r="H282" s="182">
        <v>0</v>
      </c>
      <c r="I282" s="180">
        <v>86.85</v>
      </c>
      <c r="J282" s="180">
        <f t="shared" ref="J282:J304" si="50">J281+F282-G282-I282</f>
        <v>0</v>
      </c>
      <c r="K282" s="180">
        <f t="shared" ref="K282:K304" si="51">J282-$J$280</f>
        <v>0</v>
      </c>
    </row>
    <row r="283" spans="1:13" ht="13" x14ac:dyDescent="0.3">
      <c r="A283" s="174">
        <f t="shared" si="48"/>
        <v>214</v>
      </c>
      <c r="B283" s="132" t="s">
        <v>18</v>
      </c>
      <c r="C283" s="179">
        <v>2018</v>
      </c>
      <c r="D283" s="182">
        <v>780</v>
      </c>
      <c r="E283" s="180">
        <v>58.5</v>
      </c>
      <c r="F283" s="180">
        <f t="shared" si="49"/>
        <v>838.5</v>
      </c>
      <c r="G283" s="182">
        <v>780</v>
      </c>
      <c r="H283" s="182">
        <v>0</v>
      </c>
      <c r="I283" s="180">
        <v>58.5</v>
      </c>
      <c r="J283" s="180">
        <f t="shared" si="50"/>
        <v>0</v>
      </c>
      <c r="K283" s="180">
        <f t="shared" si="51"/>
        <v>0</v>
      </c>
    </row>
    <row r="284" spans="1:13" ht="13" x14ac:dyDescent="0.3">
      <c r="A284" s="174">
        <f t="shared" si="48"/>
        <v>215</v>
      </c>
      <c r="B284" s="132" t="s">
        <v>9</v>
      </c>
      <c r="C284" s="179">
        <v>2018</v>
      </c>
      <c r="D284" s="182">
        <v>0</v>
      </c>
      <c r="E284" s="180">
        <v>0</v>
      </c>
      <c r="F284" s="180">
        <f t="shared" si="49"/>
        <v>0</v>
      </c>
      <c r="G284" s="182">
        <v>0</v>
      </c>
      <c r="H284" s="182">
        <v>0</v>
      </c>
      <c r="I284" s="180">
        <v>0</v>
      </c>
      <c r="J284" s="180">
        <f t="shared" si="50"/>
        <v>0</v>
      </c>
      <c r="K284" s="180">
        <f t="shared" si="51"/>
        <v>0</v>
      </c>
    </row>
    <row r="285" spans="1:13" ht="13" x14ac:dyDescent="0.3">
      <c r="A285" s="174">
        <f t="shared" si="48"/>
        <v>216</v>
      </c>
      <c r="B285" s="132" t="s">
        <v>10</v>
      </c>
      <c r="C285" s="179">
        <v>2018</v>
      </c>
      <c r="D285" s="182">
        <v>0</v>
      </c>
      <c r="E285" s="180">
        <v>0</v>
      </c>
      <c r="F285" s="180">
        <f t="shared" si="49"/>
        <v>0</v>
      </c>
      <c r="G285" s="182">
        <v>0</v>
      </c>
      <c r="H285" s="182">
        <v>0</v>
      </c>
      <c r="I285" s="180">
        <v>0</v>
      </c>
      <c r="J285" s="180">
        <f t="shared" si="50"/>
        <v>0</v>
      </c>
      <c r="K285" s="180">
        <f t="shared" si="51"/>
        <v>0</v>
      </c>
      <c r="L285" s="174"/>
      <c r="M285" s="174"/>
    </row>
    <row r="286" spans="1:13" ht="13" x14ac:dyDescent="0.3">
      <c r="A286" s="174">
        <f t="shared" si="48"/>
        <v>217</v>
      </c>
      <c r="B286" s="132" t="s">
        <v>25</v>
      </c>
      <c r="C286" s="179">
        <v>2018</v>
      </c>
      <c r="D286" s="182">
        <v>334</v>
      </c>
      <c r="E286" s="180">
        <v>25.05</v>
      </c>
      <c r="F286" s="180">
        <f t="shared" si="49"/>
        <v>359.05</v>
      </c>
      <c r="G286" s="182">
        <v>334</v>
      </c>
      <c r="H286" s="182">
        <v>0</v>
      </c>
      <c r="I286" s="180">
        <v>25.05</v>
      </c>
      <c r="J286" s="180">
        <f t="shared" si="50"/>
        <v>0</v>
      </c>
      <c r="K286" s="180">
        <f t="shared" si="51"/>
        <v>0</v>
      </c>
      <c r="L286" s="177"/>
      <c r="M286" s="177"/>
    </row>
    <row r="287" spans="1:13" ht="13" x14ac:dyDescent="0.3">
      <c r="A287" s="174">
        <f t="shared" si="48"/>
        <v>218</v>
      </c>
      <c r="B287" s="132" t="s">
        <v>11</v>
      </c>
      <c r="C287" s="179">
        <v>2018</v>
      </c>
      <c r="D287" s="182">
        <v>0</v>
      </c>
      <c r="E287" s="180">
        <v>0</v>
      </c>
      <c r="F287" s="180">
        <f t="shared" si="49"/>
        <v>0</v>
      </c>
      <c r="G287" s="182">
        <v>0</v>
      </c>
      <c r="H287" s="182">
        <v>0</v>
      </c>
      <c r="I287" s="180">
        <v>0</v>
      </c>
      <c r="J287" s="180">
        <f t="shared" si="50"/>
        <v>0</v>
      </c>
      <c r="K287" s="180">
        <f t="shared" si="51"/>
        <v>0</v>
      </c>
    </row>
    <row r="288" spans="1:13" ht="13" x14ac:dyDescent="0.3">
      <c r="A288" s="174">
        <f t="shared" si="48"/>
        <v>219</v>
      </c>
      <c r="B288" s="132" t="s">
        <v>12</v>
      </c>
      <c r="C288" s="179">
        <v>2018</v>
      </c>
      <c r="D288" s="182">
        <v>0</v>
      </c>
      <c r="E288" s="180">
        <v>0</v>
      </c>
      <c r="F288" s="180">
        <f t="shared" si="49"/>
        <v>0</v>
      </c>
      <c r="G288" s="182">
        <v>0</v>
      </c>
      <c r="H288" s="182">
        <v>0</v>
      </c>
      <c r="I288" s="180">
        <v>0</v>
      </c>
      <c r="J288" s="180">
        <f t="shared" si="50"/>
        <v>0</v>
      </c>
      <c r="K288" s="180">
        <f t="shared" si="51"/>
        <v>0</v>
      </c>
    </row>
    <row r="289" spans="1:11" ht="13" x14ac:dyDescent="0.3">
      <c r="A289" s="174">
        <f t="shared" si="48"/>
        <v>220</v>
      </c>
      <c r="B289" s="132" t="s">
        <v>13</v>
      </c>
      <c r="C289" s="179">
        <v>2018</v>
      </c>
      <c r="D289" s="182">
        <v>0</v>
      </c>
      <c r="E289" s="180">
        <v>0</v>
      </c>
      <c r="F289" s="180">
        <f t="shared" si="49"/>
        <v>0</v>
      </c>
      <c r="G289" s="182">
        <v>0</v>
      </c>
      <c r="H289" s="182">
        <v>0</v>
      </c>
      <c r="I289" s="180">
        <v>0</v>
      </c>
      <c r="J289" s="180">
        <f t="shared" si="50"/>
        <v>0</v>
      </c>
      <c r="K289" s="180">
        <f t="shared" si="51"/>
        <v>0</v>
      </c>
    </row>
    <row r="290" spans="1:11" ht="13" x14ac:dyDescent="0.3">
      <c r="A290" s="174">
        <f t="shared" si="48"/>
        <v>221</v>
      </c>
      <c r="B290" s="132" t="s">
        <v>15</v>
      </c>
      <c r="C290" s="179">
        <v>2018</v>
      </c>
      <c r="D290" s="182">
        <v>0</v>
      </c>
      <c r="E290" s="180">
        <v>0</v>
      </c>
      <c r="F290" s="180">
        <f t="shared" si="49"/>
        <v>0</v>
      </c>
      <c r="G290" s="182">
        <v>0</v>
      </c>
      <c r="H290" s="182">
        <v>0</v>
      </c>
      <c r="I290" s="180">
        <v>0</v>
      </c>
      <c r="J290" s="180">
        <f t="shared" si="50"/>
        <v>0</v>
      </c>
      <c r="K290" s="180">
        <f t="shared" si="51"/>
        <v>0</v>
      </c>
    </row>
    <row r="291" spans="1:11" ht="13" x14ac:dyDescent="0.3">
      <c r="A291" s="174">
        <f t="shared" si="48"/>
        <v>222</v>
      </c>
      <c r="B291" s="132" t="s">
        <v>14</v>
      </c>
      <c r="C291" s="179">
        <v>2018</v>
      </c>
      <c r="D291" s="182">
        <v>0</v>
      </c>
      <c r="E291" s="180">
        <v>0</v>
      </c>
      <c r="F291" s="180">
        <f t="shared" si="49"/>
        <v>0</v>
      </c>
      <c r="G291" s="182">
        <v>0</v>
      </c>
      <c r="H291" s="182">
        <v>0</v>
      </c>
      <c r="I291" s="180">
        <v>0</v>
      </c>
      <c r="J291" s="180">
        <f t="shared" si="50"/>
        <v>0</v>
      </c>
      <c r="K291" s="180">
        <f t="shared" si="51"/>
        <v>0</v>
      </c>
    </row>
    <row r="292" spans="1:11" ht="13" x14ac:dyDescent="0.3">
      <c r="A292" s="174">
        <f t="shared" si="48"/>
        <v>223</v>
      </c>
      <c r="B292" s="132" t="s">
        <v>6</v>
      </c>
      <c r="C292" s="179">
        <v>2018</v>
      </c>
      <c r="D292" s="182">
        <v>0</v>
      </c>
      <c r="E292" s="180">
        <v>0</v>
      </c>
      <c r="F292" s="180">
        <f t="shared" si="49"/>
        <v>0</v>
      </c>
      <c r="G292" s="182">
        <v>0</v>
      </c>
      <c r="H292" s="182">
        <v>0</v>
      </c>
      <c r="I292" s="180">
        <v>0</v>
      </c>
      <c r="J292" s="180">
        <f t="shared" si="50"/>
        <v>0</v>
      </c>
      <c r="K292" s="180">
        <f t="shared" si="51"/>
        <v>0</v>
      </c>
    </row>
    <row r="293" spans="1:11" ht="13" x14ac:dyDescent="0.3">
      <c r="A293" s="174">
        <f t="shared" si="48"/>
        <v>224</v>
      </c>
      <c r="B293" s="132" t="s">
        <v>7</v>
      </c>
      <c r="C293" s="179">
        <v>2019</v>
      </c>
      <c r="D293" s="182">
        <v>0</v>
      </c>
      <c r="E293" s="180">
        <v>0</v>
      </c>
      <c r="F293" s="180">
        <f t="shared" si="49"/>
        <v>0</v>
      </c>
      <c r="G293" s="182">
        <v>0</v>
      </c>
      <c r="H293" s="182">
        <v>0</v>
      </c>
      <c r="I293" s="180">
        <v>0</v>
      </c>
      <c r="J293" s="180">
        <f t="shared" si="50"/>
        <v>0</v>
      </c>
      <c r="K293" s="180">
        <f t="shared" si="51"/>
        <v>0</v>
      </c>
    </row>
    <row r="294" spans="1:11" ht="13" x14ac:dyDescent="0.3">
      <c r="A294" s="174">
        <f t="shared" si="48"/>
        <v>225</v>
      </c>
      <c r="B294" s="132" t="s">
        <v>8</v>
      </c>
      <c r="C294" s="179">
        <v>2019</v>
      </c>
      <c r="D294" s="182">
        <v>0</v>
      </c>
      <c r="E294" s="180">
        <v>0</v>
      </c>
      <c r="F294" s="180">
        <f t="shared" si="49"/>
        <v>0</v>
      </c>
      <c r="G294" s="182">
        <v>0</v>
      </c>
      <c r="H294" s="182">
        <v>0</v>
      </c>
      <c r="I294" s="180">
        <v>0</v>
      </c>
      <c r="J294" s="180">
        <f t="shared" si="50"/>
        <v>0</v>
      </c>
      <c r="K294" s="180">
        <f t="shared" si="51"/>
        <v>0</v>
      </c>
    </row>
    <row r="295" spans="1:11" ht="13" x14ac:dyDescent="0.3">
      <c r="A295" s="174">
        <f t="shared" si="48"/>
        <v>226</v>
      </c>
      <c r="B295" s="132" t="s">
        <v>18</v>
      </c>
      <c r="C295" s="179">
        <v>2019</v>
      </c>
      <c r="D295" s="182">
        <v>0</v>
      </c>
      <c r="E295" s="180">
        <v>0</v>
      </c>
      <c r="F295" s="180">
        <f t="shared" si="49"/>
        <v>0</v>
      </c>
      <c r="G295" s="182">
        <v>0</v>
      </c>
      <c r="H295" s="182">
        <v>0</v>
      </c>
      <c r="I295" s="180">
        <v>0</v>
      </c>
      <c r="J295" s="180">
        <f t="shared" si="50"/>
        <v>0</v>
      </c>
      <c r="K295" s="180">
        <f t="shared" si="51"/>
        <v>0</v>
      </c>
    </row>
    <row r="296" spans="1:11" ht="13" x14ac:dyDescent="0.3">
      <c r="A296" s="174">
        <f t="shared" si="48"/>
        <v>227</v>
      </c>
      <c r="B296" s="132" t="s">
        <v>9</v>
      </c>
      <c r="C296" s="179">
        <v>2019</v>
      </c>
      <c r="D296" s="182">
        <v>0</v>
      </c>
      <c r="E296" s="180">
        <v>0</v>
      </c>
      <c r="F296" s="180">
        <f t="shared" si="49"/>
        <v>0</v>
      </c>
      <c r="G296" s="182">
        <v>0</v>
      </c>
      <c r="H296" s="182">
        <v>0</v>
      </c>
      <c r="I296" s="180">
        <v>0</v>
      </c>
      <c r="J296" s="180">
        <f t="shared" si="50"/>
        <v>0</v>
      </c>
      <c r="K296" s="180">
        <f t="shared" si="51"/>
        <v>0</v>
      </c>
    </row>
    <row r="297" spans="1:11" ht="13" x14ac:dyDescent="0.3">
      <c r="A297" s="174">
        <f t="shared" si="48"/>
        <v>228</v>
      </c>
      <c r="B297" s="132" t="s">
        <v>10</v>
      </c>
      <c r="C297" s="179">
        <v>2019</v>
      </c>
      <c r="D297" s="182">
        <v>0</v>
      </c>
      <c r="E297" s="180">
        <v>0</v>
      </c>
      <c r="F297" s="180">
        <f t="shared" si="49"/>
        <v>0</v>
      </c>
      <c r="G297" s="182">
        <v>0</v>
      </c>
      <c r="H297" s="182">
        <v>0</v>
      </c>
      <c r="I297" s="180">
        <v>0</v>
      </c>
      <c r="J297" s="180">
        <f t="shared" si="50"/>
        <v>0</v>
      </c>
      <c r="K297" s="180">
        <f t="shared" si="51"/>
        <v>0</v>
      </c>
    </row>
    <row r="298" spans="1:11" ht="13" x14ac:dyDescent="0.3">
      <c r="A298" s="174">
        <f t="shared" si="48"/>
        <v>229</v>
      </c>
      <c r="B298" s="132" t="s">
        <v>25</v>
      </c>
      <c r="C298" s="179">
        <v>2019</v>
      </c>
      <c r="D298" s="182">
        <v>0</v>
      </c>
      <c r="E298" s="180">
        <v>0</v>
      </c>
      <c r="F298" s="180">
        <f t="shared" si="49"/>
        <v>0</v>
      </c>
      <c r="G298" s="182">
        <v>0</v>
      </c>
      <c r="H298" s="182">
        <v>0</v>
      </c>
      <c r="I298" s="180">
        <v>0</v>
      </c>
      <c r="J298" s="180">
        <f t="shared" si="50"/>
        <v>0</v>
      </c>
      <c r="K298" s="180">
        <f t="shared" si="51"/>
        <v>0</v>
      </c>
    </row>
    <row r="299" spans="1:11" ht="13" x14ac:dyDescent="0.3">
      <c r="A299" s="174">
        <f t="shared" si="48"/>
        <v>230</v>
      </c>
      <c r="B299" s="132" t="s">
        <v>11</v>
      </c>
      <c r="C299" s="179">
        <v>2019</v>
      </c>
      <c r="D299" s="182">
        <v>0</v>
      </c>
      <c r="E299" s="180">
        <v>0</v>
      </c>
      <c r="F299" s="180">
        <f t="shared" si="49"/>
        <v>0</v>
      </c>
      <c r="G299" s="182">
        <v>0</v>
      </c>
      <c r="H299" s="182">
        <v>0</v>
      </c>
      <c r="I299" s="180">
        <v>0</v>
      </c>
      <c r="J299" s="180">
        <f t="shared" si="50"/>
        <v>0</v>
      </c>
      <c r="K299" s="180">
        <f t="shared" si="51"/>
        <v>0</v>
      </c>
    </row>
    <row r="300" spans="1:11" ht="13" x14ac:dyDescent="0.3">
      <c r="A300" s="174">
        <f t="shared" si="48"/>
        <v>231</v>
      </c>
      <c r="B300" s="132" t="s">
        <v>12</v>
      </c>
      <c r="C300" s="179">
        <v>2019</v>
      </c>
      <c r="D300" s="182">
        <v>0</v>
      </c>
      <c r="E300" s="180">
        <v>0</v>
      </c>
      <c r="F300" s="180">
        <f t="shared" si="49"/>
        <v>0</v>
      </c>
      <c r="G300" s="182">
        <v>0</v>
      </c>
      <c r="H300" s="182">
        <v>0</v>
      </c>
      <c r="I300" s="180">
        <v>0</v>
      </c>
      <c r="J300" s="180">
        <f t="shared" si="50"/>
        <v>0</v>
      </c>
      <c r="K300" s="180">
        <f t="shared" si="51"/>
        <v>0</v>
      </c>
    </row>
    <row r="301" spans="1:11" ht="13" x14ac:dyDescent="0.3">
      <c r="A301" s="174">
        <f t="shared" si="48"/>
        <v>232</v>
      </c>
      <c r="B301" s="132" t="s">
        <v>13</v>
      </c>
      <c r="C301" s="179">
        <v>2019</v>
      </c>
      <c r="D301" s="182">
        <v>0</v>
      </c>
      <c r="E301" s="180">
        <v>0</v>
      </c>
      <c r="F301" s="180">
        <f t="shared" si="49"/>
        <v>0</v>
      </c>
      <c r="G301" s="182">
        <v>0</v>
      </c>
      <c r="H301" s="182">
        <v>0</v>
      </c>
      <c r="I301" s="180">
        <v>0</v>
      </c>
      <c r="J301" s="180">
        <f t="shared" si="50"/>
        <v>0</v>
      </c>
      <c r="K301" s="180">
        <f t="shared" si="51"/>
        <v>0</v>
      </c>
    </row>
    <row r="302" spans="1:11" ht="13" x14ac:dyDescent="0.3">
      <c r="A302" s="174">
        <f t="shared" si="48"/>
        <v>233</v>
      </c>
      <c r="B302" s="132" t="s">
        <v>15</v>
      </c>
      <c r="C302" s="179">
        <v>2019</v>
      </c>
      <c r="D302" s="182">
        <v>0</v>
      </c>
      <c r="E302" s="180">
        <v>0</v>
      </c>
      <c r="F302" s="180">
        <f t="shared" si="49"/>
        <v>0</v>
      </c>
      <c r="G302" s="182">
        <v>0</v>
      </c>
      <c r="H302" s="182">
        <v>0</v>
      </c>
      <c r="I302" s="180">
        <v>0</v>
      </c>
      <c r="J302" s="180">
        <f t="shared" si="50"/>
        <v>0</v>
      </c>
      <c r="K302" s="180">
        <f t="shared" si="51"/>
        <v>0</v>
      </c>
    </row>
    <row r="303" spans="1:11" ht="13" x14ac:dyDescent="0.3">
      <c r="A303" s="174">
        <f t="shared" si="48"/>
        <v>234</v>
      </c>
      <c r="B303" s="132" t="s">
        <v>14</v>
      </c>
      <c r="C303" s="179">
        <v>2019</v>
      </c>
      <c r="D303" s="182">
        <v>0</v>
      </c>
      <c r="E303" s="180">
        <v>0</v>
      </c>
      <c r="F303" s="180">
        <f t="shared" si="49"/>
        <v>0</v>
      </c>
      <c r="G303" s="182">
        <v>0</v>
      </c>
      <c r="H303" s="182">
        <v>0</v>
      </c>
      <c r="I303" s="180">
        <v>0</v>
      </c>
      <c r="J303" s="180">
        <f t="shared" si="50"/>
        <v>0</v>
      </c>
      <c r="K303" s="180">
        <f t="shared" si="51"/>
        <v>0</v>
      </c>
    </row>
    <row r="304" spans="1:11" ht="13" x14ac:dyDescent="0.3">
      <c r="A304" s="174">
        <f t="shared" si="48"/>
        <v>235</v>
      </c>
      <c r="B304" s="132" t="s">
        <v>6</v>
      </c>
      <c r="C304" s="179">
        <v>2019</v>
      </c>
      <c r="D304" s="182">
        <v>0</v>
      </c>
      <c r="E304" s="180">
        <v>0</v>
      </c>
      <c r="F304" s="180">
        <f t="shared" si="49"/>
        <v>0</v>
      </c>
      <c r="G304" s="182">
        <v>0</v>
      </c>
      <c r="H304" s="182">
        <v>0</v>
      </c>
      <c r="I304" s="180">
        <v>0</v>
      </c>
      <c r="J304" s="180">
        <f t="shared" si="50"/>
        <v>0</v>
      </c>
      <c r="K304" s="184">
        <f t="shared" si="51"/>
        <v>0</v>
      </c>
    </row>
    <row r="305" spans="1:12" ht="13" x14ac:dyDescent="0.3">
      <c r="A305" s="174">
        <f t="shared" si="48"/>
        <v>236</v>
      </c>
      <c r="C305" s="204" t="s">
        <v>380</v>
      </c>
      <c r="K305" s="205">
        <f>AVERAGE(K292:K304)</f>
        <v>0</v>
      </c>
    </row>
    <row r="306" spans="1:12" ht="13" x14ac:dyDescent="0.3">
      <c r="A306" s="174"/>
      <c r="C306" s="204"/>
      <c r="K306" s="205"/>
    </row>
    <row r="307" spans="1:12" ht="13" x14ac:dyDescent="0.3">
      <c r="B307" s="207" t="s">
        <v>400</v>
      </c>
      <c r="D307" s="280" t="s">
        <v>358</v>
      </c>
      <c r="E307" s="280"/>
    </row>
    <row r="308" spans="1:12" ht="13" x14ac:dyDescent="0.3">
      <c r="A308" s="177"/>
      <c r="B308" s="177"/>
      <c r="C308" s="177"/>
      <c r="D308" s="177" t="s">
        <v>148</v>
      </c>
      <c r="E308" s="177" t="s">
        <v>149</v>
      </c>
      <c r="F308" s="177" t="s">
        <v>150</v>
      </c>
      <c r="G308" s="177" t="s">
        <v>151</v>
      </c>
      <c r="H308" s="177" t="s">
        <v>329</v>
      </c>
      <c r="I308" s="177" t="s">
        <v>330</v>
      </c>
      <c r="J308" s="177" t="s">
        <v>346</v>
      </c>
      <c r="K308" s="177" t="s">
        <v>347</v>
      </c>
    </row>
    <row r="309" spans="1:12" ht="25.5" x14ac:dyDescent="0.3">
      <c r="D309" s="171"/>
      <c r="E309" s="208" t="s">
        <v>383</v>
      </c>
      <c r="F309" s="199" t="s">
        <v>384</v>
      </c>
      <c r="G309" s="199"/>
      <c r="H309" s="171"/>
      <c r="I309" s="208" t="s">
        <v>385</v>
      </c>
      <c r="J309" s="208" t="s">
        <v>386</v>
      </c>
      <c r="K309" s="208" t="s">
        <v>387</v>
      </c>
    </row>
    <row r="310" spans="1:12" ht="13" x14ac:dyDescent="0.3">
      <c r="D310" s="171"/>
      <c r="E310" s="171"/>
      <c r="F310" s="171"/>
      <c r="G310" s="174" t="str">
        <f>G51</f>
        <v>Unloaded</v>
      </c>
      <c r="H310" s="171"/>
      <c r="I310" s="171"/>
    </row>
    <row r="311" spans="1:12" ht="13" x14ac:dyDescent="0.3">
      <c r="A311" s="174"/>
      <c r="B311" s="174"/>
      <c r="C311" s="174"/>
      <c r="D311" s="174" t="str">
        <f>D$52</f>
        <v>Forecast</v>
      </c>
      <c r="E311" s="174" t="str">
        <f t="shared" ref="E311:J311" si="52">E$52</f>
        <v>Corporate</v>
      </c>
      <c r="F311" s="174" t="str">
        <f t="shared" si="52"/>
        <v xml:space="preserve">Total </v>
      </c>
      <c r="G311" s="174" t="str">
        <f>G52</f>
        <v>Total</v>
      </c>
      <c r="H311" s="174" t="str">
        <f t="shared" si="52"/>
        <v>Prior Period</v>
      </c>
      <c r="I311" s="174" t="str">
        <f t="shared" si="52"/>
        <v>Over Heads</v>
      </c>
      <c r="J311" s="174" t="str">
        <f t="shared" si="52"/>
        <v>Forecast</v>
      </c>
      <c r="K311" s="174" t="str">
        <f>K$52</f>
        <v>Forecast Period</v>
      </c>
    </row>
    <row r="312" spans="1:12" ht="13" x14ac:dyDescent="0.3">
      <c r="A312" s="176" t="s">
        <v>336</v>
      </c>
      <c r="B312" s="134" t="s">
        <v>16</v>
      </c>
      <c r="C312" s="134" t="s">
        <v>17</v>
      </c>
      <c r="D312" s="177" t="str">
        <f>D$53</f>
        <v>Expenditures</v>
      </c>
      <c r="E312" s="177" t="str">
        <f t="shared" ref="E312:J312" si="53">E$53</f>
        <v>Overheads</v>
      </c>
      <c r="F312" s="177" t="str">
        <f t="shared" si="53"/>
        <v>CWIP Exp</v>
      </c>
      <c r="G312" s="177" t="str">
        <f>G53</f>
        <v>Plant Adds</v>
      </c>
      <c r="H312" s="177" t="str">
        <f t="shared" si="53"/>
        <v>CWIP Closed</v>
      </c>
      <c r="I312" s="177" t="str">
        <f t="shared" si="53"/>
        <v>Closed to PIS</v>
      </c>
      <c r="J312" s="177" t="str">
        <f t="shared" si="53"/>
        <v>Period CWIP</v>
      </c>
      <c r="K312" s="177" t="str">
        <f>K$53</f>
        <v>Incremental CWIP</v>
      </c>
    </row>
    <row r="313" spans="1:12" ht="13" x14ac:dyDescent="0.3">
      <c r="A313" s="174">
        <f>A305+1</f>
        <v>237</v>
      </c>
      <c r="B313" s="132" t="s">
        <v>6</v>
      </c>
      <c r="C313" s="179">
        <v>2017</v>
      </c>
      <c r="D313" s="199" t="s">
        <v>361</v>
      </c>
      <c r="E313" s="199" t="s">
        <v>361</v>
      </c>
      <c r="F313" s="199" t="s">
        <v>361</v>
      </c>
      <c r="G313" s="199" t="s">
        <v>361</v>
      </c>
      <c r="H313" s="199" t="s">
        <v>361</v>
      </c>
      <c r="I313" s="199" t="s">
        <v>361</v>
      </c>
      <c r="J313" s="200">
        <f>F45</f>
        <v>46923675.005676001</v>
      </c>
      <c r="K313" s="199" t="s">
        <v>361</v>
      </c>
    </row>
    <row r="314" spans="1:12" ht="13" x14ac:dyDescent="0.3">
      <c r="A314" s="174">
        <f>A313+1</f>
        <v>238</v>
      </c>
      <c r="B314" s="132" t="s">
        <v>7</v>
      </c>
      <c r="C314" s="179">
        <v>2018</v>
      </c>
      <c r="D314" s="182">
        <v>6150624.7251600064</v>
      </c>
      <c r="E314" s="180">
        <v>461296.85438700049</v>
      </c>
      <c r="F314" s="180">
        <f>E314+D314</f>
        <v>6611921.5795470066</v>
      </c>
      <c r="G314" s="182">
        <v>4835162.0016000001</v>
      </c>
      <c r="H314" s="182">
        <v>4098416.9471999994</v>
      </c>
      <c r="I314" s="180">
        <v>55255.87908000005</v>
      </c>
      <c r="J314" s="200">
        <f>J313+F314-G314-I314</f>
        <v>48645178.704543009</v>
      </c>
      <c r="K314" s="180">
        <f>J314-$J$313</f>
        <v>1721503.6988670081</v>
      </c>
      <c r="L314" s="174"/>
    </row>
    <row r="315" spans="1:12" ht="13" x14ac:dyDescent="0.3">
      <c r="A315" s="174">
        <f t="shared" ref="A315:A338" si="54">A314+1</f>
        <v>239</v>
      </c>
      <c r="B315" s="132" t="s">
        <v>8</v>
      </c>
      <c r="C315" s="179">
        <v>2018</v>
      </c>
      <c r="D315" s="182">
        <v>6764841.5648300042</v>
      </c>
      <c r="E315" s="180">
        <v>507363.11736225028</v>
      </c>
      <c r="F315" s="180">
        <f t="shared" ref="F315:F336" si="55">E315+D315</f>
        <v>7272204.6821922548</v>
      </c>
      <c r="G315" s="182">
        <v>716614.37999999966</v>
      </c>
      <c r="H315" s="182">
        <v>0</v>
      </c>
      <c r="I315" s="180">
        <v>53746.078499999974</v>
      </c>
      <c r="J315" s="200">
        <f t="shared" ref="J315:J337" si="56">J314+F315-G315-I315</f>
        <v>55147022.928235255</v>
      </c>
      <c r="K315" s="180">
        <f t="shared" ref="K315:K337" si="57">J315-$J$313</f>
        <v>8223347.9225592539</v>
      </c>
      <c r="L315" s="174"/>
    </row>
    <row r="316" spans="1:12" ht="13" x14ac:dyDescent="0.3">
      <c r="A316" s="174">
        <f t="shared" si="54"/>
        <v>240</v>
      </c>
      <c r="B316" s="132" t="s">
        <v>18</v>
      </c>
      <c r="C316" s="179">
        <v>2018</v>
      </c>
      <c r="D316" s="182">
        <v>6728747.118437971</v>
      </c>
      <c r="E316" s="180">
        <v>504656.03388284781</v>
      </c>
      <c r="F316" s="180">
        <f t="shared" si="55"/>
        <v>7233403.152320819</v>
      </c>
      <c r="G316" s="182">
        <v>428364.69119999994</v>
      </c>
      <c r="H316" s="182">
        <v>0</v>
      </c>
      <c r="I316" s="180">
        <v>32127.351839999996</v>
      </c>
      <c r="J316" s="200">
        <f t="shared" si="56"/>
        <v>61919934.037516072</v>
      </c>
      <c r="K316" s="180">
        <f t="shared" si="57"/>
        <v>14996259.031840071</v>
      </c>
      <c r="L316" s="174"/>
    </row>
    <row r="317" spans="1:12" ht="13" x14ac:dyDescent="0.3">
      <c r="A317" s="174">
        <f t="shared" si="54"/>
        <v>241</v>
      </c>
      <c r="B317" s="132" t="s">
        <v>9</v>
      </c>
      <c r="C317" s="179">
        <v>2018</v>
      </c>
      <c r="D317" s="182">
        <v>2637958.1582040256</v>
      </c>
      <c r="E317" s="180">
        <v>197846.86186530191</v>
      </c>
      <c r="F317" s="180">
        <f t="shared" si="55"/>
        <v>2835805.0200693277</v>
      </c>
      <c r="G317" s="182">
        <v>36000</v>
      </c>
      <c r="H317" s="182">
        <v>0</v>
      </c>
      <c r="I317" s="180">
        <v>2700</v>
      </c>
      <c r="J317" s="200">
        <f t="shared" si="56"/>
        <v>64717039.057585403</v>
      </c>
      <c r="K317" s="180">
        <f t="shared" si="57"/>
        <v>17793364.051909402</v>
      </c>
      <c r="L317" s="177"/>
    </row>
    <row r="318" spans="1:12" ht="13" x14ac:dyDescent="0.3">
      <c r="A318" s="174">
        <f t="shared" si="54"/>
        <v>242</v>
      </c>
      <c r="B318" s="132" t="s">
        <v>10</v>
      </c>
      <c r="C318" s="179">
        <v>2018</v>
      </c>
      <c r="D318" s="182">
        <v>7602991.4540854283</v>
      </c>
      <c r="E318" s="180">
        <v>570224.35905640712</v>
      </c>
      <c r="F318" s="180">
        <f t="shared" si="55"/>
        <v>8173215.8131418359</v>
      </c>
      <c r="G318" s="182">
        <v>0</v>
      </c>
      <c r="H318" s="182">
        <v>0</v>
      </c>
      <c r="I318" s="180">
        <v>0</v>
      </c>
      <c r="J318" s="200">
        <f t="shared" si="56"/>
        <v>72890254.870727241</v>
      </c>
      <c r="K318" s="180">
        <f t="shared" si="57"/>
        <v>25966579.86505124</v>
      </c>
    </row>
    <row r="319" spans="1:12" ht="13" x14ac:dyDescent="0.3">
      <c r="A319" s="174">
        <f t="shared" si="54"/>
        <v>243</v>
      </c>
      <c r="B319" s="132" t="s">
        <v>25</v>
      </c>
      <c r="C319" s="179">
        <v>2018</v>
      </c>
      <c r="D319" s="182">
        <v>9514013.2149350662</v>
      </c>
      <c r="E319" s="180">
        <v>713550.99112012994</v>
      </c>
      <c r="F319" s="180">
        <f t="shared" si="55"/>
        <v>10227564.206055196</v>
      </c>
      <c r="G319" s="182">
        <v>0</v>
      </c>
      <c r="H319" s="182">
        <v>0</v>
      </c>
      <c r="I319" s="180">
        <v>0</v>
      </c>
      <c r="J319" s="200">
        <f t="shared" si="56"/>
        <v>83117819.076782435</v>
      </c>
      <c r="K319" s="180">
        <f t="shared" si="57"/>
        <v>36194144.071106434</v>
      </c>
    </row>
    <row r="320" spans="1:12" ht="13" x14ac:dyDescent="0.3">
      <c r="A320" s="174">
        <f t="shared" si="54"/>
        <v>244</v>
      </c>
      <c r="B320" s="132" t="s">
        <v>11</v>
      </c>
      <c r="C320" s="179">
        <v>2018</v>
      </c>
      <c r="D320" s="182">
        <v>4760538.4822819205</v>
      </c>
      <c r="E320" s="180">
        <v>357040.38617114403</v>
      </c>
      <c r="F320" s="180">
        <f t="shared" si="55"/>
        <v>5117578.8684530649</v>
      </c>
      <c r="G320" s="182">
        <v>0</v>
      </c>
      <c r="H320" s="182">
        <v>0</v>
      </c>
      <c r="I320" s="180">
        <v>0</v>
      </c>
      <c r="J320" s="200">
        <f t="shared" si="56"/>
        <v>88235397.945235506</v>
      </c>
      <c r="K320" s="180">
        <f t="shared" si="57"/>
        <v>41311722.939559504</v>
      </c>
    </row>
    <row r="321" spans="1:11" ht="13" x14ac:dyDescent="0.3">
      <c r="A321" s="174">
        <f t="shared" si="54"/>
        <v>245</v>
      </c>
      <c r="B321" s="132" t="s">
        <v>12</v>
      </c>
      <c r="C321" s="179">
        <v>2018</v>
      </c>
      <c r="D321" s="182">
        <v>7813914.9122097539</v>
      </c>
      <c r="E321" s="180">
        <v>586043.61841573147</v>
      </c>
      <c r="F321" s="180">
        <f t="shared" si="55"/>
        <v>8399958.5306254849</v>
      </c>
      <c r="G321" s="182">
        <v>0</v>
      </c>
      <c r="H321" s="182">
        <v>0</v>
      </c>
      <c r="I321" s="180">
        <v>0</v>
      </c>
      <c r="J321" s="200">
        <f t="shared" si="56"/>
        <v>96635356.475860983</v>
      </c>
      <c r="K321" s="180">
        <f t="shared" si="57"/>
        <v>49711681.470184982</v>
      </c>
    </row>
    <row r="322" spans="1:11" ht="13" x14ac:dyDescent="0.3">
      <c r="A322" s="174">
        <f t="shared" si="54"/>
        <v>246</v>
      </c>
      <c r="B322" s="132" t="s">
        <v>13</v>
      </c>
      <c r="C322" s="179">
        <v>2018</v>
      </c>
      <c r="D322" s="182">
        <v>4860922.1068712259</v>
      </c>
      <c r="E322" s="180">
        <v>364569.15801534191</v>
      </c>
      <c r="F322" s="180">
        <f t="shared" si="55"/>
        <v>5225491.2648865674</v>
      </c>
      <c r="G322" s="182">
        <v>0</v>
      </c>
      <c r="H322" s="182">
        <v>0</v>
      </c>
      <c r="I322" s="180">
        <v>0</v>
      </c>
      <c r="J322" s="200">
        <f t="shared" si="56"/>
        <v>101860847.74074756</v>
      </c>
      <c r="K322" s="180">
        <f t="shared" si="57"/>
        <v>54937172.735071555</v>
      </c>
    </row>
    <row r="323" spans="1:11" ht="13" x14ac:dyDescent="0.3">
      <c r="A323" s="174">
        <f t="shared" si="54"/>
        <v>247</v>
      </c>
      <c r="B323" s="132" t="s">
        <v>15</v>
      </c>
      <c r="C323" s="179">
        <v>2018</v>
      </c>
      <c r="D323" s="182">
        <v>5232286.1741804592</v>
      </c>
      <c r="E323" s="180">
        <v>392421.46306353441</v>
      </c>
      <c r="F323" s="180">
        <f t="shared" si="55"/>
        <v>5624707.6372439936</v>
      </c>
      <c r="G323" s="182">
        <v>0</v>
      </c>
      <c r="H323" s="182">
        <v>0</v>
      </c>
      <c r="I323" s="180">
        <v>0</v>
      </c>
      <c r="J323" s="200">
        <f t="shared" si="56"/>
        <v>107485555.37799156</v>
      </c>
      <c r="K323" s="180">
        <f t="shared" si="57"/>
        <v>60561880.372315556</v>
      </c>
    </row>
    <row r="324" spans="1:11" ht="13" x14ac:dyDescent="0.3">
      <c r="A324" s="174">
        <f t="shared" si="54"/>
        <v>248</v>
      </c>
      <c r="B324" s="132" t="s">
        <v>14</v>
      </c>
      <c r="C324" s="179">
        <v>2018</v>
      </c>
      <c r="D324" s="182">
        <v>3062452.8605415537</v>
      </c>
      <c r="E324" s="180">
        <v>229683.96454061652</v>
      </c>
      <c r="F324" s="180">
        <f t="shared" si="55"/>
        <v>3292136.8250821703</v>
      </c>
      <c r="G324" s="182">
        <v>0</v>
      </c>
      <c r="H324" s="182">
        <v>0</v>
      </c>
      <c r="I324" s="180">
        <v>0</v>
      </c>
      <c r="J324" s="200">
        <f t="shared" si="56"/>
        <v>110777692.20307373</v>
      </c>
      <c r="K324" s="180">
        <f t="shared" si="57"/>
        <v>63854017.197397724</v>
      </c>
    </row>
    <row r="325" spans="1:11" ht="13" x14ac:dyDescent="0.3">
      <c r="A325" s="174">
        <f t="shared" si="54"/>
        <v>249</v>
      </c>
      <c r="B325" s="132" t="s">
        <v>6</v>
      </c>
      <c r="C325" s="179">
        <v>2018</v>
      </c>
      <c r="D325" s="182">
        <v>4668878.1724084513</v>
      </c>
      <c r="E325" s="180">
        <v>350165.86293063383</v>
      </c>
      <c r="F325" s="180">
        <f t="shared" si="55"/>
        <v>5019044.0353390854</v>
      </c>
      <c r="G325" s="182">
        <v>23755.014288000231</v>
      </c>
      <c r="H325" s="182">
        <v>0</v>
      </c>
      <c r="I325" s="180">
        <v>1781.6260716000172</v>
      </c>
      <c r="J325" s="200">
        <f t="shared" si="56"/>
        <v>115771199.59805322</v>
      </c>
      <c r="K325" s="180">
        <f t="shared" si="57"/>
        <v>68847524.592377216</v>
      </c>
    </row>
    <row r="326" spans="1:11" ht="13" x14ac:dyDescent="0.3">
      <c r="A326" s="174">
        <f t="shared" si="54"/>
        <v>250</v>
      </c>
      <c r="B326" s="132" t="s">
        <v>7</v>
      </c>
      <c r="C326" s="179">
        <v>2019</v>
      </c>
      <c r="D326" s="182">
        <v>5133735.8804469276</v>
      </c>
      <c r="E326" s="180">
        <v>385030.19103351957</v>
      </c>
      <c r="F326" s="180">
        <f t="shared" si="55"/>
        <v>5518766.0714804474</v>
      </c>
      <c r="G326" s="182">
        <v>0</v>
      </c>
      <c r="H326" s="182">
        <v>0</v>
      </c>
      <c r="I326" s="180">
        <v>0</v>
      </c>
      <c r="J326" s="200">
        <f t="shared" si="56"/>
        <v>121289965.66953367</v>
      </c>
      <c r="K326" s="180">
        <f t="shared" si="57"/>
        <v>74366290.663857669</v>
      </c>
    </row>
    <row r="327" spans="1:11" ht="13" x14ac:dyDescent="0.3">
      <c r="A327" s="174">
        <f t="shared" si="54"/>
        <v>251</v>
      </c>
      <c r="B327" s="132" t="s">
        <v>8</v>
      </c>
      <c r="C327" s="179">
        <v>2019</v>
      </c>
      <c r="D327" s="182">
        <v>11785379.758468928</v>
      </c>
      <c r="E327" s="180">
        <v>883903.48188516952</v>
      </c>
      <c r="F327" s="180">
        <f t="shared" si="55"/>
        <v>12669283.240354097</v>
      </c>
      <c r="G327" s="182">
        <v>0</v>
      </c>
      <c r="H327" s="182">
        <v>0</v>
      </c>
      <c r="I327" s="180">
        <v>0</v>
      </c>
      <c r="J327" s="200">
        <f t="shared" si="56"/>
        <v>133959248.90988776</v>
      </c>
      <c r="K327" s="180">
        <f t="shared" si="57"/>
        <v>87035573.90421176</v>
      </c>
    </row>
    <row r="328" spans="1:11" ht="13" x14ac:dyDescent="0.3">
      <c r="A328" s="174">
        <f t="shared" si="54"/>
        <v>252</v>
      </c>
      <c r="B328" s="132" t="s">
        <v>18</v>
      </c>
      <c r="C328" s="179">
        <v>2019</v>
      </c>
      <c r="D328" s="182">
        <v>7424714.7980069276</v>
      </c>
      <c r="E328" s="180">
        <v>556853.60985051957</v>
      </c>
      <c r="F328" s="180">
        <f t="shared" si="55"/>
        <v>7981568.4078574469</v>
      </c>
      <c r="G328" s="182">
        <v>0</v>
      </c>
      <c r="H328" s="182">
        <v>0</v>
      </c>
      <c r="I328" s="180">
        <v>0</v>
      </c>
      <c r="J328" s="200">
        <f t="shared" si="56"/>
        <v>141940817.31774521</v>
      </c>
      <c r="K328" s="180">
        <f t="shared" si="57"/>
        <v>95017142.312069207</v>
      </c>
    </row>
    <row r="329" spans="1:11" ht="13" x14ac:dyDescent="0.3">
      <c r="A329" s="174">
        <f t="shared" si="54"/>
        <v>253</v>
      </c>
      <c r="B329" s="132" t="s">
        <v>9</v>
      </c>
      <c r="C329" s="179">
        <v>2019</v>
      </c>
      <c r="D329" s="182">
        <v>4022696.5530957235</v>
      </c>
      <c r="E329" s="180">
        <v>301702.24148217926</v>
      </c>
      <c r="F329" s="180">
        <f t="shared" si="55"/>
        <v>4324398.7945779031</v>
      </c>
      <c r="G329" s="182">
        <v>0</v>
      </c>
      <c r="H329" s="182">
        <v>0</v>
      </c>
      <c r="I329" s="180">
        <v>0</v>
      </c>
      <c r="J329" s="200">
        <f t="shared" si="56"/>
        <v>146265216.11232311</v>
      </c>
      <c r="K329" s="180">
        <f t="shared" si="57"/>
        <v>99341541.106647104</v>
      </c>
    </row>
    <row r="330" spans="1:11" ht="13" x14ac:dyDescent="0.3">
      <c r="A330" s="174">
        <f t="shared" si="54"/>
        <v>254</v>
      </c>
      <c r="B330" s="132" t="s">
        <v>10</v>
      </c>
      <c r="C330" s="179">
        <v>2019</v>
      </c>
      <c r="D330" s="182">
        <v>3957356.2278797245</v>
      </c>
      <c r="E330" s="180">
        <v>296801.71709097933</v>
      </c>
      <c r="F330" s="180">
        <f t="shared" si="55"/>
        <v>4254157.9449707037</v>
      </c>
      <c r="G330" s="182">
        <v>0</v>
      </c>
      <c r="H330" s="182">
        <v>0</v>
      </c>
      <c r="I330" s="180">
        <v>0</v>
      </c>
      <c r="J330" s="200">
        <f t="shared" si="56"/>
        <v>150519374.0572938</v>
      </c>
      <c r="K330" s="180">
        <f t="shared" si="57"/>
        <v>103595699.0516178</v>
      </c>
    </row>
    <row r="331" spans="1:11" ht="13" x14ac:dyDescent="0.3">
      <c r="A331" s="174">
        <f t="shared" si="54"/>
        <v>255</v>
      </c>
      <c r="B331" s="132" t="s">
        <v>25</v>
      </c>
      <c r="C331" s="179">
        <v>2019</v>
      </c>
      <c r="D331" s="182">
        <v>4386910.7519597234</v>
      </c>
      <c r="E331" s="180">
        <v>329018.30639697926</v>
      </c>
      <c r="F331" s="180">
        <f t="shared" si="55"/>
        <v>4715929.0583567023</v>
      </c>
      <c r="G331" s="182">
        <v>0</v>
      </c>
      <c r="H331" s="182">
        <v>0</v>
      </c>
      <c r="I331" s="180">
        <v>0</v>
      </c>
      <c r="J331" s="200">
        <f t="shared" si="56"/>
        <v>155235303.1156505</v>
      </c>
      <c r="K331" s="180">
        <f t="shared" si="57"/>
        <v>108311628.1099745</v>
      </c>
    </row>
    <row r="332" spans="1:11" ht="13" x14ac:dyDescent="0.3">
      <c r="A332" s="174">
        <f t="shared" si="54"/>
        <v>256</v>
      </c>
      <c r="B332" s="132" t="s">
        <v>11</v>
      </c>
      <c r="C332" s="179">
        <v>2019</v>
      </c>
      <c r="D332" s="182">
        <v>5763632.1158857271</v>
      </c>
      <c r="E332" s="180">
        <v>432272.40869142953</v>
      </c>
      <c r="F332" s="180">
        <f t="shared" si="55"/>
        <v>6195904.5245771566</v>
      </c>
      <c r="G332" s="182">
        <v>0</v>
      </c>
      <c r="H332" s="182">
        <v>0</v>
      </c>
      <c r="I332" s="180">
        <v>0</v>
      </c>
      <c r="J332" s="200">
        <f t="shared" si="56"/>
        <v>161431207.64022768</v>
      </c>
      <c r="K332" s="180">
        <f t="shared" si="57"/>
        <v>114507532.63455167</v>
      </c>
    </row>
    <row r="333" spans="1:11" ht="13" x14ac:dyDescent="0.3">
      <c r="A333" s="174">
        <f t="shared" si="54"/>
        <v>257</v>
      </c>
      <c r="B333" s="132" t="s">
        <v>12</v>
      </c>
      <c r="C333" s="179">
        <v>2019</v>
      </c>
      <c r="D333" s="182">
        <v>6352933.1061144127</v>
      </c>
      <c r="E333" s="180">
        <v>476469.98295858095</v>
      </c>
      <c r="F333" s="180">
        <f t="shared" si="55"/>
        <v>6829403.089072994</v>
      </c>
      <c r="G333" s="182">
        <v>0</v>
      </c>
      <c r="H333" s="182">
        <v>0</v>
      </c>
      <c r="I333" s="180">
        <v>0</v>
      </c>
      <c r="J333" s="200">
        <f t="shared" si="56"/>
        <v>168260610.72930068</v>
      </c>
      <c r="K333" s="180">
        <f t="shared" si="57"/>
        <v>121336935.72362468</v>
      </c>
    </row>
    <row r="334" spans="1:11" ht="13" x14ac:dyDescent="0.3">
      <c r="A334" s="174">
        <f t="shared" si="54"/>
        <v>258</v>
      </c>
      <c r="B334" s="132" t="s">
        <v>13</v>
      </c>
      <c r="C334" s="179">
        <v>2019</v>
      </c>
      <c r="D334" s="182">
        <v>8352168.5186073864</v>
      </c>
      <c r="E334" s="180">
        <v>626412.638895554</v>
      </c>
      <c r="F334" s="180">
        <f t="shared" si="55"/>
        <v>8978581.1575029399</v>
      </c>
      <c r="G334" s="182">
        <v>0</v>
      </c>
      <c r="H334" s="182">
        <v>0</v>
      </c>
      <c r="I334" s="180">
        <v>0</v>
      </c>
      <c r="J334" s="200">
        <f t="shared" si="56"/>
        <v>177239191.88680363</v>
      </c>
      <c r="K334" s="180">
        <f t="shared" si="57"/>
        <v>130315516.88112763</v>
      </c>
    </row>
    <row r="335" spans="1:11" ht="13" x14ac:dyDescent="0.3">
      <c r="A335" s="174">
        <f t="shared" si="54"/>
        <v>259</v>
      </c>
      <c r="B335" s="132" t="s">
        <v>15</v>
      </c>
      <c r="C335" s="179">
        <v>2019</v>
      </c>
      <c r="D335" s="182">
        <v>3995869.764987723</v>
      </c>
      <c r="E335" s="180">
        <v>299690.23237407923</v>
      </c>
      <c r="F335" s="180">
        <f t="shared" si="55"/>
        <v>4295559.9973618025</v>
      </c>
      <c r="G335" s="182">
        <v>0</v>
      </c>
      <c r="H335" s="182">
        <v>0</v>
      </c>
      <c r="I335" s="180">
        <v>0</v>
      </c>
      <c r="J335" s="200">
        <f t="shared" si="56"/>
        <v>181534751.88416544</v>
      </c>
      <c r="K335" s="180">
        <f t="shared" si="57"/>
        <v>134611076.87848943</v>
      </c>
    </row>
    <row r="336" spans="1:11" ht="13" x14ac:dyDescent="0.3">
      <c r="A336" s="174">
        <f t="shared" si="54"/>
        <v>260</v>
      </c>
      <c r="B336" s="132" t="s">
        <v>14</v>
      </c>
      <c r="C336" s="179">
        <v>2019</v>
      </c>
      <c r="D336" s="182">
        <v>14262524.372708354</v>
      </c>
      <c r="E336" s="180">
        <v>1069689.3279531265</v>
      </c>
      <c r="F336" s="180">
        <f t="shared" si="55"/>
        <v>15332213.70066148</v>
      </c>
      <c r="G336" s="182">
        <v>0</v>
      </c>
      <c r="H336" s="182">
        <v>0</v>
      </c>
      <c r="I336" s="180">
        <v>0</v>
      </c>
      <c r="J336" s="200">
        <f t="shared" si="56"/>
        <v>196866965.58482692</v>
      </c>
      <c r="K336" s="180">
        <f t="shared" si="57"/>
        <v>149943290.57915092</v>
      </c>
    </row>
    <row r="337" spans="1:11" ht="13" x14ac:dyDescent="0.3">
      <c r="A337" s="174">
        <f t="shared" si="54"/>
        <v>261</v>
      </c>
      <c r="B337" s="132" t="s">
        <v>6</v>
      </c>
      <c r="C337" s="179">
        <v>2019</v>
      </c>
      <c r="D337" s="182">
        <v>9312567.7527164258</v>
      </c>
      <c r="E337" s="180">
        <v>698442.58145373187</v>
      </c>
      <c r="F337" s="180">
        <f>E337+D337</f>
        <v>10011010.334170157</v>
      </c>
      <c r="G337" s="182">
        <v>4179168.2611999996</v>
      </c>
      <c r="H337" s="182">
        <v>2531642.4799999995</v>
      </c>
      <c r="I337" s="180">
        <v>123564.43359</v>
      </c>
      <c r="J337" s="200">
        <f t="shared" si="56"/>
        <v>202575243.22420707</v>
      </c>
      <c r="K337" s="184">
        <f t="shared" si="57"/>
        <v>155651568.21853107</v>
      </c>
    </row>
    <row r="338" spans="1:11" ht="13" x14ac:dyDescent="0.3">
      <c r="A338" s="174">
        <f t="shared" si="54"/>
        <v>262</v>
      </c>
      <c r="C338" s="204" t="s">
        <v>380</v>
      </c>
      <c r="K338" s="205">
        <f>AVERAGE(K325:K337)</f>
        <v>110990870.81971005</v>
      </c>
    </row>
    <row r="339" spans="1:11" ht="13" x14ac:dyDescent="0.3">
      <c r="A339" s="174"/>
      <c r="C339" s="204"/>
      <c r="K339" s="205"/>
    </row>
    <row r="340" spans="1:11" ht="13" x14ac:dyDescent="0.3">
      <c r="B340" s="207" t="s">
        <v>401</v>
      </c>
      <c r="D340" s="280" t="s">
        <v>359</v>
      </c>
      <c r="E340" s="280"/>
    </row>
    <row r="341" spans="1:11" ht="13" x14ac:dyDescent="0.3">
      <c r="D341" s="171"/>
      <c r="E341" s="171"/>
      <c r="F341" s="171"/>
      <c r="G341" s="174" t="str">
        <f>G51</f>
        <v>Unloaded</v>
      </c>
      <c r="H341" s="171"/>
      <c r="I341" s="171"/>
    </row>
    <row r="342" spans="1:11" ht="13" x14ac:dyDescent="0.3">
      <c r="A342" s="174"/>
      <c r="B342" s="174"/>
      <c r="C342" s="174"/>
      <c r="D342" s="174" t="str">
        <f>D$52</f>
        <v>Forecast</v>
      </c>
      <c r="E342" s="174" t="str">
        <f t="shared" ref="E342:J342" si="58">E$52</f>
        <v>Corporate</v>
      </c>
      <c r="F342" s="174" t="str">
        <f t="shared" si="58"/>
        <v xml:space="preserve">Total </v>
      </c>
      <c r="G342" s="174" t="str">
        <f>G52</f>
        <v>Total</v>
      </c>
      <c r="H342" s="174" t="str">
        <f t="shared" si="58"/>
        <v>Prior Period</v>
      </c>
      <c r="I342" s="174" t="str">
        <f t="shared" si="58"/>
        <v>Over Heads</v>
      </c>
      <c r="J342" s="174" t="str">
        <f t="shared" si="58"/>
        <v>Forecast</v>
      </c>
      <c r="K342" s="174" t="str">
        <f>K$52</f>
        <v>Forecast Period</v>
      </c>
    </row>
    <row r="343" spans="1:11" ht="13" x14ac:dyDescent="0.3">
      <c r="A343" s="176" t="s">
        <v>336</v>
      </c>
      <c r="B343" s="134" t="s">
        <v>16</v>
      </c>
      <c r="C343" s="134" t="s">
        <v>17</v>
      </c>
      <c r="D343" s="177" t="str">
        <f>D$53</f>
        <v>Expenditures</v>
      </c>
      <c r="E343" s="177" t="str">
        <f t="shared" ref="E343:J343" si="59">E$53</f>
        <v>Overheads</v>
      </c>
      <c r="F343" s="177" t="str">
        <f t="shared" si="59"/>
        <v>CWIP Exp</v>
      </c>
      <c r="G343" s="177" t="str">
        <f>G53</f>
        <v>Plant Adds</v>
      </c>
      <c r="H343" s="177" t="str">
        <f t="shared" si="59"/>
        <v>CWIP Closed</v>
      </c>
      <c r="I343" s="177" t="str">
        <f t="shared" si="59"/>
        <v>Closed to PIS</v>
      </c>
      <c r="J343" s="177" t="str">
        <f t="shared" si="59"/>
        <v>Period CWIP</v>
      </c>
      <c r="K343" s="177" t="str">
        <f>K$53</f>
        <v>Incremental CWIP</v>
      </c>
    </row>
    <row r="344" spans="1:11" ht="13" x14ac:dyDescent="0.3">
      <c r="A344" s="174">
        <f>A338+1</f>
        <v>263</v>
      </c>
      <c r="B344" s="132" t="s">
        <v>6</v>
      </c>
      <c r="C344" s="179">
        <v>2017</v>
      </c>
      <c r="D344" s="199" t="s">
        <v>361</v>
      </c>
      <c r="E344" s="199" t="s">
        <v>361</v>
      </c>
      <c r="F344" s="199" t="s">
        <v>361</v>
      </c>
      <c r="G344" s="199" t="s">
        <v>361</v>
      </c>
      <c r="H344" s="199" t="s">
        <v>361</v>
      </c>
      <c r="I344" s="199" t="s">
        <v>361</v>
      </c>
      <c r="J344" s="180">
        <f>G45</f>
        <v>0</v>
      </c>
      <c r="K344" s="199" t="s">
        <v>361</v>
      </c>
    </row>
    <row r="345" spans="1:11" ht="13" x14ac:dyDescent="0.3">
      <c r="A345" s="174">
        <f>A344+1</f>
        <v>264</v>
      </c>
      <c r="B345" s="132" t="s">
        <v>7</v>
      </c>
      <c r="C345" s="179">
        <v>2018</v>
      </c>
      <c r="D345" s="182">
        <v>15724.8</v>
      </c>
      <c r="E345" s="180">
        <v>1179.3599999999999</v>
      </c>
      <c r="F345" s="180">
        <f>E345+D345</f>
        <v>16904.16</v>
      </c>
      <c r="G345" s="182">
        <v>0</v>
      </c>
      <c r="H345" s="182">
        <v>0</v>
      </c>
      <c r="I345" s="180">
        <v>0</v>
      </c>
      <c r="J345" s="180">
        <f>J344+F345-G345-I345</f>
        <v>16904.16</v>
      </c>
      <c r="K345" s="180">
        <f>J345-$J$344</f>
        <v>16904.16</v>
      </c>
    </row>
    <row r="346" spans="1:11" ht="13" x14ac:dyDescent="0.3">
      <c r="A346" s="174">
        <f t="shared" ref="A346:A369" si="60">A345+1</f>
        <v>265</v>
      </c>
      <c r="B346" s="132" t="s">
        <v>8</v>
      </c>
      <c r="C346" s="179">
        <v>2018</v>
      </c>
      <c r="D346" s="182">
        <v>39608.180000000008</v>
      </c>
      <c r="E346" s="180">
        <v>2970.6135000000004</v>
      </c>
      <c r="F346" s="180">
        <f t="shared" ref="F346:F368" si="61">E346+D346</f>
        <v>42578.793500000007</v>
      </c>
      <c r="G346" s="182">
        <v>0</v>
      </c>
      <c r="H346" s="182">
        <v>0</v>
      </c>
      <c r="I346" s="180">
        <v>0</v>
      </c>
      <c r="J346" s="180">
        <f t="shared" ref="J346:J368" si="62">J345+F346-G346-I346</f>
        <v>59482.953500000003</v>
      </c>
      <c r="K346" s="180">
        <f t="shared" ref="K346:K368" si="63">J346-$J$344</f>
        <v>59482.953500000003</v>
      </c>
    </row>
    <row r="347" spans="1:11" ht="13" x14ac:dyDescent="0.3">
      <c r="A347" s="174">
        <f t="shared" si="60"/>
        <v>266</v>
      </c>
      <c r="B347" s="132" t="s">
        <v>18</v>
      </c>
      <c r="C347" s="179">
        <v>2018</v>
      </c>
      <c r="D347" s="182">
        <v>43159.880000000005</v>
      </c>
      <c r="E347" s="180">
        <v>3236.9910000000004</v>
      </c>
      <c r="F347" s="180">
        <f t="shared" si="61"/>
        <v>46396.871000000006</v>
      </c>
      <c r="G347" s="182">
        <v>0</v>
      </c>
      <c r="H347" s="182">
        <v>0</v>
      </c>
      <c r="I347" s="180">
        <v>0</v>
      </c>
      <c r="J347" s="180">
        <f t="shared" si="62"/>
        <v>105879.82450000002</v>
      </c>
      <c r="K347" s="180">
        <f t="shared" si="63"/>
        <v>105879.82450000002</v>
      </c>
    </row>
    <row r="348" spans="1:11" ht="13" x14ac:dyDescent="0.3">
      <c r="A348" s="174">
        <f t="shared" si="60"/>
        <v>267</v>
      </c>
      <c r="B348" s="132" t="s">
        <v>9</v>
      </c>
      <c r="C348" s="179">
        <v>2018</v>
      </c>
      <c r="D348" s="182">
        <v>116634.96</v>
      </c>
      <c r="E348" s="180">
        <v>8747.6219999999994</v>
      </c>
      <c r="F348" s="180">
        <f t="shared" si="61"/>
        <v>125382.58200000001</v>
      </c>
      <c r="G348" s="182">
        <v>0</v>
      </c>
      <c r="H348" s="182">
        <v>0</v>
      </c>
      <c r="I348" s="180">
        <v>0</v>
      </c>
      <c r="J348" s="180">
        <f t="shared" si="62"/>
        <v>231262.40650000004</v>
      </c>
      <c r="K348" s="180">
        <f t="shared" si="63"/>
        <v>231262.40650000004</v>
      </c>
    </row>
    <row r="349" spans="1:11" ht="13" x14ac:dyDescent="0.3">
      <c r="A349" s="174">
        <f t="shared" si="60"/>
        <v>268</v>
      </c>
      <c r="B349" s="132" t="s">
        <v>10</v>
      </c>
      <c r="C349" s="179">
        <v>2018</v>
      </c>
      <c r="D349" s="182">
        <v>89339.64</v>
      </c>
      <c r="E349" s="180">
        <v>6700.473</v>
      </c>
      <c r="F349" s="180">
        <f t="shared" si="61"/>
        <v>96040.112999999998</v>
      </c>
      <c r="G349" s="182">
        <v>0</v>
      </c>
      <c r="H349" s="182">
        <v>0</v>
      </c>
      <c r="I349" s="180">
        <v>0</v>
      </c>
      <c r="J349" s="180">
        <f t="shared" si="62"/>
        <v>327302.51950000005</v>
      </c>
      <c r="K349" s="180">
        <f t="shared" si="63"/>
        <v>327302.51950000005</v>
      </c>
    </row>
    <row r="350" spans="1:11" ht="13" x14ac:dyDescent="0.3">
      <c r="A350" s="174">
        <f t="shared" si="60"/>
        <v>269</v>
      </c>
      <c r="B350" s="132" t="s">
        <v>25</v>
      </c>
      <c r="C350" s="179">
        <v>2018</v>
      </c>
      <c r="D350" s="182">
        <v>86306.48</v>
      </c>
      <c r="E350" s="180">
        <v>6472.9859999999999</v>
      </c>
      <c r="F350" s="180">
        <f t="shared" si="61"/>
        <v>92779.466</v>
      </c>
      <c r="G350" s="182">
        <v>89671.5</v>
      </c>
      <c r="H350" s="182">
        <v>89572.52</v>
      </c>
      <c r="I350" s="180">
        <v>7.4234999999996942</v>
      </c>
      <c r="J350" s="180">
        <f t="shared" si="62"/>
        <v>330403.06200000009</v>
      </c>
      <c r="K350" s="180">
        <f t="shared" si="63"/>
        <v>330403.06200000009</v>
      </c>
    </row>
    <row r="351" spans="1:11" ht="13" x14ac:dyDescent="0.3">
      <c r="A351" s="174">
        <f t="shared" si="60"/>
        <v>270</v>
      </c>
      <c r="B351" s="132" t="s">
        <v>11</v>
      </c>
      <c r="C351" s="179">
        <v>2018</v>
      </c>
      <c r="D351" s="182">
        <v>126590.88</v>
      </c>
      <c r="E351" s="180">
        <v>9494.3160000000007</v>
      </c>
      <c r="F351" s="180">
        <f t="shared" si="61"/>
        <v>136085.196</v>
      </c>
      <c r="G351" s="182">
        <v>0</v>
      </c>
      <c r="H351" s="182">
        <v>0</v>
      </c>
      <c r="I351" s="180">
        <v>0</v>
      </c>
      <c r="J351" s="180">
        <f t="shared" si="62"/>
        <v>466488.25800000009</v>
      </c>
      <c r="K351" s="180">
        <f t="shared" si="63"/>
        <v>466488.25800000009</v>
      </c>
    </row>
    <row r="352" spans="1:11" ht="13" x14ac:dyDescent="0.3">
      <c r="A352" s="174">
        <f t="shared" si="60"/>
        <v>271</v>
      </c>
      <c r="B352" s="132" t="s">
        <v>12</v>
      </c>
      <c r="C352" s="179">
        <v>2018</v>
      </c>
      <c r="D352" s="182">
        <v>170144</v>
      </c>
      <c r="E352" s="180">
        <v>12760.8</v>
      </c>
      <c r="F352" s="180">
        <f t="shared" si="61"/>
        <v>182904.8</v>
      </c>
      <c r="G352" s="182">
        <v>0</v>
      </c>
      <c r="H352" s="182">
        <v>0</v>
      </c>
      <c r="I352" s="180">
        <v>0</v>
      </c>
      <c r="J352" s="180">
        <f t="shared" si="62"/>
        <v>649393.05800000008</v>
      </c>
      <c r="K352" s="180">
        <f t="shared" si="63"/>
        <v>649393.05800000008</v>
      </c>
    </row>
    <row r="353" spans="1:11" ht="13" x14ac:dyDescent="0.3">
      <c r="A353" s="174">
        <f t="shared" si="60"/>
        <v>272</v>
      </c>
      <c r="B353" s="132" t="s">
        <v>13</v>
      </c>
      <c r="C353" s="179">
        <v>2018</v>
      </c>
      <c r="D353" s="182">
        <v>147616.56</v>
      </c>
      <c r="E353" s="180">
        <v>11071.242</v>
      </c>
      <c r="F353" s="180">
        <f t="shared" si="61"/>
        <v>158687.802</v>
      </c>
      <c r="G353" s="182">
        <v>0</v>
      </c>
      <c r="H353" s="182">
        <v>0</v>
      </c>
      <c r="I353" s="180">
        <v>0</v>
      </c>
      <c r="J353" s="180">
        <f t="shared" si="62"/>
        <v>808080.8600000001</v>
      </c>
      <c r="K353" s="180">
        <f t="shared" si="63"/>
        <v>808080.8600000001</v>
      </c>
    </row>
    <row r="354" spans="1:11" ht="13" x14ac:dyDescent="0.3">
      <c r="A354" s="174">
        <f t="shared" si="60"/>
        <v>273</v>
      </c>
      <c r="B354" s="132" t="s">
        <v>15</v>
      </c>
      <c r="C354" s="179">
        <v>2018</v>
      </c>
      <c r="D354" s="182">
        <v>98842.64</v>
      </c>
      <c r="E354" s="180">
        <v>7413.1979999999994</v>
      </c>
      <c r="F354" s="180">
        <f t="shared" si="61"/>
        <v>106255.838</v>
      </c>
      <c r="G354" s="182">
        <v>0</v>
      </c>
      <c r="H354" s="182">
        <v>0</v>
      </c>
      <c r="I354" s="180">
        <v>0</v>
      </c>
      <c r="J354" s="180">
        <f t="shared" si="62"/>
        <v>914336.69800000009</v>
      </c>
      <c r="K354" s="180">
        <f t="shared" si="63"/>
        <v>914336.69800000009</v>
      </c>
    </row>
    <row r="355" spans="1:11" ht="13" x14ac:dyDescent="0.3">
      <c r="A355" s="174">
        <f t="shared" si="60"/>
        <v>274</v>
      </c>
      <c r="B355" s="132" t="s">
        <v>14</v>
      </c>
      <c r="C355" s="179">
        <v>2018</v>
      </c>
      <c r="D355" s="182">
        <v>315181.88000000006</v>
      </c>
      <c r="E355" s="180">
        <v>23638.641000000003</v>
      </c>
      <c r="F355" s="180">
        <f t="shared" si="61"/>
        <v>338820.52100000007</v>
      </c>
      <c r="G355" s="182">
        <v>0</v>
      </c>
      <c r="H355" s="182">
        <v>0</v>
      </c>
      <c r="I355" s="180">
        <v>0</v>
      </c>
      <c r="J355" s="180">
        <f t="shared" si="62"/>
        <v>1253157.219</v>
      </c>
      <c r="K355" s="180">
        <f t="shared" si="63"/>
        <v>1253157.219</v>
      </c>
    </row>
    <row r="356" spans="1:11" ht="13" x14ac:dyDescent="0.3">
      <c r="A356" s="174">
        <f t="shared" si="60"/>
        <v>275</v>
      </c>
      <c r="B356" s="132" t="s">
        <v>6</v>
      </c>
      <c r="C356" s="179">
        <v>2018</v>
      </c>
      <c r="D356" s="182">
        <v>63376.04</v>
      </c>
      <c r="E356" s="180">
        <v>4753.2029999999995</v>
      </c>
      <c r="F356" s="180">
        <f t="shared" si="61"/>
        <v>68129.243000000002</v>
      </c>
      <c r="G356" s="182">
        <v>0</v>
      </c>
      <c r="H356" s="182">
        <v>0</v>
      </c>
      <c r="I356" s="180">
        <v>0</v>
      </c>
      <c r="J356" s="180">
        <f t="shared" si="62"/>
        <v>1321286.4620000001</v>
      </c>
      <c r="K356" s="180">
        <f t="shared" si="63"/>
        <v>1321286.4620000001</v>
      </c>
    </row>
    <row r="357" spans="1:11" ht="13" x14ac:dyDescent="0.3">
      <c r="A357" s="174">
        <f t="shared" si="60"/>
        <v>276</v>
      </c>
      <c r="B357" s="132" t="s">
        <v>7</v>
      </c>
      <c r="C357" s="179">
        <v>2019</v>
      </c>
      <c r="D357" s="182">
        <v>273332.80000000005</v>
      </c>
      <c r="E357" s="180">
        <v>20499.960000000003</v>
      </c>
      <c r="F357" s="180">
        <f t="shared" si="61"/>
        <v>293832.76000000007</v>
      </c>
      <c r="G357" s="182">
        <v>0</v>
      </c>
      <c r="H357" s="182">
        <v>0</v>
      </c>
      <c r="I357" s="180">
        <v>0</v>
      </c>
      <c r="J357" s="180">
        <f t="shared" si="62"/>
        <v>1615119.2220000001</v>
      </c>
      <c r="K357" s="180">
        <f t="shared" si="63"/>
        <v>1615119.2220000001</v>
      </c>
    </row>
    <row r="358" spans="1:11" ht="13" x14ac:dyDescent="0.3">
      <c r="A358" s="174">
        <f t="shared" si="60"/>
        <v>277</v>
      </c>
      <c r="B358" s="132" t="s">
        <v>8</v>
      </c>
      <c r="C358" s="179">
        <v>2019</v>
      </c>
      <c r="D358" s="182">
        <v>108141.04</v>
      </c>
      <c r="E358" s="180">
        <v>8110.5779999999995</v>
      </c>
      <c r="F358" s="180">
        <f t="shared" si="61"/>
        <v>116251.61799999999</v>
      </c>
      <c r="G358" s="182">
        <v>12782.63</v>
      </c>
      <c r="H358" s="182">
        <v>0</v>
      </c>
      <c r="I358" s="180">
        <v>958.69724999999994</v>
      </c>
      <c r="J358" s="180">
        <f t="shared" si="62"/>
        <v>1717629.5127500002</v>
      </c>
      <c r="K358" s="180">
        <f t="shared" si="63"/>
        <v>1717629.5127500002</v>
      </c>
    </row>
    <row r="359" spans="1:11" ht="13" x14ac:dyDescent="0.3">
      <c r="A359" s="174">
        <f t="shared" si="60"/>
        <v>278</v>
      </c>
      <c r="B359" s="132" t="s">
        <v>18</v>
      </c>
      <c r="C359" s="179">
        <v>2019</v>
      </c>
      <c r="D359" s="182">
        <v>189543.75000000003</v>
      </c>
      <c r="E359" s="180">
        <v>14215.781250000002</v>
      </c>
      <c r="F359" s="180">
        <f t="shared" si="61"/>
        <v>203759.53125000003</v>
      </c>
      <c r="G359" s="182">
        <v>19173.7</v>
      </c>
      <c r="H359" s="182">
        <v>0</v>
      </c>
      <c r="I359" s="180">
        <v>1438.0274999999999</v>
      </c>
      <c r="J359" s="180">
        <f t="shared" si="62"/>
        <v>1900777.3165000002</v>
      </c>
      <c r="K359" s="180">
        <f t="shared" si="63"/>
        <v>1900777.3165000002</v>
      </c>
    </row>
    <row r="360" spans="1:11" ht="13" x14ac:dyDescent="0.3">
      <c r="A360" s="174">
        <f t="shared" si="60"/>
        <v>279</v>
      </c>
      <c r="B360" s="132" t="s">
        <v>9</v>
      </c>
      <c r="C360" s="179">
        <v>2019</v>
      </c>
      <c r="D360" s="182">
        <v>243016.54</v>
      </c>
      <c r="E360" s="180">
        <v>18226.2405</v>
      </c>
      <c r="F360" s="180">
        <f t="shared" si="61"/>
        <v>261242.78049999999</v>
      </c>
      <c r="G360" s="182">
        <v>31956.329999999998</v>
      </c>
      <c r="H360" s="182">
        <v>0</v>
      </c>
      <c r="I360" s="180">
        <v>2396.7247499999999</v>
      </c>
      <c r="J360" s="180">
        <f t="shared" si="62"/>
        <v>2127667.0422499999</v>
      </c>
      <c r="K360" s="180">
        <f t="shared" si="63"/>
        <v>2127667.0422499999</v>
      </c>
    </row>
    <row r="361" spans="1:11" ht="13" x14ac:dyDescent="0.3">
      <c r="A361" s="174">
        <f t="shared" si="60"/>
        <v>280</v>
      </c>
      <c r="B361" s="132" t="s">
        <v>10</v>
      </c>
      <c r="C361" s="179">
        <v>2019</v>
      </c>
      <c r="D361" s="182">
        <v>323229.66000000003</v>
      </c>
      <c r="E361" s="180">
        <v>24242.2245</v>
      </c>
      <c r="F361" s="180">
        <f t="shared" si="61"/>
        <v>347471.88450000004</v>
      </c>
      <c r="G361" s="182">
        <v>51130.52</v>
      </c>
      <c r="H361" s="182">
        <v>0</v>
      </c>
      <c r="I361" s="180">
        <v>3834.7889999999998</v>
      </c>
      <c r="J361" s="180">
        <f t="shared" si="62"/>
        <v>2420173.6177500002</v>
      </c>
      <c r="K361" s="180">
        <f t="shared" si="63"/>
        <v>2420173.6177500002</v>
      </c>
    </row>
    <row r="362" spans="1:11" ht="13" x14ac:dyDescent="0.3">
      <c r="A362" s="174">
        <f t="shared" si="60"/>
        <v>281</v>
      </c>
      <c r="B362" s="132" t="s">
        <v>25</v>
      </c>
      <c r="C362" s="179">
        <v>2019</v>
      </c>
      <c r="D362" s="182">
        <v>376704.14</v>
      </c>
      <c r="E362" s="180">
        <v>28252.8105</v>
      </c>
      <c r="F362" s="180">
        <f t="shared" si="61"/>
        <v>404956.95050000004</v>
      </c>
      <c r="G362" s="182">
        <v>63913.15</v>
      </c>
      <c r="H362" s="182">
        <v>0</v>
      </c>
      <c r="I362" s="180">
        <v>4793.4862499999999</v>
      </c>
      <c r="J362" s="180">
        <f t="shared" si="62"/>
        <v>2756423.9320000005</v>
      </c>
      <c r="K362" s="180">
        <f t="shared" si="63"/>
        <v>2756423.9320000005</v>
      </c>
    </row>
    <row r="363" spans="1:11" ht="13" x14ac:dyDescent="0.3">
      <c r="A363" s="174">
        <f t="shared" si="60"/>
        <v>282</v>
      </c>
      <c r="B363" s="132" t="s">
        <v>11</v>
      </c>
      <c r="C363" s="179">
        <v>2019</v>
      </c>
      <c r="D363" s="182">
        <v>456914.76999999996</v>
      </c>
      <c r="E363" s="180">
        <v>34268.607749999996</v>
      </c>
      <c r="F363" s="180">
        <f t="shared" si="61"/>
        <v>491183.37774999999</v>
      </c>
      <c r="G363" s="182">
        <v>83086.849999999991</v>
      </c>
      <c r="H363" s="182">
        <v>0</v>
      </c>
      <c r="I363" s="180">
        <v>6231.5137499999992</v>
      </c>
      <c r="J363" s="180">
        <f t="shared" si="62"/>
        <v>3158288.9460000005</v>
      </c>
      <c r="K363" s="180">
        <f t="shared" si="63"/>
        <v>3158288.9460000005</v>
      </c>
    </row>
    <row r="364" spans="1:11" ht="13" x14ac:dyDescent="0.3">
      <c r="A364" s="174">
        <f t="shared" si="60"/>
        <v>283</v>
      </c>
      <c r="B364" s="132" t="s">
        <v>12</v>
      </c>
      <c r="C364" s="179">
        <v>2019</v>
      </c>
      <c r="D364" s="182">
        <v>483650.41000000003</v>
      </c>
      <c r="E364" s="180">
        <v>36273.780749999998</v>
      </c>
      <c r="F364" s="180">
        <f t="shared" si="61"/>
        <v>519924.19075000001</v>
      </c>
      <c r="G364" s="182">
        <v>89478.41</v>
      </c>
      <c r="H364" s="182">
        <v>0</v>
      </c>
      <c r="I364" s="180">
        <v>6710.8807500000003</v>
      </c>
      <c r="J364" s="180">
        <f t="shared" si="62"/>
        <v>3582023.8460000004</v>
      </c>
      <c r="K364" s="180">
        <f t="shared" si="63"/>
        <v>3582023.8460000004</v>
      </c>
    </row>
    <row r="365" spans="1:11" ht="13" x14ac:dyDescent="0.3">
      <c r="A365" s="174">
        <f t="shared" si="60"/>
        <v>284</v>
      </c>
      <c r="B365" s="132" t="s">
        <v>13</v>
      </c>
      <c r="C365" s="179">
        <v>2019</v>
      </c>
      <c r="D365" s="182">
        <v>483650.41000000003</v>
      </c>
      <c r="E365" s="180">
        <v>36273.780749999998</v>
      </c>
      <c r="F365" s="180">
        <f t="shared" si="61"/>
        <v>519924.19075000001</v>
      </c>
      <c r="G365" s="182">
        <v>89478.41</v>
      </c>
      <c r="H365" s="182">
        <v>0</v>
      </c>
      <c r="I365" s="180">
        <v>6710.8807500000003</v>
      </c>
      <c r="J365" s="180">
        <f t="shared" si="62"/>
        <v>4005758.7460000003</v>
      </c>
      <c r="K365" s="180">
        <f t="shared" si="63"/>
        <v>4005758.7460000003</v>
      </c>
    </row>
    <row r="366" spans="1:11" ht="13" x14ac:dyDescent="0.3">
      <c r="A366" s="174">
        <f t="shared" si="60"/>
        <v>285</v>
      </c>
      <c r="B366" s="132" t="s">
        <v>15</v>
      </c>
      <c r="C366" s="179">
        <v>2019</v>
      </c>
      <c r="D366" s="182">
        <v>483651.97</v>
      </c>
      <c r="E366" s="180">
        <v>36273.897749999996</v>
      </c>
      <c r="F366" s="180">
        <f t="shared" si="61"/>
        <v>519925.86774999998</v>
      </c>
      <c r="G366" s="182">
        <v>89478.41</v>
      </c>
      <c r="H366" s="182">
        <v>0</v>
      </c>
      <c r="I366" s="180">
        <v>6710.8807500000003</v>
      </c>
      <c r="J366" s="180">
        <f t="shared" si="62"/>
        <v>4429495.3230000008</v>
      </c>
      <c r="K366" s="180">
        <f t="shared" si="63"/>
        <v>4429495.3230000008</v>
      </c>
    </row>
    <row r="367" spans="1:11" ht="13" x14ac:dyDescent="0.3">
      <c r="A367" s="174">
        <f t="shared" si="60"/>
        <v>286</v>
      </c>
      <c r="B367" s="132" t="s">
        <v>14</v>
      </c>
      <c r="C367" s="179">
        <v>2019</v>
      </c>
      <c r="D367" s="182">
        <v>320844.81</v>
      </c>
      <c r="E367" s="180">
        <v>24063.36075</v>
      </c>
      <c r="F367" s="180">
        <f t="shared" si="61"/>
        <v>344908.17074999999</v>
      </c>
      <c r="G367" s="182">
        <v>76695.78</v>
      </c>
      <c r="H367" s="182">
        <v>0</v>
      </c>
      <c r="I367" s="180">
        <v>5752.1835000000001</v>
      </c>
      <c r="J367" s="180">
        <f t="shared" si="62"/>
        <v>4691955.5302499998</v>
      </c>
      <c r="K367" s="180">
        <f t="shared" si="63"/>
        <v>4691955.5302499998</v>
      </c>
    </row>
    <row r="368" spans="1:11" ht="13" x14ac:dyDescent="0.3">
      <c r="A368" s="174">
        <f t="shared" si="60"/>
        <v>287</v>
      </c>
      <c r="B368" s="132" t="s">
        <v>6</v>
      </c>
      <c r="C368" s="179">
        <v>2019</v>
      </c>
      <c r="D368" s="182">
        <v>4917683.42</v>
      </c>
      <c r="E368" s="180">
        <v>368826.25649999996</v>
      </c>
      <c r="F368" s="180">
        <f t="shared" si="61"/>
        <v>5286509.6765000001</v>
      </c>
      <c r="G368" s="182">
        <v>31956.329999999998</v>
      </c>
      <c r="H368" s="182">
        <v>0</v>
      </c>
      <c r="I368" s="180">
        <v>2396.7247499999999</v>
      </c>
      <c r="J368" s="180">
        <f t="shared" si="62"/>
        <v>9944112.1520000007</v>
      </c>
      <c r="K368" s="184">
        <f t="shared" si="63"/>
        <v>9944112.1520000007</v>
      </c>
    </row>
    <row r="369" spans="1:11" ht="13" x14ac:dyDescent="0.3">
      <c r="A369" s="174">
        <f t="shared" si="60"/>
        <v>288</v>
      </c>
      <c r="C369" s="204" t="s">
        <v>380</v>
      </c>
      <c r="K369" s="205">
        <f>AVERAGE(K356:K368)</f>
        <v>3359285.511423077</v>
      </c>
    </row>
    <row r="370" spans="1:11" ht="13" x14ac:dyDescent="0.3">
      <c r="A370" s="174"/>
      <c r="C370" s="204"/>
      <c r="K370" s="205"/>
    </row>
    <row r="371" spans="1:11" ht="13" x14ac:dyDescent="0.3">
      <c r="B371" s="207" t="s">
        <v>402</v>
      </c>
      <c r="D371" s="280" t="s">
        <v>403</v>
      </c>
      <c r="E371" s="280"/>
      <c r="F371" s="211"/>
    </row>
    <row r="372" spans="1:11" ht="13" x14ac:dyDescent="0.3">
      <c r="A372" s="177"/>
      <c r="B372" s="177"/>
      <c r="C372" s="177"/>
      <c r="D372" s="177" t="s">
        <v>148</v>
      </c>
      <c r="E372" s="177" t="s">
        <v>149</v>
      </c>
      <c r="F372" s="177" t="s">
        <v>150</v>
      </c>
      <c r="G372" s="177" t="s">
        <v>151</v>
      </c>
      <c r="H372" s="177" t="s">
        <v>329</v>
      </c>
      <c r="I372" s="177" t="s">
        <v>330</v>
      </c>
      <c r="J372" s="177" t="s">
        <v>346</v>
      </c>
      <c r="K372" s="177" t="s">
        <v>347</v>
      </c>
    </row>
    <row r="373" spans="1:11" ht="25.5" x14ac:dyDescent="0.3">
      <c r="D373" s="171"/>
      <c r="E373" s="208" t="s">
        <v>383</v>
      </c>
      <c r="F373" s="199" t="s">
        <v>384</v>
      </c>
      <c r="G373" s="199"/>
      <c r="H373" s="171"/>
      <c r="I373" s="208" t="s">
        <v>385</v>
      </c>
      <c r="J373" s="208" t="s">
        <v>386</v>
      </c>
      <c r="K373" s="208" t="s">
        <v>387</v>
      </c>
    </row>
    <row r="374" spans="1:11" ht="13" x14ac:dyDescent="0.3">
      <c r="D374" s="171"/>
      <c r="E374" s="208"/>
      <c r="F374" s="199"/>
      <c r="G374" s="210" t="str">
        <f>G51</f>
        <v>Unloaded</v>
      </c>
      <c r="H374" s="171"/>
      <c r="I374" s="208"/>
      <c r="J374" s="208"/>
      <c r="K374" s="208"/>
    </row>
    <row r="375" spans="1:11" ht="13" x14ac:dyDescent="0.3">
      <c r="A375" s="174"/>
      <c r="B375" s="174"/>
      <c r="C375" s="174"/>
      <c r="D375" s="174" t="str">
        <f>D$52</f>
        <v>Forecast</v>
      </c>
      <c r="E375" s="174" t="str">
        <f t="shared" ref="E375:J375" si="64">E$52</f>
        <v>Corporate</v>
      </c>
      <c r="F375" s="174" t="str">
        <f t="shared" si="64"/>
        <v xml:space="preserve">Total </v>
      </c>
      <c r="G375" s="210" t="str">
        <f>G52</f>
        <v>Total</v>
      </c>
      <c r="H375" s="174" t="str">
        <f t="shared" si="64"/>
        <v>Prior Period</v>
      </c>
      <c r="I375" s="174" t="str">
        <f t="shared" si="64"/>
        <v>Over Heads</v>
      </c>
      <c r="J375" s="174" t="str">
        <f t="shared" si="64"/>
        <v>Forecast</v>
      </c>
      <c r="K375" s="174" t="str">
        <f>K$52</f>
        <v>Forecast Period</v>
      </c>
    </row>
    <row r="376" spans="1:11" ht="13" x14ac:dyDescent="0.3">
      <c r="A376" s="176" t="s">
        <v>336</v>
      </c>
      <c r="B376" s="134" t="s">
        <v>16</v>
      </c>
      <c r="C376" s="134" t="s">
        <v>17</v>
      </c>
      <c r="D376" s="177" t="str">
        <f>D$53</f>
        <v>Expenditures</v>
      </c>
      <c r="E376" s="177" t="str">
        <f t="shared" ref="E376:J376" si="65">E$53</f>
        <v>Overheads</v>
      </c>
      <c r="F376" s="177" t="str">
        <f t="shared" si="65"/>
        <v>CWIP Exp</v>
      </c>
      <c r="G376" s="171" t="str">
        <f>G53</f>
        <v>Plant Adds</v>
      </c>
      <c r="H376" s="177" t="str">
        <f t="shared" si="65"/>
        <v>CWIP Closed</v>
      </c>
      <c r="I376" s="177" t="str">
        <f t="shared" si="65"/>
        <v>Closed to PIS</v>
      </c>
      <c r="J376" s="177" t="str">
        <f t="shared" si="65"/>
        <v>Period CWIP</v>
      </c>
      <c r="K376" s="177" t="str">
        <f>K$53</f>
        <v>Incremental CWIP</v>
      </c>
    </row>
    <row r="377" spans="1:11" ht="13" x14ac:dyDescent="0.3">
      <c r="A377" s="174">
        <f>A369+1</f>
        <v>289</v>
      </c>
      <c r="B377" s="132" t="s">
        <v>6</v>
      </c>
      <c r="C377" s="179">
        <v>2017</v>
      </c>
      <c r="D377" s="199" t="s">
        <v>361</v>
      </c>
      <c r="E377" s="199" t="s">
        <v>361</v>
      </c>
      <c r="F377" s="199" t="s">
        <v>361</v>
      </c>
      <c r="G377" s="199" t="s">
        <v>361</v>
      </c>
      <c r="H377" s="199" t="s">
        <v>361</v>
      </c>
      <c r="I377" s="199" t="s">
        <v>361</v>
      </c>
      <c r="J377" s="180">
        <v>0</v>
      </c>
      <c r="K377" s="199" t="s">
        <v>361</v>
      </c>
    </row>
    <row r="378" spans="1:11" ht="13" x14ac:dyDescent="0.3">
      <c r="A378" s="174">
        <f>A377+1</f>
        <v>290</v>
      </c>
      <c r="B378" s="132" t="s">
        <v>7</v>
      </c>
      <c r="C378" s="179">
        <v>2018</v>
      </c>
      <c r="D378" s="182">
        <v>2147654</v>
      </c>
      <c r="E378" s="180">
        <v>161074.04999999999</v>
      </c>
      <c r="F378" s="180">
        <f>E378+D378</f>
        <v>2308728.0499999998</v>
      </c>
      <c r="G378" s="182">
        <v>0</v>
      </c>
      <c r="H378" s="182">
        <v>0</v>
      </c>
      <c r="I378" s="180">
        <v>0</v>
      </c>
      <c r="J378" s="180">
        <f>J377+F378-G378-I378</f>
        <v>2308728.0499999998</v>
      </c>
      <c r="K378" s="180">
        <f>J378-$J$377</f>
        <v>2308728.0499999998</v>
      </c>
    </row>
    <row r="379" spans="1:11" ht="13" x14ac:dyDescent="0.3">
      <c r="A379" s="174">
        <f t="shared" ref="A379:A402" si="66">A378+1</f>
        <v>291</v>
      </c>
      <c r="B379" s="132" t="s">
        <v>8</v>
      </c>
      <c r="C379" s="179">
        <v>2018</v>
      </c>
      <c r="D379" s="182">
        <v>218055</v>
      </c>
      <c r="E379" s="180">
        <v>16354.125</v>
      </c>
      <c r="F379" s="180">
        <f t="shared" ref="F379:F401" si="67">E379+D379</f>
        <v>234409.125</v>
      </c>
      <c r="G379" s="182">
        <v>0</v>
      </c>
      <c r="H379" s="182">
        <v>0</v>
      </c>
      <c r="I379" s="180">
        <v>0</v>
      </c>
      <c r="J379" s="180">
        <f t="shared" ref="J379:J401" si="68">J378+F379-G379-I379</f>
        <v>2543137.1749999998</v>
      </c>
      <c r="K379" s="180">
        <f t="shared" ref="K379:K401" si="69">J379-$J$377</f>
        <v>2543137.1749999998</v>
      </c>
    </row>
    <row r="380" spans="1:11" ht="13" x14ac:dyDescent="0.3">
      <c r="A380" s="174">
        <f t="shared" si="66"/>
        <v>292</v>
      </c>
      <c r="B380" s="132" t="s">
        <v>18</v>
      </c>
      <c r="C380" s="179">
        <v>2018</v>
      </c>
      <c r="D380" s="182">
        <v>9974740.459999999</v>
      </c>
      <c r="E380" s="180">
        <v>748105.53449999995</v>
      </c>
      <c r="F380" s="180">
        <f t="shared" si="67"/>
        <v>10722845.994499998</v>
      </c>
      <c r="G380" s="182">
        <v>0</v>
      </c>
      <c r="H380" s="182">
        <v>0</v>
      </c>
      <c r="I380" s="180">
        <v>0</v>
      </c>
      <c r="J380" s="180">
        <f t="shared" si="68"/>
        <v>13265983.169499997</v>
      </c>
      <c r="K380" s="180">
        <f t="shared" si="69"/>
        <v>13265983.169499997</v>
      </c>
    </row>
    <row r="381" spans="1:11" ht="13" x14ac:dyDescent="0.3">
      <c r="A381" s="174">
        <f t="shared" si="66"/>
        <v>293</v>
      </c>
      <c r="B381" s="132" t="s">
        <v>9</v>
      </c>
      <c r="C381" s="179">
        <v>2018</v>
      </c>
      <c r="D381" s="182">
        <v>853930.00000000012</v>
      </c>
      <c r="E381" s="180">
        <v>64044.750000000007</v>
      </c>
      <c r="F381" s="180">
        <f t="shared" si="67"/>
        <v>917974.75000000012</v>
      </c>
      <c r="G381" s="182">
        <v>0</v>
      </c>
      <c r="H381" s="182">
        <v>0</v>
      </c>
      <c r="I381" s="180">
        <v>0</v>
      </c>
      <c r="J381" s="180">
        <f t="shared" si="68"/>
        <v>14183957.919499997</v>
      </c>
      <c r="K381" s="180">
        <f t="shared" si="69"/>
        <v>14183957.919499997</v>
      </c>
    </row>
    <row r="382" spans="1:11" ht="13" x14ac:dyDescent="0.3">
      <c r="A382" s="174">
        <f t="shared" si="66"/>
        <v>294</v>
      </c>
      <c r="B382" s="132" t="s">
        <v>10</v>
      </c>
      <c r="C382" s="179">
        <v>2018</v>
      </c>
      <c r="D382" s="182">
        <v>882930.00000000012</v>
      </c>
      <c r="E382" s="180">
        <v>66219.75</v>
      </c>
      <c r="F382" s="180">
        <f t="shared" si="67"/>
        <v>949149.75000000012</v>
      </c>
      <c r="G382" s="182">
        <v>0</v>
      </c>
      <c r="H382" s="182">
        <v>0</v>
      </c>
      <c r="I382" s="180">
        <v>0</v>
      </c>
      <c r="J382" s="180">
        <f t="shared" si="68"/>
        <v>15133107.669499997</v>
      </c>
      <c r="K382" s="180">
        <f t="shared" si="69"/>
        <v>15133107.669499997</v>
      </c>
    </row>
    <row r="383" spans="1:11" ht="13" x14ac:dyDescent="0.3">
      <c r="A383" s="174">
        <f t="shared" si="66"/>
        <v>295</v>
      </c>
      <c r="B383" s="132" t="s">
        <v>25</v>
      </c>
      <c r="C383" s="179">
        <v>2018</v>
      </c>
      <c r="D383" s="182">
        <v>895930.00000000012</v>
      </c>
      <c r="E383" s="180">
        <v>67194.75</v>
      </c>
      <c r="F383" s="180">
        <f t="shared" si="67"/>
        <v>963124.75000000012</v>
      </c>
      <c r="G383" s="182">
        <v>0</v>
      </c>
      <c r="H383" s="182">
        <v>0</v>
      </c>
      <c r="I383" s="180">
        <v>0</v>
      </c>
      <c r="J383" s="180">
        <f t="shared" si="68"/>
        <v>16096232.419499997</v>
      </c>
      <c r="K383" s="180">
        <f t="shared" si="69"/>
        <v>16096232.419499997</v>
      </c>
    </row>
    <row r="384" spans="1:11" ht="13" x14ac:dyDescent="0.3">
      <c r="A384" s="174">
        <f t="shared" si="66"/>
        <v>296</v>
      </c>
      <c r="B384" s="132" t="s">
        <v>11</v>
      </c>
      <c r="C384" s="179">
        <v>2018</v>
      </c>
      <c r="D384" s="182">
        <v>880860</v>
      </c>
      <c r="E384" s="180">
        <v>66064.5</v>
      </c>
      <c r="F384" s="180">
        <f t="shared" si="67"/>
        <v>946924.5</v>
      </c>
      <c r="G384" s="182">
        <v>0</v>
      </c>
      <c r="H384" s="182">
        <v>0</v>
      </c>
      <c r="I384" s="180">
        <v>0</v>
      </c>
      <c r="J384" s="180">
        <f t="shared" si="68"/>
        <v>17043156.919499997</v>
      </c>
      <c r="K384" s="180">
        <f t="shared" si="69"/>
        <v>17043156.919499997</v>
      </c>
    </row>
    <row r="385" spans="1:11" ht="13" x14ac:dyDescent="0.3">
      <c r="A385" s="174">
        <f t="shared" si="66"/>
        <v>297</v>
      </c>
      <c r="B385" s="132" t="s">
        <v>12</v>
      </c>
      <c r="C385" s="179">
        <v>2018</v>
      </c>
      <c r="D385" s="182">
        <v>882860</v>
      </c>
      <c r="E385" s="180">
        <v>66214.5</v>
      </c>
      <c r="F385" s="180">
        <f t="shared" si="67"/>
        <v>949074.5</v>
      </c>
      <c r="G385" s="182">
        <v>0</v>
      </c>
      <c r="H385" s="182">
        <v>0</v>
      </c>
      <c r="I385" s="180">
        <v>0</v>
      </c>
      <c r="J385" s="180">
        <f t="shared" si="68"/>
        <v>17992231.419499997</v>
      </c>
      <c r="K385" s="180">
        <f t="shared" si="69"/>
        <v>17992231.419499997</v>
      </c>
    </row>
    <row r="386" spans="1:11" ht="13" x14ac:dyDescent="0.3">
      <c r="A386" s="174">
        <f t="shared" si="66"/>
        <v>298</v>
      </c>
      <c r="B386" s="132" t="s">
        <v>13</v>
      </c>
      <c r="C386" s="179">
        <v>2018</v>
      </c>
      <c r="D386" s="182">
        <v>945860</v>
      </c>
      <c r="E386" s="180">
        <v>70939.5</v>
      </c>
      <c r="F386" s="180">
        <f t="shared" si="67"/>
        <v>1016799.5</v>
      </c>
      <c r="G386" s="182">
        <v>0</v>
      </c>
      <c r="H386" s="182">
        <v>0</v>
      </c>
      <c r="I386" s="180">
        <v>0</v>
      </c>
      <c r="J386" s="180">
        <f t="shared" si="68"/>
        <v>19009030.919499997</v>
      </c>
      <c r="K386" s="180">
        <f t="shared" si="69"/>
        <v>19009030.919499997</v>
      </c>
    </row>
    <row r="387" spans="1:11" ht="13" x14ac:dyDescent="0.3">
      <c r="A387" s="174">
        <f t="shared" si="66"/>
        <v>299</v>
      </c>
      <c r="B387" s="132" t="s">
        <v>15</v>
      </c>
      <c r="C387" s="179">
        <v>2018</v>
      </c>
      <c r="D387" s="182">
        <v>598790</v>
      </c>
      <c r="E387" s="180">
        <v>44909.25</v>
      </c>
      <c r="F387" s="180">
        <f t="shared" si="67"/>
        <v>643699.25</v>
      </c>
      <c r="G387" s="182">
        <v>0</v>
      </c>
      <c r="H387" s="182">
        <v>0</v>
      </c>
      <c r="I387" s="180">
        <v>0</v>
      </c>
      <c r="J387" s="180">
        <f t="shared" si="68"/>
        <v>19652730.169499997</v>
      </c>
      <c r="K387" s="180">
        <f t="shared" si="69"/>
        <v>19652730.169499997</v>
      </c>
    </row>
    <row r="388" spans="1:11" ht="13" x14ac:dyDescent="0.3">
      <c r="A388" s="174">
        <f t="shared" si="66"/>
        <v>300</v>
      </c>
      <c r="B388" s="132" t="s">
        <v>14</v>
      </c>
      <c r="C388" s="179">
        <v>2018</v>
      </c>
      <c r="D388" s="182">
        <v>304720</v>
      </c>
      <c r="E388" s="180">
        <v>22854</v>
      </c>
      <c r="F388" s="180">
        <f t="shared" si="67"/>
        <v>327574</v>
      </c>
      <c r="G388" s="182">
        <v>0</v>
      </c>
      <c r="H388" s="182">
        <v>0</v>
      </c>
      <c r="I388" s="180">
        <v>0</v>
      </c>
      <c r="J388" s="180">
        <f t="shared" si="68"/>
        <v>19980304.169499997</v>
      </c>
      <c r="K388" s="180">
        <f t="shared" si="69"/>
        <v>19980304.169499997</v>
      </c>
    </row>
    <row r="389" spans="1:11" ht="13" x14ac:dyDescent="0.3">
      <c r="A389" s="174">
        <f t="shared" si="66"/>
        <v>301</v>
      </c>
      <c r="B389" s="132" t="s">
        <v>6</v>
      </c>
      <c r="C389" s="179">
        <v>2018</v>
      </c>
      <c r="D389" s="182">
        <v>846161</v>
      </c>
      <c r="E389" s="180">
        <v>63462.074999999997</v>
      </c>
      <c r="F389" s="180">
        <f t="shared" si="67"/>
        <v>909623.07499999995</v>
      </c>
      <c r="G389" s="182">
        <v>36717.159999999996</v>
      </c>
      <c r="H389" s="182">
        <v>15957.7</v>
      </c>
      <c r="I389" s="180">
        <v>1556.9594999999997</v>
      </c>
      <c r="J389" s="180">
        <f t="shared" si="68"/>
        <v>20851653.124999996</v>
      </c>
      <c r="K389" s="180">
        <f t="shared" si="69"/>
        <v>20851653.124999996</v>
      </c>
    </row>
    <row r="390" spans="1:11" ht="13" x14ac:dyDescent="0.3">
      <c r="A390" s="174">
        <f t="shared" si="66"/>
        <v>302</v>
      </c>
      <c r="B390" s="132" t="s">
        <v>7</v>
      </c>
      <c r="C390" s="179">
        <v>2019</v>
      </c>
      <c r="D390" s="182">
        <v>467930</v>
      </c>
      <c r="E390" s="180">
        <v>35094.75</v>
      </c>
      <c r="F390" s="180">
        <f t="shared" si="67"/>
        <v>503024.75</v>
      </c>
      <c r="G390" s="182">
        <v>930</v>
      </c>
      <c r="H390" s="182">
        <v>0</v>
      </c>
      <c r="I390" s="180">
        <v>69.75</v>
      </c>
      <c r="J390" s="180">
        <f t="shared" si="68"/>
        <v>21353678.124999996</v>
      </c>
      <c r="K390" s="180">
        <f t="shared" si="69"/>
        <v>21353678.124999996</v>
      </c>
    </row>
    <row r="391" spans="1:11" ht="13" x14ac:dyDescent="0.3">
      <c r="A391" s="174">
        <f t="shared" si="66"/>
        <v>303</v>
      </c>
      <c r="B391" s="132" t="s">
        <v>8</v>
      </c>
      <c r="C391" s="179">
        <v>2019</v>
      </c>
      <c r="D391" s="182">
        <v>1274860.0000000002</v>
      </c>
      <c r="E391" s="180">
        <v>95614.500000000015</v>
      </c>
      <c r="F391" s="180">
        <f t="shared" si="67"/>
        <v>1370474.5000000002</v>
      </c>
      <c r="G391" s="182">
        <v>1860</v>
      </c>
      <c r="H391" s="182">
        <v>0</v>
      </c>
      <c r="I391" s="180">
        <v>139.5</v>
      </c>
      <c r="J391" s="180">
        <f t="shared" si="68"/>
        <v>22722153.124999996</v>
      </c>
      <c r="K391" s="180">
        <f t="shared" si="69"/>
        <v>22722153.124999996</v>
      </c>
    </row>
    <row r="392" spans="1:11" ht="13" x14ac:dyDescent="0.3">
      <c r="A392" s="174">
        <f t="shared" si="66"/>
        <v>304</v>
      </c>
      <c r="B392" s="132" t="s">
        <v>18</v>
      </c>
      <c r="C392" s="179">
        <v>2019</v>
      </c>
      <c r="D392" s="182">
        <v>1280860.0000000002</v>
      </c>
      <c r="E392" s="180">
        <v>96064.500000000015</v>
      </c>
      <c r="F392" s="180">
        <f t="shared" si="67"/>
        <v>1376924.5000000002</v>
      </c>
      <c r="G392" s="182">
        <v>1860</v>
      </c>
      <c r="H392" s="182">
        <v>0</v>
      </c>
      <c r="I392" s="180">
        <v>139.5</v>
      </c>
      <c r="J392" s="180">
        <f t="shared" si="68"/>
        <v>24097078.124999996</v>
      </c>
      <c r="K392" s="180">
        <f t="shared" si="69"/>
        <v>24097078.124999996</v>
      </c>
    </row>
    <row r="393" spans="1:11" ht="13" x14ac:dyDescent="0.3">
      <c r="A393" s="174">
        <f t="shared" si="66"/>
        <v>305</v>
      </c>
      <c r="B393" s="132" t="s">
        <v>9</v>
      </c>
      <c r="C393" s="179">
        <v>2019</v>
      </c>
      <c r="D393" s="182">
        <v>1268860.0000000002</v>
      </c>
      <c r="E393" s="180">
        <v>95164.500000000015</v>
      </c>
      <c r="F393" s="180">
        <f t="shared" si="67"/>
        <v>1364024.5000000002</v>
      </c>
      <c r="G393" s="182">
        <v>1860</v>
      </c>
      <c r="H393" s="182">
        <v>0</v>
      </c>
      <c r="I393" s="180">
        <v>139.5</v>
      </c>
      <c r="J393" s="180">
        <f t="shared" si="68"/>
        <v>25459103.124999996</v>
      </c>
      <c r="K393" s="180">
        <f t="shared" si="69"/>
        <v>25459103.124999996</v>
      </c>
    </row>
    <row r="394" spans="1:11" ht="13" x14ac:dyDescent="0.3">
      <c r="A394" s="174">
        <f t="shared" si="66"/>
        <v>306</v>
      </c>
      <c r="B394" s="132" t="s">
        <v>10</v>
      </c>
      <c r="C394" s="179">
        <v>2019</v>
      </c>
      <c r="D394" s="182">
        <v>1337300</v>
      </c>
      <c r="E394" s="180">
        <v>100297.5</v>
      </c>
      <c r="F394" s="180">
        <f t="shared" si="67"/>
        <v>1437597.5</v>
      </c>
      <c r="G394" s="182">
        <v>9300</v>
      </c>
      <c r="H394" s="182">
        <v>0</v>
      </c>
      <c r="I394" s="180">
        <v>697.5</v>
      </c>
      <c r="J394" s="180">
        <f t="shared" si="68"/>
        <v>26886703.124999996</v>
      </c>
      <c r="K394" s="180">
        <f t="shared" si="69"/>
        <v>26886703.124999996</v>
      </c>
    </row>
    <row r="395" spans="1:11" ht="13" x14ac:dyDescent="0.3">
      <c r="A395" s="174">
        <f t="shared" si="66"/>
        <v>307</v>
      </c>
      <c r="B395" s="132" t="s">
        <v>25</v>
      </c>
      <c r="C395" s="179">
        <v>2019</v>
      </c>
      <c r="D395" s="182">
        <v>15335150</v>
      </c>
      <c r="E395" s="180">
        <v>1150136.25</v>
      </c>
      <c r="F395" s="180">
        <f t="shared" si="67"/>
        <v>16485286.25</v>
      </c>
      <c r="G395" s="182">
        <v>9300</v>
      </c>
      <c r="H395" s="182">
        <v>0</v>
      </c>
      <c r="I395" s="180">
        <v>697.5</v>
      </c>
      <c r="J395" s="180">
        <f t="shared" si="68"/>
        <v>43361991.875</v>
      </c>
      <c r="K395" s="180">
        <f t="shared" si="69"/>
        <v>43361991.875</v>
      </c>
    </row>
    <row r="396" spans="1:11" ht="13" x14ac:dyDescent="0.3">
      <c r="A396" s="174">
        <f t="shared" si="66"/>
        <v>308</v>
      </c>
      <c r="B396" s="132" t="s">
        <v>11</v>
      </c>
      <c r="C396" s="179">
        <v>2019</v>
      </c>
      <c r="D396" s="182">
        <v>698300</v>
      </c>
      <c r="E396" s="180">
        <v>52372.5</v>
      </c>
      <c r="F396" s="180">
        <f t="shared" si="67"/>
        <v>750672.5</v>
      </c>
      <c r="G396" s="182">
        <v>9300</v>
      </c>
      <c r="H396" s="182">
        <v>0</v>
      </c>
      <c r="I396" s="180">
        <v>697.5</v>
      </c>
      <c r="J396" s="180">
        <f t="shared" si="68"/>
        <v>44102666.875</v>
      </c>
      <c r="K396" s="180">
        <f t="shared" si="69"/>
        <v>44102666.875</v>
      </c>
    </row>
    <row r="397" spans="1:11" ht="13" x14ac:dyDescent="0.3">
      <c r="A397" s="174">
        <f t="shared" si="66"/>
        <v>309</v>
      </c>
      <c r="B397" s="132" t="s">
        <v>12</v>
      </c>
      <c r="C397" s="179">
        <v>2019</v>
      </c>
      <c r="D397" s="182">
        <v>634300</v>
      </c>
      <c r="E397" s="180">
        <v>47572.5</v>
      </c>
      <c r="F397" s="180">
        <f t="shared" si="67"/>
        <v>681872.5</v>
      </c>
      <c r="G397" s="182">
        <v>13998455.939999999</v>
      </c>
      <c r="H397" s="182">
        <v>8470082.9399999995</v>
      </c>
      <c r="I397" s="180">
        <v>414627.97499999998</v>
      </c>
      <c r="J397" s="180">
        <f t="shared" si="68"/>
        <v>30371455.460000001</v>
      </c>
      <c r="K397" s="180">
        <f t="shared" si="69"/>
        <v>30371455.460000001</v>
      </c>
    </row>
    <row r="398" spans="1:11" ht="13" x14ac:dyDescent="0.3">
      <c r="A398" s="174">
        <f t="shared" si="66"/>
        <v>310</v>
      </c>
      <c r="B398" s="132" t="s">
        <v>13</v>
      </c>
      <c r="C398" s="179">
        <v>2019</v>
      </c>
      <c r="D398" s="182">
        <v>475600</v>
      </c>
      <c r="E398" s="180">
        <v>35670</v>
      </c>
      <c r="F398" s="180">
        <f t="shared" si="67"/>
        <v>511270</v>
      </c>
      <c r="G398" s="182">
        <v>23600</v>
      </c>
      <c r="H398" s="182">
        <v>0</v>
      </c>
      <c r="I398" s="180">
        <v>1770</v>
      </c>
      <c r="J398" s="180">
        <f t="shared" si="68"/>
        <v>30857355.460000001</v>
      </c>
      <c r="K398" s="180">
        <f t="shared" si="69"/>
        <v>30857355.460000001</v>
      </c>
    </row>
    <row r="399" spans="1:11" ht="13" x14ac:dyDescent="0.3">
      <c r="A399" s="174">
        <f t="shared" si="66"/>
        <v>311</v>
      </c>
      <c r="B399" s="132" t="s">
        <v>15</v>
      </c>
      <c r="C399" s="179">
        <v>2019</v>
      </c>
      <c r="D399" s="182">
        <v>15244900</v>
      </c>
      <c r="E399" s="180">
        <v>1143367.5</v>
      </c>
      <c r="F399" s="180">
        <f t="shared" si="67"/>
        <v>16388267.5</v>
      </c>
      <c r="G399" s="182">
        <v>14191373.269999998</v>
      </c>
      <c r="H399" s="182">
        <v>6167259.2699999996</v>
      </c>
      <c r="I399" s="180">
        <v>601808.54999999981</v>
      </c>
      <c r="J399" s="180">
        <f t="shared" si="68"/>
        <v>32452441.140000004</v>
      </c>
      <c r="K399" s="180">
        <f t="shared" si="69"/>
        <v>32452441.140000004</v>
      </c>
    </row>
    <row r="400" spans="1:11" ht="13" x14ac:dyDescent="0.3">
      <c r="A400" s="174">
        <f t="shared" si="66"/>
        <v>312</v>
      </c>
      <c r="B400" s="132" t="s">
        <v>14</v>
      </c>
      <c r="C400" s="179">
        <v>2019</v>
      </c>
      <c r="D400" s="182">
        <v>4581991</v>
      </c>
      <c r="E400" s="180">
        <v>343649.32500000001</v>
      </c>
      <c r="F400" s="180">
        <f t="shared" si="67"/>
        <v>4925640.3250000002</v>
      </c>
      <c r="G400" s="182">
        <v>16164858.359999998</v>
      </c>
      <c r="H400" s="182">
        <v>6140181.3599999994</v>
      </c>
      <c r="I400" s="180">
        <v>751850.77499999979</v>
      </c>
      <c r="J400" s="180">
        <f t="shared" si="68"/>
        <v>20461372.330000006</v>
      </c>
      <c r="K400" s="180">
        <f t="shared" si="69"/>
        <v>20461372.330000006</v>
      </c>
    </row>
    <row r="401" spans="1:11" ht="13" x14ac:dyDescent="0.3">
      <c r="A401" s="174">
        <f t="shared" si="66"/>
        <v>313</v>
      </c>
      <c r="B401" s="132" t="s">
        <v>6</v>
      </c>
      <c r="C401" s="179">
        <v>2019</v>
      </c>
      <c r="D401" s="182">
        <v>4343830.0000000019</v>
      </c>
      <c r="E401" s="180">
        <v>325787.25000000012</v>
      </c>
      <c r="F401" s="180">
        <f t="shared" si="67"/>
        <v>4669617.2500000019</v>
      </c>
      <c r="G401" s="182">
        <v>1285159.9999999998</v>
      </c>
      <c r="H401" s="182">
        <v>0</v>
      </c>
      <c r="I401" s="180">
        <v>96386.999999999985</v>
      </c>
      <c r="J401" s="180">
        <f t="shared" si="68"/>
        <v>23749442.580000006</v>
      </c>
      <c r="K401" s="184">
        <f t="shared" si="69"/>
        <v>23749442.580000006</v>
      </c>
    </row>
    <row r="402" spans="1:11" ht="13" x14ac:dyDescent="0.3">
      <c r="A402" s="174">
        <f t="shared" si="66"/>
        <v>314</v>
      </c>
      <c r="C402" s="204" t="s">
        <v>380</v>
      </c>
      <c r="H402" s="199"/>
      <c r="I402" s="199"/>
      <c r="K402" s="205">
        <f>AVERAGE(K389:K401)</f>
        <v>28209776.497692302</v>
      </c>
    </row>
    <row r="403" spans="1:11" ht="13" x14ac:dyDescent="0.3">
      <c r="A403" s="174"/>
      <c r="C403" s="204"/>
      <c r="H403" s="199"/>
      <c r="I403" s="199"/>
      <c r="K403" s="205"/>
    </row>
    <row r="404" spans="1:11" ht="13" x14ac:dyDescent="0.3">
      <c r="B404" s="207" t="s">
        <v>404</v>
      </c>
      <c r="D404" s="212" t="s">
        <v>405</v>
      </c>
      <c r="E404" s="212"/>
      <c r="F404" s="213"/>
      <c r="G404" s="213"/>
    </row>
    <row r="405" spans="1:11" ht="13" x14ac:dyDescent="0.3">
      <c r="A405" s="177"/>
      <c r="B405" s="177"/>
      <c r="C405" s="177"/>
      <c r="D405" s="177" t="s">
        <v>148</v>
      </c>
      <c r="E405" s="177" t="s">
        <v>149</v>
      </c>
      <c r="F405" s="177" t="s">
        <v>150</v>
      </c>
      <c r="G405" s="177" t="s">
        <v>151</v>
      </c>
      <c r="H405" s="177" t="s">
        <v>329</v>
      </c>
      <c r="I405" s="177" t="s">
        <v>330</v>
      </c>
      <c r="J405" s="177" t="s">
        <v>346</v>
      </c>
      <c r="K405" s="177" t="s">
        <v>347</v>
      </c>
    </row>
    <row r="406" spans="1:11" ht="25.5" x14ac:dyDescent="0.3">
      <c r="D406" s="171"/>
      <c r="E406" s="208" t="s">
        <v>383</v>
      </c>
      <c r="F406" s="199" t="s">
        <v>384</v>
      </c>
      <c r="G406" s="199"/>
      <c r="H406" s="171"/>
      <c r="I406" s="208" t="s">
        <v>385</v>
      </c>
      <c r="J406" s="208" t="s">
        <v>386</v>
      </c>
      <c r="K406" s="208" t="s">
        <v>387</v>
      </c>
    </row>
    <row r="407" spans="1:11" ht="13" x14ac:dyDescent="0.3">
      <c r="D407" s="171"/>
      <c r="E407" s="208"/>
      <c r="F407" s="199"/>
      <c r="G407" s="210" t="str">
        <f>G85</f>
        <v>Unloaded</v>
      </c>
      <c r="H407" s="171"/>
      <c r="I407" s="208"/>
      <c r="J407" s="208"/>
      <c r="K407" s="208"/>
    </row>
    <row r="408" spans="1:11" ht="13" x14ac:dyDescent="0.3">
      <c r="A408" s="174"/>
      <c r="B408" s="174"/>
      <c r="C408" s="174"/>
      <c r="D408" s="174" t="str">
        <f>D$52</f>
        <v>Forecast</v>
      </c>
      <c r="E408" s="174" t="str">
        <f t="shared" ref="E408:J408" si="70">E$52</f>
        <v>Corporate</v>
      </c>
      <c r="F408" s="174" t="str">
        <f t="shared" si="70"/>
        <v xml:space="preserve">Total </v>
      </c>
      <c r="G408" s="210" t="str">
        <f>G86</f>
        <v>Total</v>
      </c>
      <c r="H408" s="174" t="str">
        <f t="shared" si="70"/>
        <v>Prior Period</v>
      </c>
      <c r="I408" s="174" t="str">
        <f t="shared" si="70"/>
        <v>Over Heads</v>
      </c>
      <c r="J408" s="174" t="str">
        <f t="shared" si="70"/>
        <v>Forecast</v>
      </c>
      <c r="K408" s="174" t="str">
        <f>K$52</f>
        <v>Forecast Period</v>
      </c>
    </row>
    <row r="409" spans="1:11" ht="13" x14ac:dyDescent="0.3">
      <c r="A409" s="176" t="s">
        <v>336</v>
      </c>
      <c r="B409" s="134" t="s">
        <v>16</v>
      </c>
      <c r="C409" s="134" t="s">
        <v>17</v>
      </c>
      <c r="D409" s="177" t="str">
        <f>D$53</f>
        <v>Expenditures</v>
      </c>
      <c r="E409" s="177" t="str">
        <f t="shared" ref="E409:J409" si="71">E$53</f>
        <v>Overheads</v>
      </c>
      <c r="F409" s="177" t="str">
        <f t="shared" si="71"/>
        <v>CWIP Exp</v>
      </c>
      <c r="G409" s="171" t="str">
        <f>G87</f>
        <v>Plant Adds</v>
      </c>
      <c r="H409" s="177" t="str">
        <f t="shared" si="71"/>
        <v>CWIP Closed</v>
      </c>
      <c r="I409" s="177" t="str">
        <f t="shared" si="71"/>
        <v>Closed to PIS</v>
      </c>
      <c r="J409" s="177" t="str">
        <f t="shared" si="71"/>
        <v>Period CWIP</v>
      </c>
      <c r="K409" s="177" t="str">
        <f>K$53</f>
        <v>Incremental CWIP</v>
      </c>
    </row>
    <row r="410" spans="1:11" ht="13" x14ac:dyDescent="0.3">
      <c r="A410" s="174">
        <f>A402+1</f>
        <v>315</v>
      </c>
      <c r="B410" s="132" t="s">
        <v>6</v>
      </c>
      <c r="C410" s="179">
        <v>2017</v>
      </c>
      <c r="D410" s="199" t="s">
        <v>361</v>
      </c>
      <c r="E410" s="199" t="s">
        <v>361</v>
      </c>
      <c r="F410" s="199" t="s">
        <v>361</v>
      </c>
      <c r="G410" s="199" t="s">
        <v>361</v>
      </c>
      <c r="H410" s="199" t="s">
        <v>361</v>
      </c>
      <c r="I410" s="199" t="s">
        <v>361</v>
      </c>
      <c r="J410" s="180">
        <v>0</v>
      </c>
      <c r="K410" s="199" t="s">
        <v>361</v>
      </c>
    </row>
    <row r="411" spans="1:11" ht="13" x14ac:dyDescent="0.3">
      <c r="A411" s="174">
        <f>A410+1</f>
        <v>316</v>
      </c>
      <c r="B411" s="132" t="s">
        <v>7</v>
      </c>
      <c r="C411" s="179">
        <v>2018</v>
      </c>
      <c r="D411" s="182"/>
      <c r="E411" s="180">
        <v>0</v>
      </c>
      <c r="F411" s="180">
        <f>E411+D411</f>
        <v>0</v>
      </c>
      <c r="G411" s="182"/>
      <c r="H411" s="182"/>
      <c r="I411" s="180">
        <v>0</v>
      </c>
      <c r="J411" s="180">
        <f>J410+F411-G411-I411</f>
        <v>0</v>
      </c>
      <c r="K411" s="180">
        <f>J411-$J$377</f>
        <v>0</v>
      </c>
    </row>
    <row r="412" spans="1:11" ht="13" x14ac:dyDescent="0.3">
      <c r="A412" s="174">
        <f t="shared" ref="A412:A435" si="72">A411+1</f>
        <v>317</v>
      </c>
      <c r="B412" s="132" t="s">
        <v>8</v>
      </c>
      <c r="C412" s="179">
        <v>2018</v>
      </c>
      <c r="D412" s="182"/>
      <c r="E412" s="180">
        <v>0</v>
      </c>
      <c r="F412" s="180">
        <f t="shared" ref="F412:F434" si="73">E412+D412</f>
        <v>0</v>
      </c>
      <c r="G412" s="182"/>
      <c r="H412" s="182"/>
      <c r="I412" s="180">
        <v>0</v>
      </c>
      <c r="J412" s="180">
        <f t="shared" ref="J412:J434" si="74">J411+F412-G412-I412</f>
        <v>0</v>
      </c>
      <c r="K412" s="180">
        <f t="shared" ref="K412:K434" si="75">J412-$J$377</f>
        <v>0</v>
      </c>
    </row>
    <row r="413" spans="1:11" ht="13" x14ac:dyDescent="0.3">
      <c r="A413" s="174">
        <f t="shared" si="72"/>
        <v>318</v>
      </c>
      <c r="B413" s="132" t="s">
        <v>18</v>
      </c>
      <c r="C413" s="179">
        <v>2018</v>
      </c>
      <c r="D413" s="182"/>
      <c r="E413" s="180">
        <v>0</v>
      </c>
      <c r="F413" s="180">
        <f t="shared" si="73"/>
        <v>0</v>
      </c>
      <c r="G413" s="182"/>
      <c r="H413" s="182"/>
      <c r="I413" s="180">
        <v>0</v>
      </c>
      <c r="J413" s="180">
        <f t="shared" si="74"/>
        <v>0</v>
      </c>
      <c r="K413" s="180">
        <f t="shared" si="75"/>
        <v>0</v>
      </c>
    </row>
    <row r="414" spans="1:11" ht="13" x14ac:dyDescent="0.3">
      <c r="A414" s="174">
        <f t="shared" si="72"/>
        <v>319</v>
      </c>
      <c r="B414" s="132" t="s">
        <v>9</v>
      </c>
      <c r="C414" s="179">
        <v>2018</v>
      </c>
      <c r="D414" s="182"/>
      <c r="E414" s="180">
        <v>0</v>
      </c>
      <c r="F414" s="180">
        <f t="shared" si="73"/>
        <v>0</v>
      </c>
      <c r="G414" s="182"/>
      <c r="H414" s="182"/>
      <c r="I414" s="180">
        <v>0</v>
      </c>
      <c r="J414" s="180">
        <f t="shared" si="74"/>
        <v>0</v>
      </c>
      <c r="K414" s="180">
        <f t="shared" si="75"/>
        <v>0</v>
      </c>
    </row>
    <row r="415" spans="1:11" ht="13" x14ac:dyDescent="0.3">
      <c r="A415" s="174">
        <f t="shared" si="72"/>
        <v>320</v>
      </c>
      <c r="B415" s="132" t="s">
        <v>10</v>
      </c>
      <c r="C415" s="179">
        <v>2018</v>
      </c>
      <c r="D415" s="182"/>
      <c r="E415" s="180">
        <v>0</v>
      </c>
      <c r="F415" s="180">
        <f t="shared" si="73"/>
        <v>0</v>
      </c>
      <c r="G415" s="182"/>
      <c r="H415" s="182"/>
      <c r="I415" s="180">
        <v>0</v>
      </c>
      <c r="J415" s="180">
        <f t="shared" si="74"/>
        <v>0</v>
      </c>
      <c r="K415" s="180">
        <f t="shared" si="75"/>
        <v>0</v>
      </c>
    </row>
    <row r="416" spans="1:11" ht="13" x14ac:dyDescent="0.3">
      <c r="A416" s="174">
        <f t="shared" si="72"/>
        <v>321</v>
      </c>
      <c r="B416" s="132" t="s">
        <v>25</v>
      </c>
      <c r="C416" s="179">
        <v>2018</v>
      </c>
      <c r="D416" s="182"/>
      <c r="E416" s="180">
        <v>0</v>
      </c>
      <c r="F416" s="180">
        <f t="shared" si="73"/>
        <v>0</v>
      </c>
      <c r="G416" s="182"/>
      <c r="H416" s="182"/>
      <c r="I416" s="180">
        <v>0</v>
      </c>
      <c r="J416" s="180">
        <f t="shared" si="74"/>
        <v>0</v>
      </c>
      <c r="K416" s="180">
        <f t="shared" si="75"/>
        <v>0</v>
      </c>
    </row>
    <row r="417" spans="1:11" ht="13" x14ac:dyDescent="0.3">
      <c r="A417" s="174">
        <f t="shared" si="72"/>
        <v>322</v>
      </c>
      <c r="B417" s="132" t="s">
        <v>11</v>
      </c>
      <c r="C417" s="179">
        <v>2018</v>
      </c>
      <c r="D417" s="182"/>
      <c r="E417" s="180">
        <v>0</v>
      </c>
      <c r="F417" s="180">
        <f t="shared" si="73"/>
        <v>0</v>
      </c>
      <c r="G417" s="182"/>
      <c r="H417" s="182"/>
      <c r="I417" s="180">
        <v>0</v>
      </c>
      <c r="J417" s="180">
        <f t="shared" si="74"/>
        <v>0</v>
      </c>
      <c r="K417" s="180">
        <f t="shared" si="75"/>
        <v>0</v>
      </c>
    </row>
    <row r="418" spans="1:11" ht="13" x14ac:dyDescent="0.3">
      <c r="A418" s="174">
        <f t="shared" si="72"/>
        <v>323</v>
      </c>
      <c r="B418" s="132" t="s">
        <v>12</v>
      </c>
      <c r="C418" s="179">
        <v>2018</v>
      </c>
      <c r="D418" s="182"/>
      <c r="E418" s="180">
        <v>0</v>
      </c>
      <c r="F418" s="180">
        <f t="shared" si="73"/>
        <v>0</v>
      </c>
      <c r="G418" s="182"/>
      <c r="H418" s="182"/>
      <c r="I418" s="180">
        <v>0</v>
      </c>
      <c r="J418" s="180">
        <f t="shared" si="74"/>
        <v>0</v>
      </c>
      <c r="K418" s="180">
        <f t="shared" si="75"/>
        <v>0</v>
      </c>
    </row>
    <row r="419" spans="1:11" ht="13" x14ac:dyDescent="0.3">
      <c r="A419" s="174">
        <f t="shared" si="72"/>
        <v>324</v>
      </c>
      <c r="B419" s="132" t="s">
        <v>13</v>
      </c>
      <c r="C419" s="179">
        <v>2018</v>
      </c>
      <c r="D419" s="182"/>
      <c r="E419" s="180">
        <v>0</v>
      </c>
      <c r="F419" s="180">
        <f t="shared" si="73"/>
        <v>0</v>
      </c>
      <c r="G419" s="182"/>
      <c r="H419" s="182"/>
      <c r="I419" s="180">
        <v>0</v>
      </c>
      <c r="J419" s="180">
        <f t="shared" si="74"/>
        <v>0</v>
      </c>
      <c r="K419" s="180">
        <f t="shared" si="75"/>
        <v>0</v>
      </c>
    </row>
    <row r="420" spans="1:11" ht="13" x14ac:dyDescent="0.3">
      <c r="A420" s="174">
        <f t="shared" si="72"/>
        <v>325</v>
      </c>
      <c r="B420" s="132" t="s">
        <v>15</v>
      </c>
      <c r="C420" s="179">
        <v>2018</v>
      </c>
      <c r="D420" s="182"/>
      <c r="E420" s="180">
        <v>0</v>
      </c>
      <c r="F420" s="180">
        <f t="shared" si="73"/>
        <v>0</v>
      </c>
      <c r="G420" s="182"/>
      <c r="H420" s="182"/>
      <c r="I420" s="180">
        <v>0</v>
      </c>
      <c r="J420" s="180">
        <f t="shared" si="74"/>
        <v>0</v>
      </c>
      <c r="K420" s="180">
        <f t="shared" si="75"/>
        <v>0</v>
      </c>
    </row>
    <row r="421" spans="1:11" ht="13" x14ac:dyDescent="0.3">
      <c r="A421" s="174">
        <f t="shared" si="72"/>
        <v>326</v>
      </c>
      <c r="B421" s="132" t="s">
        <v>14</v>
      </c>
      <c r="C421" s="179">
        <v>2018</v>
      </c>
      <c r="D421" s="182"/>
      <c r="E421" s="180">
        <v>0</v>
      </c>
      <c r="F421" s="180">
        <f t="shared" si="73"/>
        <v>0</v>
      </c>
      <c r="G421" s="182"/>
      <c r="H421" s="182"/>
      <c r="I421" s="180">
        <v>0</v>
      </c>
      <c r="J421" s="180">
        <f t="shared" si="74"/>
        <v>0</v>
      </c>
      <c r="K421" s="180">
        <f t="shared" si="75"/>
        <v>0</v>
      </c>
    </row>
    <row r="422" spans="1:11" ht="13" x14ac:dyDescent="0.3">
      <c r="A422" s="174">
        <f t="shared" si="72"/>
        <v>327</v>
      </c>
      <c r="B422" s="132" t="s">
        <v>6</v>
      </c>
      <c r="C422" s="179">
        <v>2018</v>
      </c>
      <c r="D422" s="182"/>
      <c r="E422" s="180">
        <v>0</v>
      </c>
      <c r="F422" s="180">
        <f t="shared" si="73"/>
        <v>0</v>
      </c>
      <c r="G422" s="182"/>
      <c r="H422" s="182"/>
      <c r="I422" s="180">
        <v>0</v>
      </c>
      <c r="J422" s="180">
        <f t="shared" si="74"/>
        <v>0</v>
      </c>
      <c r="K422" s="180">
        <f t="shared" si="75"/>
        <v>0</v>
      </c>
    </row>
    <row r="423" spans="1:11" ht="13" x14ac:dyDescent="0.3">
      <c r="A423" s="174">
        <f t="shared" si="72"/>
        <v>328</v>
      </c>
      <c r="B423" s="132" t="s">
        <v>7</v>
      </c>
      <c r="C423" s="179">
        <v>2019</v>
      </c>
      <c r="D423" s="182"/>
      <c r="E423" s="180">
        <v>0</v>
      </c>
      <c r="F423" s="180">
        <f t="shared" si="73"/>
        <v>0</v>
      </c>
      <c r="G423" s="182"/>
      <c r="H423" s="182"/>
      <c r="I423" s="180">
        <v>0</v>
      </c>
      <c r="J423" s="180">
        <f t="shared" si="74"/>
        <v>0</v>
      </c>
      <c r="K423" s="180">
        <f t="shared" si="75"/>
        <v>0</v>
      </c>
    </row>
    <row r="424" spans="1:11" ht="13" x14ac:dyDescent="0.3">
      <c r="A424" s="174">
        <f t="shared" si="72"/>
        <v>329</v>
      </c>
      <c r="B424" s="132" t="s">
        <v>8</v>
      </c>
      <c r="C424" s="179">
        <v>2019</v>
      </c>
      <c r="D424" s="182"/>
      <c r="E424" s="180">
        <v>0</v>
      </c>
      <c r="F424" s="180">
        <f t="shared" si="73"/>
        <v>0</v>
      </c>
      <c r="G424" s="182"/>
      <c r="H424" s="182"/>
      <c r="I424" s="180">
        <v>0</v>
      </c>
      <c r="J424" s="180">
        <f t="shared" si="74"/>
        <v>0</v>
      </c>
      <c r="K424" s="180">
        <f t="shared" si="75"/>
        <v>0</v>
      </c>
    </row>
    <row r="425" spans="1:11" ht="13" x14ac:dyDescent="0.3">
      <c r="A425" s="174">
        <f t="shared" si="72"/>
        <v>330</v>
      </c>
      <c r="B425" s="132" t="s">
        <v>18</v>
      </c>
      <c r="C425" s="179">
        <v>2019</v>
      </c>
      <c r="D425" s="182"/>
      <c r="E425" s="180">
        <v>0</v>
      </c>
      <c r="F425" s="180">
        <f t="shared" si="73"/>
        <v>0</v>
      </c>
      <c r="G425" s="182"/>
      <c r="H425" s="182"/>
      <c r="I425" s="180">
        <v>0</v>
      </c>
      <c r="J425" s="180">
        <f t="shared" si="74"/>
        <v>0</v>
      </c>
      <c r="K425" s="180">
        <f t="shared" si="75"/>
        <v>0</v>
      </c>
    </row>
    <row r="426" spans="1:11" ht="13" x14ac:dyDescent="0.3">
      <c r="A426" s="174">
        <f t="shared" si="72"/>
        <v>331</v>
      </c>
      <c r="B426" s="132" t="s">
        <v>9</v>
      </c>
      <c r="C426" s="179">
        <v>2019</v>
      </c>
      <c r="D426" s="182"/>
      <c r="E426" s="180">
        <v>0</v>
      </c>
      <c r="F426" s="180">
        <f t="shared" si="73"/>
        <v>0</v>
      </c>
      <c r="G426" s="182"/>
      <c r="H426" s="182"/>
      <c r="I426" s="180">
        <v>0</v>
      </c>
      <c r="J426" s="180">
        <f t="shared" si="74"/>
        <v>0</v>
      </c>
      <c r="K426" s="180">
        <f t="shared" si="75"/>
        <v>0</v>
      </c>
    </row>
    <row r="427" spans="1:11" ht="13" x14ac:dyDescent="0.3">
      <c r="A427" s="174">
        <f t="shared" si="72"/>
        <v>332</v>
      </c>
      <c r="B427" s="132" t="s">
        <v>10</v>
      </c>
      <c r="C427" s="179">
        <v>2019</v>
      </c>
      <c r="D427" s="182"/>
      <c r="E427" s="180">
        <v>0</v>
      </c>
      <c r="F427" s="180">
        <f t="shared" si="73"/>
        <v>0</v>
      </c>
      <c r="G427" s="182"/>
      <c r="H427" s="182"/>
      <c r="I427" s="180">
        <v>0</v>
      </c>
      <c r="J427" s="180">
        <f t="shared" si="74"/>
        <v>0</v>
      </c>
      <c r="K427" s="180">
        <f t="shared" si="75"/>
        <v>0</v>
      </c>
    </row>
    <row r="428" spans="1:11" ht="13" x14ac:dyDescent="0.3">
      <c r="A428" s="174">
        <f t="shared" si="72"/>
        <v>333</v>
      </c>
      <c r="B428" s="132" t="s">
        <v>25</v>
      </c>
      <c r="C428" s="179">
        <v>2019</v>
      </c>
      <c r="D428" s="182"/>
      <c r="E428" s="180">
        <v>0</v>
      </c>
      <c r="F428" s="180">
        <f t="shared" si="73"/>
        <v>0</v>
      </c>
      <c r="G428" s="182"/>
      <c r="H428" s="182"/>
      <c r="I428" s="180">
        <v>0</v>
      </c>
      <c r="J428" s="180">
        <f t="shared" si="74"/>
        <v>0</v>
      </c>
      <c r="K428" s="180">
        <f t="shared" si="75"/>
        <v>0</v>
      </c>
    </row>
    <row r="429" spans="1:11" ht="13" x14ac:dyDescent="0.3">
      <c r="A429" s="174">
        <f t="shared" si="72"/>
        <v>334</v>
      </c>
      <c r="B429" s="132" t="s">
        <v>11</v>
      </c>
      <c r="C429" s="179">
        <v>2019</v>
      </c>
      <c r="D429" s="182"/>
      <c r="E429" s="180">
        <v>0</v>
      </c>
      <c r="F429" s="180">
        <f t="shared" si="73"/>
        <v>0</v>
      </c>
      <c r="G429" s="182"/>
      <c r="H429" s="182"/>
      <c r="I429" s="180">
        <v>0</v>
      </c>
      <c r="J429" s="180">
        <f t="shared" si="74"/>
        <v>0</v>
      </c>
      <c r="K429" s="180">
        <f t="shared" si="75"/>
        <v>0</v>
      </c>
    </row>
    <row r="430" spans="1:11" ht="13" x14ac:dyDescent="0.3">
      <c r="A430" s="174">
        <f t="shared" si="72"/>
        <v>335</v>
      </c>
      <c r="B430" s="132" t="s">
        <v>12</v>
      </c>
      <c r="C430" s="179">
        <v>2019</v>
      </c>
      <c r="D430" s="182"/>
      <c r="E430" s="180">
        <v>0</v>
      </c>
      <c r="F430" s="180">
        <f t="shared" si="73"/>
        <v>0</v>
      </c>
      <c r="G430" s="182"/>
      <c r="H430" s="182"/>
      <c r="I430" s="180">
        <v>0</v>
      </c>
      <c r="J430" s="180">
        <f t="shared" si="74"/>
        <v>0</v>
      </c>
      <c r="K430" s="180">
        <f t="shared" si="75"/>
        <v>0</v>
      </c>
    </row>
    <row r="431" spans="1:11" ht="13" x14ac:dyDescent="0.3">
      <c r="A431" s="174">
        <f t="shared" si="72"/>
        <v>336</v>
      </c>
      <c r="B431" s="132" t="s">
        <v>13</v>
      </c>
      <c r="C431" s="179">
        <v>2019</v>
      </c>
      <c r="D431" s="182"/>
      <c r="E431" s="180">
        <v>0</v>
      </c>
      <c r="F431" s="180">
        <f t="shared" si="73"/>
        <v>0</v>
      </c>
      <c r="G431" s="182"/>
      <c r="H431" s="182"/>
      <c r="I431" s="180">
        <v>0</v>
      </c>
      <c r="J431" s="180">
        <f t="shared" si="74"/>
        <v>0</v>
      </c>
      <c r="K431" s="180">
        <f t="shared" si="75"/>
        <v>0</v>
      </c>
    </row>
    <row r="432" spans="1:11" ht="13" x14ac:dyDescent="0.3">
      <c r="A432" s="174">
        <f t="shared" si="72"/>
        <v>337</v>
      </c>
      <c r="B432" s="132" t="s">
        <v>15</v>
      </c>
      <c r="C432" s="179">
        <v>2019</v>
      </c>
      <c r="D432" s="182"/>
      <c r="E432" s="180">
        <v>0</v>
      </c>
      <c r="F432" s="180">
        <f t="shared" si="73"/>
        <v>0</v>
      </c>
      <c r="G432" s="182"/>
      <c r="H432" s="182"/>
      <c r="I432" s="180">
        <v>0</v>
      </c>
      <c r="J432" s="180">
        <f t="shared" si="74"/>
        <v>0</v>
      </c>
      <c r="K432" s="180">
        <f t="shared" si="75"/>
        <v>0</v>
      </c>
    </row>
    <row r="433" spans="1:11" ht="13" x14ac:dyDescent="0.3">
      <c r="A433" s="174">
        <f t="shared" si="72"/>
        <v>338</v>
      </c>
      <c r="B433" s="132" t="s">
        <v>14</v>
      </c>
      <c r="C433" s="179">
        <v>2019</v>
      </c>
      <c r="D433" s="182"/>
      <c r="E433" s="180">
        <v>0</v>
      </c>
      <c r="F433" s="180">
        <f t="shared" si="73"/>
        <v>0</v>
      </c>
      <c r="G433" s="182"/>
      <c r="H433" s="182"/>
      <c r="I433" s="180">
        <v>0</v>
      </c>
      <c r="J433" s="180">
        <f t="shared" si="74"/>
        <v>0</v>
      </c>
      <c r="K433" s="180">
        <f t="shared" si="75"/>
        <v>0</v>
      </c>
    </row>
    <row r="434" spans="1:11" ht="13" x14ac:dyDescent="0.3">
      <c r="A434" s="174">
        <f t="shared" si="72"/>
        <v>339</v>
      </c>
      <c r="B434" s="132" t="s">
        <v>6</v>
      </c>
      <c r="C434" s="179">
        <v>2019</v>
      </c>
      <c r="D434" s="182"/>
      <c r="E434" s="180">
        <v>0</v>
      </c>
      <c r="F434" s="180">
        <f t="shared" si="73"/>
        <v>0</v>
      </c>
      <c r="G434" s="182"/>
      <c r="H434" s="182"/>
      <c r="I434" s="180">
        <v>0</v>
      </c>
      <c r="J434" s="180">
        <f t="shared" si="74"/>
        <v>0</v>
      </c>
      <c r="K434" s="184">
        <f t="shared" si="75"/>
        <v>0</v>
      </c>
    </row>
    <row r="435" spans="1:11" ht="13" x14ac:dyDescent="0.3">
      <c r="A435" s="174">
        <f t="shared" si="72"/>
        <v>340</v>
      </c>
      <c r="C435" s="204" t="s">
        <v>380</v>
      </c>
      <c r="H435" s="199"/>
      <c r="I435" s="199"/>
      <c r="K435" s="205">
        <f>AVERAGE(K422:K434)</f>
        <v>0</v>
      </c>
    </row>
    <row r="436" spans="1:11" ht="13" x14ac:dyDescent="0.3">
      <c r="A436" s="174"/>
      <c r="C436" s="204"/>
      <c r="H436" s="199"/>
      <c r="I436" s="199"/>
      <c r="K436" s="205"/>
    </row>
    <row r="437" spans="1:11" ht="13" x14ac:dyDescent="0.3">
      <c r="A437" s="174"/>
      <c r="B437" s="107" t="s">
        <v>317</v>
      </c>
    </row>
    <row r="438" spans="1:11" ht="13" x14ac:dyDescent="0.3">
      <c r="A438" s="174"/>
      <c r="B438" s="132" t="s">
        <v>406</v>
      </c>
    </row>
    <row r="439" spans="1:11" ht="13" x14ac:dyDescent="0.3">
      <c r="A439" s="174"/>
      <c r="B439" s="132" t="s">
        <v>407</v>
      </c>
    </row>
    <row r="440" spans="1:11" ht="13" x14ac:dyDescent="0.3">
      <c r="A440" s="174"/>
    </row>
    <row r="441" spans="1:11" ht="13" x14ac:dyDescent="0.3">
      <c r="A441" s="174"/>
      <c r="B441" s="169" t="s">
        <v>106</v>
      </c>
    </row>
    <row r="442" spans="1:11" ht="13" x14ac:dyDescent="0.3">
      <c r="A442" s="174"/>
      <c r="B442" s="170" t="s">
        <v>408</v>
      </c>
    </row>
    <row r="443" spans="1:11" ht="13" x14ac:dyDescent="0.3">
      <c r="A443" s="174"/>
      <c r="B443" s="170" t="s">
        <v>409</v>
      </c>
    </row>
    <row r="444" spans="1:11" ht="13" x14ac:dyDescent="0.3">
      <c r="A444" s="174"/>
      <c r="B444" s="170" t="s">
        <v>410</v>
      </c>
    </row>
    <row r="445" spans="1:11" ht="13" x14ac:dyDescent="0.3">
      <c r="A445" s="174"/>
      <c r="B445" s="214"/>
    </row>
    <row r="446" spans="1:11" ht="13" x14ac:dyDescent="0.3">
      <c r="A446" s="174"/>
      <c r="B446" s="132"/>
      <c r="C446" s="215"/>
      <c r="H446" s="199"/>
      <c r="I446" s="199"/>
    </row>
    <row r="447" spans="1:11" ht="13" x14ac:dyDescent="0.3">
      <c r="A447" s="174"/>
      <c r="B447" s="132"/>
      <c r="C447" s="215"/>
      <c r="H447" s="199"/>
      <c r="I447" s="199"/>
    </row>
    <row r="448" spans="1:11" ht="13" x14ac:dyDescent="0.3">
      <c r="A448" s="174"/>
      <c r="B448" s="132"/>
      <c r="C448" s="215"/>
      <c r="H448" s="199"/>
      <c r="I448" s="199"/>
    </row>
    <row r="449" spans="1:9" ht="13" x14ac:dyDescent="0.3">
      <c r="A449" s="174"/>
      <c r="B449" s="132"/>
      <c r="C449" s="215"/>
      <c r="H449" s="199"/>
      <c r="I449" s="199"/>
    </row>
    <row r="450" spans="1:9" ht="13" x14ac:dyDescent="0.3">
      <c r="A450" s="174"/>
      <c r="B450" s="132"/>
      <c r="C450" s="215"/>
      <c r="D450" s="216"/>
      <c r="E450" s="216"/>
      <c r="F450" s="216"/>
      <c r="G450" s="216"/>
      <c r="H450" s="199"/>
      <c r="I450" s="199"/>
    </row>
    <row r="451" spans="1:9" ht="13" x14ac:dyDescent="0.3">
      <c r="A451" s="174"/>
      <c r="C451" s="217"/>
      <c r="D451" s="218"/>
      <c r="E451" s="218"/>
      <c r="F451" s="218"/>
      <c r="G451" s="218"/>
      <c r="H451" s="199"/>
      <c r="I451" s="199"/>
    </row>
    <row r="453" spans="1:9" ht="13" x14ac:dyDescent="0.3">
      <c r="B453" s="107"/>
    </row>
    <row r="454" spans="1:9" x14ac:dyDescent="0.25">
      <c r="B454" s="132"/>
    </row>
    <row r="456" spans="1:9" ht="13" x14ac:dyDescent="0.3">
      <c r="B456" s="169"/>
    </row>
    <row r="457" spans="1:9" x14ac:dyDescent="0.25">
      <c r="B457" s="170"/>
    </row>
    <row r="458" spans="1:9" x14ac:dyDescent="0.25">
      <c r="B458" s="170"/>
    </row>
    <row r="459" spans="1:9" x14ac:dyDescent="0.25">
      <c r="B459" s="170"/>
    </row>
    <row r="460" spans="1:9" x14ac:dyDescent="0.25">
      <c r="B460" s="214"/>
    </row>
  </sheetData>
  <mergeCells count="10">
    <mergeCell ref="D276:E276"/>
    <mergeCell ref="D307:E307"/>
    <mergeCell ref="D340:E340"/>
    <mergeCell ref="D371:E371"/>
    <mergeCell ref="D82:E82"/>
    <mergeCell ref="D115:E115"/>
    <mergeCell ref="D148:E148"/>
    <mergeCell ref="D179:E179"/>
    <mergeCell ref="D212:E212"/>
    <mergeCell ref="D243:E243"/>
  </mergeCells>
  <pageMargins left="0.7" right="0.7" top="0.75" bottom="0.75" header="0.3" footer="0.3"/>
  <pageSetup scale="56" orientation="landscape" cellComments="asDisplayed" r:id="rId1"/>
  <headerFooter>
    <oddHeader>&amp;CSchedule 10
CWIP
(Revised 2017 True Up TRR)&amp;RTO2021 Annual Update
Attachment 4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277FC-1139-4A26-98A3-709C8D2FDD13}">
  <dimension ref="A1:X113"/>
  <sheetViews>
    <sheetView zoomScaleNormal="100" zoomScaleSheetLayoutView="100" workbookViewId="0"/>
  </sheetViews>
  <sheetFormatPr defaultRowHeight="12.5" x14ac:dyDescent="0.25"/>
  <cols>
    <col min="1" max="1" width="4.7265625" style="93" customWidth="1"/>
    <col min="2" max="2" width="2.7265625" style="93" customWidth="1"/>
    <col min="3" max="3" width="6.7265625" style="93" customWidth="1"/>
    <col min="4" max="4" width="32.54296875" style="93" customWidth="1"/>
    <col min="5" max="5" width="14.7265625" style="93" customWidth="1"/>
    <col min="6" max="6" width="15.7265625" style="93" customWidth="1"/>
    <col min="7" max="8" width="14.7265625" style="93" customWidth="1"/>
    <col min="9" max="9" width="20" style="93" customWidth="1"/>
    <col min="10" max="10" width="18" style="93" customWidth="1"/>
    <col min="11" max="11" width="11" style="93" bestFit="1" customWidth="1"/>
    <col min="12" max="16384" width="8.7265625" style="93"/>
  </cols>
  <sheetData>
    <row r="1" spans="1:24" ht="13" x14ac:dyDescent="0.3">
      <c r="A1" s="92" t="s">
        <v>159</v>
      </c>
      <c r="F1" s="142" t="s">
        <v>156</v>
      </c>
      <c r="G1" s="125"/>
      <c r="H1" s="130"/>
      <c r="I1" s="130"/>
    </row>
    <row r="2" spans="1:24" ht="13" x14ac:dyDescent="0.3">
      <c r="E2" s="136" t="s">
        <v>148</v>
      </c>
      <c r="F2" s="136" t="s">
        <v>149</v>
      </c>
      <c r="G2" s="136" t="s">
        <v>150</v>
      </c>
      <c r="H2" s="136" t="s">
        <v>151</v>
      </c>
      <c r="I2" s="130"/>
    </row>
    <row r="3" spans="1:24" x14ac:dyDescent="0.25">
      <c r="G3" s="130" t="s">
        <v>160</v>
      </c>
    </row>
    <row r="4" spans="1:24" ht="13" x14ac:dyDescent="0.3">
      <c r="E4" s="96" t="s">
        <v>161</v>
      </c>
      <c r="F4" s="40" t="s">
        <v>157</v>
      </c>
      <c r="G4" s="96" t="s">
        <v>162</v>
      </c>
      <c r="I4" s="96"/>
    </row>
    <row r="5" spans="1:24" ht="13" x14ac:dyDescent="0.3">
      <c r="A5" s="97" t="s">
        <v>39</v>
      </c>
      <c r="B5" s="100"/>
      <c r="C5" s="100" t="s">
        <v>163</v>
      </c>
      <c r="D5" s="100" t="s">
        <v>31</v>
      </c>
      <c r="E5" s="100" t="s">
        <v>32</v>
      </c>
      <c r="F5" s="134" t="s">
        <v>33</v>
      </c>
      <c r="G5" s="100" t="s">
        <v>164</v>
      </c>
      <c r="H5" s="100" t="s">
        <v>84</v>
      </c>
      <c r="I5" s="100" t="s">
        <v>42</v>
      </c>
      <c r="K5" s="100"/>
      <c r="L5" s="100"/>
      <c r="M5" s="100"/>
      <c r="N5" s="100"/>
      <c r="O5" s="100"/>
      <c r="P5" s="100"/>
      <c r="Q5" s="100"/>
      <c r="R5" s="100"/>
      <c r="S5" s="100"/>
      <c r="T5" s="100"/>
      <c r="U5" s="100"/>
      <c r="V5" s="100"/>
      <c r="W5" s="100"/>
      <c r="X5" s="100"/>
    </row>
    <row r="6" spans="1:24" ht="13" x14ac:dyDescent="0.3">
      <c r="A6" s="96">
        <v>1</v>
      </c>
      <c r="C6" s="130">
        <v>920</v>
      </c>
      <c r="D6" s="93" t="s">
        <v>165</v>
      </c>
      <c r="E6" s="143">
        <v>354859044</v>
      </c>
      <c r="F6" s="130" t="s">
        <v>166</v>
      </c>
      <c r="G6" s="102">
        <f>D37</f>
        <v>69867000.913848624</v>
      </c>
      <c r="H6" s="102">
        <f t="shared" ref="H6:H19" si="0">E6-G6</f>
        <v>284992043.08615136</v>
      </c>
    </row>
    <row r="7" spans="1:24" ht="13" x14ac:dyDescent="0.3">
      <c r="A7" s="96">
        <f>A6+1</f>
        <v>2</v>
      </c>
      <c r="C7" s="130">
        <v>921</v>
      </c>
      <c r="D7" s="93" t="s">
        <v>167</v>
      </c>
      <c r="E7" s="143">
        <v>249803334</v>
      </c>
      <c r="F7" s="130" t="s">
        <v>168</v>
      </c>
      <c r="G7" s="102">
        <f t="shared" ref="G7:G19" si="1">D38</f>
        <v>5868285.4679282326</v>
      </c>
      <c r="H7" s="102">
        <f t="shared" si="0"/>
        <v>243935048.53207177</v>
      </c>
    </row>
    <row r="8" spans="1:24" ht="13" x14ac:dyDescent="0.3">
      <c r="A8" s="96">
        <f>A7+1</f>
        <v>3</v>
      </c>
      <c r="C8" s="130">
        <v>922</v>
      </c>
      <c r="D8" s="93" t="s">
        <v>169</v>
      </c>
      <c r="E8" s="143">
        <v>-145897634</v>
      </c>
      <c r="F8" s="130" t="s">
        <v>170</v>
      </c>
      <c r="G8" s="102">
        <f t="shared" si="1"/>
        <v>-48972720</v>
      </c>
      <c r="H8" s="102">
        <f t="shared" si="0"/>
        <v>-96924914</v>
      </c>
      <c r="I8" s="98" t="s">
        <v>171</v>
      </c>
    </row>
    <row r="9" spans="1:24" ht="13" x14ac:dyDescent="0.3">
      <c r="A9" s="96">
        <f t="shared" ref="A9:A20" si="2">A8+1</f>
        <v>4</v>
      </c>
      <c r="B9" s="96"/>
      <c r="C9" s="130">
        <v>923</v>
      </c>
      <c r="D9" s="93" t="s">
        <v>172</v>
      </c>
      <c r="E9" s="143">
        <v>54121017</v>
      </c>
      <c r="F9" s="130" t="s">
        <v>173</v>
      </c>
      <c r="G9" s="105">
        <f t="shared" si="1"/>
        <v>7758094.0199999996</v>
      </c>
      <c r="H9" s="105">
        <f t="shared" si="0"/>
        <v>46362922.980000004</v>
      </c>
    </row>
    <row r="10" spans="1:24" ht="13" x14ac:dyDescent="0.3">
      <c r="A10" s="96">
        <f t="shared" si="2"/>
        <v>5</v>
      </c>
      <c r="B10" s="96"/>
      <c r="C10" s="130">
        <v>924</v>
      </c>
      <c r="D10" s="93" t="s">
        <v>174</v>
      </c>
      <c r="E10" s="143">
        <v>14497978</v>
      </c>
      <c r="F10" s="130" t="s">
        <v>175</v>
      </c>
      <c r="G10" s="102">
        <f t="shared" si="1"/>
        <v>0</v>
      </c>
      <c r="H10" s="102">
        <f t="shared" si="0"/>
        <v>14497978</v>
      </c>
    </row>
    <row r="11" spans="1:24" ht="13" x14ac:dyDescent="0.3">
      <c r="A11" s="96">
        <f t="shared" si="2"/>
        <v>6</v>
      </c>
      <c r="B11" s="96"/>
      <c r="C11" s="130">
        <v>925</v>
      </c>
      <c r="D11" s="93" t="s">
        <v>176</v>
      </c>
      <c r="E11" s="143">
        <v>117581984</v>
      </c>
      <c r="F11" s="130" t="s">
        <v>177</v>
      </c>
      <c r="G11" s="102">
        <f t="shared" si="1"/>
        <v>-694137</v>
      </c>
      <c r="H11" s="102">
        <f t="shared" si="0"/>
        <v>118276121</v>
      </c>
    </row>
    <row r="12" spans="1:24" ht="13" x14ac:dyDescent="0.3">
      <c r="A12" s="96">
        <f t="shared" si="2"/>
        <v>7</v>
      </c>
      <c r="B12" s="96"/>
      <c r="C12" s="130">
        <v>926</v>
      </c>
      <c r="D12" s="93" t="s">
        <v>178</v>
      </c>
      <c r="E12" s="143">
        <v>142806958</v>
      </c>
      <c r="F12" s="130" t="s">
        <v>179</v>
      </c>
      <c r="G12" s="102">
        <f t="shared" si="1"/>
        <v>-15693853.432685971</v>
      </c>
      <c r="H12" s="102">
        <f t="shared" si="0"/>
        <v>158500811.43268597</v>
      </c>
    </row>
    <row r="13" spans="1:24" ht="13" x14ac:dyDescent="0.3">
      <c r="A13" s="96">
        <f t="shared" si="2"/>
        <v>8</v>
      </c>
      <c r="B13" s="96"/>
      <c r="C13" s="130">
        <v>927</v>
      </c>
      <c r="D13" s="93" t="s">
        <v>152</v>
      </c>
      <c r="E13" s="143">
        <v>110632750</v>
      </c>
      <c r="F13" s="130" t="s">
        <v>180</v>
      </c>
      <c r="G13" s="102">
        <f t="shared" si="1"/>
        <v>110632750</v>
      </c>
      <c r="H13" s="102">
        <f t="shared" si="0"/>
        <v>0</v>
      </c>
    </row>
    <row r="14" spans="1:24" ht="13" x14ac:dyDescent="0.3">
      <c r="A14" s="96">
        <f t="shared" si="2"/>
        <v>9</v>
      </c>
      <c r="B14" s="96"/>
      <c r="C14" s="130">
        <v>928</v>
      </c>
      <c r="D14" s="93" t="s">
        <v>181</v>
      </c>
      <c r="E14" s="143">
        <v>16012736</v>
      </c>
      <c r="F14" s="130" t="s">
        <v>182</v>
      </c>
      <c r="G14" s="102">
        <f t="shared" si="1"/>
        <v>17351998</v>
      </c>
      <c r="H14" s="102">
        <f t="shared" si="0"/>
        <v>-1339262</v>
      </c>
    </row>
    <row r="15" spans="1:24" ht="13" x14ac:dyDescent="0.3">
      <c r="A15" s="96">
        <f t="shared" si="2"/>
        <v>10</v>
      </c>
      <c r="B15" s="96"/>
      <c r="C15" s="130">
        <v>929</v>
      </c>
      <c r="D15" s="93" t="s">
        <v>183</v>
      </c>
      <c r="E15" s="143">
        <v>0</v>
      </c>
      <c r="F15" s="130" t="s">
        <v>184</v>
      </c>
      <c r="G15" s="102">
        <f t="shared" si="1"/>
        <v>0</v>
      </c>
      <c r="H15" s="102">
        <f t="shared" si="0"/>
        <v>0</v>
      </c>
    </row>
    <row r="16" spans="1:24" ht="13" x14ac:dyDescent="0.3">
      <c r="A16" s="96">
        <f t="shared" si="2"/>
        <v>11</v>
      </c>
      <c r="B16" s="96"/>
      <c r="C16" s="130">
        <v>930.1</v>
      </c>
      <c r="D16" s="93" t="s">
        <v>185</v>
      </c>
      <c r="E16" s="143">
        <v>5718074</v>
      </c>
      <c r="F16" s="130" t="s">
        <v>186</v>
      </c>
      <c r="G16" s="102">
        <f t="shared" si="1"/>
        <v>0</v>
      </c>
      <c r="H16" s="102">
        <f t="shared" si="0"/>
        <v>5718074</v>
      </c>
    </row>
    <row r="17" spans="1:8" ht="13" x14ac:dyDescent="0.3">
      <c r="A17" s="96">
        <f t="shared" si="2"/>
        <v>12</v>
      </c>
      <c r="B17" s="96"/>
      <c r="C17" s="130">
        <v>930.2</v>
      </c>
      <c r="D17" s="93" t="s">
        <v>187</v>
      </c>
      <c r="E17" s="143">
        <v>34422373</v>
      </c>
      <c r="F17" s="130" t="s">
        <v>188</v>
      </c>
      <c r="G17" s="102">
        <f t="shared" si="1"/>
        <v>24004995.530000001</v>
      </c>
      <c r="H17" s="102">
        <f t="shared" si="0"/>
        <v>10417377.469999999</v>
      </c>
    </row>
    <row r="18" spans="1:8" ht="13" x14ac:dyDescent="0.3">
      <c r="A18" s="96">
        <f t="shared" si="2"/>
        <v>13</v>
      </c>
      <c r="B18" s="96"/>
      <c r="C18" s="130">
        <v>931</v>
      </c>
      <c r="D18" s="93" t="s">
        <v>189</v>
      </c>
      <c r="E18" s="143">
        <v>6627867</v>
      </c>
      <c r="F18" s="130" t="s">
        <v>190</v>
      </c>
      <c r="G18" s="102">
        <f t="shared" si="1"/>
        <v>11411119</v>
      </c>
      <c r="H18" s="102">
        <f t="shared" si="0"/>
        <v>-4783252</v>
      </c>
    </row>
    <row r="19" spans="1:8" ht="13" x14ac:dyDescent="0.3">
      <c r="A19" s="96">
        <f t="shared" si="2"/>
        <v>14</v>
      </c>
      <c r="B19" s="96"/>
      <c r="C19" s="130">
        <v>935</v>
      </c>
      <c r="D19" s="93" t="s">
        <v>191</v>
      </c>
      <c r="E19" s="144">
        <v>13296044</v>
      </c>
      <c r="F19" s="130" t="s">
        <v>192</v>
      </c>
      <c r="G19" s="102">
        <f t="shared" si="1"/>
        <v>697671</v>
      </c>
      <c r="H19" s="108">
        <f t="shared" si="0"/>
        <v>12598373</v>
      </c>
    </row>
    <row r="20" spans="1:8" ht="13" x14ac:dyDescent="0.3">
      <c r="A20" s="96">
        <f t="shared" si="2"/>
        <v>15</v>
      </c>
      <c r="E20" s="102">
        <f>SUM(E6:E19)</f>
        <v>974482525</v>
      </c>
      <c r="G20" s="112" t="s">
        <v>193</v>
      </c>
      <c r="H20" s="105">
        <f>SUM(H6:H19)</f>
        <v>792251321.50090921</v>
      </c>
    </row>
    <row r="22" spans="1:8" ht="13" x14ac:dyDescent="0.3">
      <c r="F22" s="100" t="s">
        <v>32</v>
      </c>
      <c r="G22" s="100" t="s">
        <v>33</v>
      </c>
    </row>
    <row r="23" spans="1:8" ht="13" x14ac:dyDescent="0.3">
      <c r="A23" s="96">
        <f>A20+1</f>
        <v>16</v>
      </c>
      <c r="E23" s="112" t="s">
        <v>194</v>
      </c>
      <c r="F23" s="105">
        <f>H20</f>
        <v>792251321.50090921</v>
      </c>
      <c r="G23" s="98" t="str">
        <f>"Line "&amp;A20&amp;""</f>
        <v>Line 15</v>
      </c>
    </row>
    <row r="24" spans="1:8" ht="13" x14ac:dyDescent="0.3">
      <c r="A24" s="96">
        <f t="shared" ref="A24:A30" si="3">A23+1</f>
        <v>17</v>
      </c>
      <c r="E24" s="112" t="s">
        <v>195</v>
      </c>
      <c r="F24" s="108">
        <f>E10</f>
        <v>14497978</v>
      </c>
      <c r="G24" s="98" t="str">
        <f>"Line "&amp;A10&amp;""</f>
        <v>Line 5</v>
      </c>
    </row>
    <row r="25" spans="1:8" ht="13" x14ac:dyDescent="0.3">
      <c r="A25" s="96">
        <f t="shared" si="3"/>
        <v>18</v>
      </c>
      <c r="E25" s="112" t="s">
        <v>196</v>
      </c>
      <c r="F25" s="105">
        <f>F23-F24</f>
        <v>777753343.50090921</v>
      </c>
      <c r="G25" s="98" t="str">
        <f>"Line "&amp;A23&amp;" - Line "&amp;A24&amp;""</f>
        <v>Line 16 - Line 17</v>
      </c>
    </row>
    <row r="26" spans="1:8" ht="13" x14ac:dyDescent="0.3">
      <c r="A26" s="96">
        <f t="shared" si="3"/>
        <v>19</v>
      </c>
      <c r="E26" s="112" t="s">
        <v>197</v>
      </c>
      <c r="F26" s="129">
        <v>5.6290212846604806E-2</v>
      </c>
      <c r="G26" s="98" t="s">
        <v>469</v>
      </c>
    </row>
    <row r="27" spans="1:8" ht="13" x14ac:dyDescent="0.3">
      <c r="A27" s="96">
        <f t="shared" si="3"/>
        <v>20</v>
      </c>
      <c r="E27" s="112" t="s">
        <v>198</v>
      </c>
      <c r="F27" s="105">
        <f>F25*F26</f>
        <v>43779901.247824721</v>
      </c>
      <c r="G27" s="98" t="str">
        <f>"Line "&amp;A25&amp;" * Line "&amp;A26&amp;""</f>
        <v>Line 18 * Line 19</v>
      </c>
    </row>
    <row r="28" spans="1:8" ht="13" x14ac:dyDescent="0.3">
      <c r="A28" s="96">
        <f t="shared" si="3"/>
        <v>21</v>
      </c>
      <c r="E28" s="112" t="s">
        <v>199</v>
      </c>
      <c r="F28" s="110">
        <v>0.19111474096755637</v>
      </c>
      <c r="G28" s="98" t="s">
        <v>470</v>
      </c>
    </row>
    <row r="29" spans="1:8" ht="13" x14ac:dyDescent="0.3">
      <c r="A29" s="96">
        <f t="shared" si="3"/>
        <v>22</v>
      </c>
      <c r="E29" s="112" t="s">
        <v>200</v>
      </c>
      <c r="F29" s="108">
        <f>H10*F28</f>
        <v>2770777.3100233311</v>
      </c>
      <c r="G29" s="98" t="str">
        <f>"Line "&amp;A10&amp;" Col 4 * Line "&amp;A28&amp;""</f>
        <v>Line 5 Col 4 * Line 21</v>
      </c>
    </row>
    <row r="30" spans="1:8" ht="13" x14ac:dyDescent="0.3">
      <c r="A30" s="96">
        <f t="shared" si="3"/>
        <v>23</v>
      </c>
      <c r="E30" s="112" t="s">
        <v>201</v>
      </c>
      <c r="F30" s="105">
        <f>F27+F29</f>
        <v>46550678.557848051</v>
      </c>
      <c r="G30" s="98" t="str">
        <f>"Line "&amp;A27&amp;" + Line "&amp;A29&amp;""</f>
        <v>Line 20 + Line 22</v>
      </c>
    </row>
    <row r="32" spans="1:8" ht="13" x14ac:dyDescent="0.3">
      <c r="B32" s="92" t="s">
        <v>202</v>
      </c>
      <c r="E32" s="136" t="s">
        <v>148</v>
      </c>
      <c r="F32" s="136" t="s">
        <v>149</v>
      </c>
      <c r="G32" s="136" t="s">
        <v>150</v>
      </c>
      <c r="H32" s="136" t="s">
        <v>151</v>
      </c>
    </row>
    <row r="33" spans="1:11" ht="13" x14ac:dyDescent="0.3">
      <c r="B33" s="92"/>
      <c r="E33" s="96" t="s">
        <v>203</v>
      </c>
      <c r="F33" s="136"/>
      <c r="G33" s="136"/>
      <c r="H33" s="136"/>
    </row>
    <row r="34" spans="1:11" ht="13" x14ac:dyDescent="0.3">
      <c r="E34" s="96" t="s">
        <v>204</v>
      </c>
    </row>
    <row r="35" spans="1:11" ht="13" x14ac:dyDescent="0.3">
      <c r="D35" s="96" t="s">
        <v>205</v>
      </c>
      <c r="E35" s="96" t="s">
        <v>206</v>
      </c>
      <c r="F35" s="96" t="s">
        <v>207</v>
      </c>
      <c r="G35" s="96"/>
      <c r="H35" s="96"/>
    </row>
    <row r="36" spans="1:11" ht="13" x14ac:dyDescent="0.3">
      <c r="C36" s="100" t="s">
        <v>163</v>
      </c>
      <c r="D36" s="136" t="s">
        <v>208</v>
      </c>
      <c r="E36" s="100" t="s">
        <v>209</v>
      </c>
      <c r="F36" s="100" t="s">
        <v>210</v>
      </c>
      <c r="G36" s="100" t="s">
        <v>211</v>
      </c>
      <c r="H36" s="100" t="s">
        <v>212</v>
      </c>
      <c r="I36" s="100" t="s">
        <v>42</v>
      </c>
    </row>
    <row r="37" spans="1:11" ht="13" x14ac:dyDescent="0.3">
      <c r="A37" s="96">
        <f>A30+1</f>
        <v>24</v>
      </c>
      <c r="C37" s="130">
        <v>920</v>
      </c>
      <c r="D37" s="145">
        <f>SUM(E37:H37)</f>
        <v>69867000.913848624</v>
      </c>
      <c r="E37" s="146">
        <v>-11516850.328934595</v>
      </c>
      <c r="F37" s="146"/>
      <c r="G37" s="102">
        <f>G59</f>
        <v>81383851.242783219</v>
      </c>
      <c r="H37" s="146"/>
      <c r="I37" s="98" t="s">
        <v>213</v>
      </c>
    </row>
    <row r="38" spans="1:11" ht="13" x14ac:dyDescent="0.3">
      <c r="A38" s="96">
        <f>A37+1</f>
        <v>25</v>
      </c>
      <c r="C38" s="130">
        <v>921</v>
      </c>
      <c r="D38" s="145">
        <f t="shared" ref="D38:D50" si="4">SUM(E38:H38)</f>
        <v>5868285.4679282326</v>
      </c>
      <c r="E38" s="146">
        <v>5868285.4679282326</v>
      </c>
      <c r="F38" s="146"/>
      <c r="G38" s="146">
        <v>0</v>
      </c>
      <c r="H38" s="146"/>
      <c r="I38" s="98"/>
    </row>
    <row r="39" spans="1:11" ht="13.5" thickBot="1" x14ac:dyDescent="0.35">
      <c r="A39" s="96">
        <f t="shared" ref="A39:A50" si="5">A38+1</f>
        <v>26</v>
      </c>
      <c r="C39" s="130">
        <v>922</v>
      </c>
      <c r="D39" s="145">
        <f t="shared" si="4"/>
        <v>-48972720</v>
      </c>
      <c r="E39" s="146">
        <v>-7655813</v>
      </c>
      <c r="F39" s="146"/>
      <c r="G39" s="147">
        <v>-41316907</v>
      </c>
      <c r="H39" s="146"/>
      <c r="I39" s="98"/>
    </row>
    <row r="40" spans="1:11" ht="14" thickTop="1" thickBot="1" x14ac:dyDescent="0.35">
      <c r="A40" s="96">
        <f t="shared" si="5"/>
        <v>27</v>
      </c>
      <c r="C40" s="130">
        <v>923</v>
      </c>
      <c r="D40" s="148">
        <f t="shared" si="4"/>
        <v>7758094.0199999996</v>
      </c>
      <c r="E40" s="157">
        <v>7758094.0199999996</v>
      </c>
      <c r="F40" s="146"/>
      <c r="G40" s="146">
        <v>0</v>
      </c>
      <c r="H40" s="146"/>
      <c r="I40" s="98"/>
      <c r="J40" s="100"/>
      <c r="K40" s="100"/>
    </row>
    <row r="41" spans="1:11" ht="13.5" thickTop="1" x14ac:dyDescent="0.3">
      <c r="A41" s="96">
        <f t="shared" si="5"/>
        <v>28</v>
      </c>
      <c r="C41" s="130">
        <v>924</v>
      </c>
      <c r="D41" s="145">
        <f t="shared" si="4"/>
        <v>0</v>
      </c>
      <c r="E41" s="146">
        <v>0</v>
      </c>
      <c r="F41" s="146"/>
      <c r="G41" s="146">
        <v>0</v>
      </c>
      <c r="H41" s="146"/>
      <c r="I41" s="98"/>
      <c r="K41" s="102"/>
    </row>
    <row r="42" spans="1:11" ht="13" x14ac:dyDescent="0.3">
      <c r="A42" s="96">
        <f t="shared" si="5"/>
        <v>29</v>
      </c>
      <c r="C42" s="130">
        <v>925</v>
      </c>
      <c r="D42" s="145">
        <f t="shared" si="4"/>
        <v>-694137</v>
      </c>
      <c r="E42" s="146">
        <v>-694137</v>
      </c>
      <c r="F42" s="146"/>
      <c r="G42" s="146">
        <v>0</v>
      </c>
      <c r="H42" s="146"/>
      <c r="I42" s="98"/>
      <c r="K42" s="102"/>
    </row>
    <row r="43" spans="1:11" ht="13" x14ac:dyDescent="0.3">
      <c r="A43" s="96">
        <f t="shared" si="5"/>
        <v>30</v>
      </c>
      <c r="C43" s="130">
        <v>926</v>
      </c>
      <c r="D43" s="145">
        <f t="shared" si="4"/>
        <v>-15693853.432685971</v>
      </c>
      <c r="E43" s="146">
        <v>19430852.567314029</v>
      </c>
      <c r="F43" s="146"/>
      <c r="G43" s="146">
        <v>0</v>
      </c>
      <c r="H43" s="102">
        <f>E71</f>
        <v>-35124706</v>
      </c>
      <c r="I43" s="98" t="s">
        <v>153</v>
      </c>
      <c r="K43" s="102"/>
    </row>
    <row r="44" spans="1:11" ht="13" x14ac:dyDescent="0.3">
      <c r="A44" s="96">
        <f t="shared" si="5"/>
        <v>31</v>
      </c>
      <c r="C44" s="130">
        <v>927</v>
      </c>
      <c r="D44" s="145">
        <f t="shared" si="4"/>
        <v>110632750</v>
      </c>
      <c r="E44" s="102">
        <v>0</v>
      </c>
      <c r="F44" s="102">
        <f>E13</f>
        <v>110632750</v>
      </c>
      <c r="G44" s="102">
        <v>0</v>
      </c>
      <c r="H44" s="102">
        <v>0</v>
      </c>
      <c r="I44" s="98" t="s">
        <v>214</v>
      </c>
      <c r="K44" s="102"/>
    </row>
    <row r="45" spans="1:11" ht="13" x14ac:dyDescent="0.3">
      <c r="A45" s="96">
        <f t="shared" si="5"/>
        <v>32</v>
      </c>
      <c r="C45" s="130">
        <v>928</v>
      </c>
      <c r="D45" s="145">
        <f t="shared" si="4"/>
        <v>17351998</v>
      </c>
      <c r="E45" s="146">
        <v>17351998</v>
      </c>
      <c r="F45" s="146"/>
      <c r="G45" s="147">
        <v>0</v>
      </c>
      <c r="H45" s="146"/>
      <c r="I45" s="98"/>
      <c r="K45" s="102"/>
    </row>
    <row r="46" spans="1:11" ht="13" x14ac:dyDescent="0.3">
      <c r="A46" s="96">
        <f t="shared" si="5"/>
        <v>33</v>
      </c>
      <c r="C46" s="130">
        <v>929</v>
      </c>
      <c r="D46" s="145">
        <f t="shared" si="4"/>
        <v>0</v>
      </c>
      <c r="E46" s="146">
        <v>0</v>
      </c>
      <c r="F46" s="146"/>
      <c r="G46" s="147">
        <v>0</v>
      </c>
      <c r="H46" s="146"/>
      <c r="I46" s="98"/>
      <c r="K46" s="102"/>
    </row>
    <row r="47" spans="1:11" ht="13" x14ac:dyDescent="0.3">
      <c r="A47" s="96">
        <f t="shared" si="5"/>
        <v>34</v>
      </c>
      <c r="C47" s="130">
        <v>930.1</v>
      </c>
      <c r="D47" s="145">
        <f t="shared" si="4"/>
        <v>0</v>
      </c>
      <c r="E47" s="146">
        <v>0</v>
      </c>
      <c r="F47" s="146"/>
      <c r="G47" s="147">
        <v>0</v>
      </c>
      <c r="H47" s="146"/>
      <c r="I47" s="98"/>
      <c r="K47" s="102"/>
    </row>
    <row r="48" spans="1:11" ht="13" x14ac:dyDescent="0.3">
      <c r="A48" s="96">
        <f t="shared" si="5"/>
        <v>35</v>
      </c>
      <c r="C48" s="130">
        <v>930.2</v>
      </c>
      <c r="D48" s="145">
        <f t="shared" si="4"/>
        <v>24004995.530000001</v>
      </c>
      <c r="E48" s="146">
        <v>24004995.530000001</v>
      </c>
      <c r="F48" s="146"/>
      <c r="G48" s="147">
        <v>0</v>
      </c>
      <c r="H48" s="146"/>
      <c r="I48" s="98"/>
      <c r="J48" s="102"/>
    </row>
    <row r="49" spans="1:10" ht="13" x14ac:dyDescent="0.3">
      <c r="A49" s="96">
        <f t="shared" si="5"/>
        <v>36</v>
      </c>
      <c r="C49" s="130">
        <v>931</v>
      </c>
      <c r="D49" s="145">
        <f t="shared" si="4"/>
        <v>11411119</v>
      </c>
      <c r="E49" s="146">
        <v>11411119</v>
      </c>
      <c r="F49" s="146"/>
      <c r="G49" s="147">
        <v>0</v>
      </c>
      <c r="H49" s="146"/>
      <c r="I49" s="98"/>
      <c r="J49" s="102"/>
    </row>
    <row r="50" spans="1:10" ht="13" x14ac:dyDescent="0.3">
      <c r="A50" s="96">
        <f t="shared" si="5"/>
        <v>37</v>
      </c>
      <c r="C50" s="130">
        <v>935</v>
      </c>
      <c r="D50" s="145">
        <f t="shared" si="4"/>
        <v>697671</v>
      </c>
      <c r="E50" s="146">
        <v>697671</v>
      </c>
      <c r="F50" s="146"/>
      <c r="G50" s="147">
        <v>0</v>
      </c>
      <c r="H50" s="146"/>
      <c r="I50" s="98"/>
    </row>
    <row r="51" spans="1:10" ht="13" x14ac:dyDescent="0.3">
      <c r="A51" s="96"/>
      <c r="C51" s="130"/>
      <c r="D51" s="145"/>
      <c r="E51" s="102"/>
      <c r="F51" s="102"/>
      <c r="G51" s="149"/>
      <c r="H51" s="102"/>
      <c r="I51" s="98"/>
    </row>
    <row r="52" spans="1:10" ht="13" x14ac:dyDescent="0.3">
      <c r="B52" s="92" t="s">
        <v>215</v>
      </c>
    </row>
    <row r="53" spans="1:10" ht="13" x14ac:dyDescent="0.3">
      <c r="B53" s="92"/>
      <c r="C53" s="93" t="s">
        <v>216</v>
      </c>
    </row>
    <row r="54" spans="1:10" ht="13" x14ac:dyDescent="0.3">
      <c r="B54" s="92"/>
      <c r="C54" s="93" t="s">
        <v>217</v>
      </c>
      <c r="G54" s="96"/>
      <c r="H54" s="96"/>
    </row>
    <row r="55" spans="1:10" ht="13" x14ac:dyDescent="0.3">
      <c r="B55" s="92"/>
      <c r="C55" s="120" t="s">
        <v>218</v>
      </c>
      <c r="D55" s="120"/>
      <c r="E55" s="120"/>
      <c r="G55" s="96"/>
      <c r="H55" s="96"/>
    </row>
    <row r="56" spans="1:10" ht="13" x14ac:dyDescent="0.3">
      <c r="B56" s="92"/>
      <c r="G56" s="100" t="s">
        <v>32</v>
      </c>
      <c r="H56" s="100" t="s">
        <v>33</v>
      </c>
    </row>
    <row r="57" spans="1:10" ht="13" x14ac:dyDescent="0.3">
      <c r="A57" s="96"/>
      <c r="B57" s="96" t="s">
        <v>118</v>
      </c>
      <c r="F57" s="112" t="s">
        <v>219</v>
      </c>
      <c r="G57" s="146">
        <v>103811324.56999999</v>
      </c>
      <c r="H57" s="98" t="s">
        <v>220</v>
      </c>
    </row>
    <row r="58" spans="1:10" ht="13" x14ac:dyDescent="0.3">
      <c r="A58" s="96"/>
      <c r="B58" s="96" t="s">
        <v>120</v>
      </c>
      <c r="F58" s="112" t="s">
        <v>221</v>
      </c>
      <c r="G58" s="108">
        <f>E62</f>
        <v>22427473.327216774</v>
      </c>
      <c r="H58" s="98" t="str">
        <f>"Note 2, "&amp;B62&amp;""</f>
        <v>Note 2, d</v>
      </c>
    </row>
    <row r="59" spans="1:10" ht="13" x14ac:dyDescent="0.3">
      <c r="A59" s="96"/>
      <c r="B59" s="96" t="s">
        <v>123</v>
      </c>
      <c r="F59" s="112" t="s">
        <v>222</v>
      </c>
      <c r="G59" s="102">
        <f>G57-G58</f>
        <v>81383851.242783219</v>
      </c>
    </row>
    <row r="60" spans="1:10" ht="13" x14ac:dyDescent="0.3">
      <c r="A60" s="96"/>
      <c r="C60" s="120" t="s">
        <v>223</v>
      </c>
      <c r="D60" s="120"/>
      <c r="E60" s="120"/>
      <c r="G60" s="102"/>
    </row>
    <row r="61" spans="1:10" ht="13" x14ac:dyDescent="0.3">
      <c r="A61" s="96"/>
      <c r="D61" s="99" t="s">
        <v>224</v>
      </c>
      <c r="E61" s="100" t="s">
        <v>32</v>
      </c>
      <c r="F61" s="100" t="s">
        <v>33</v>
      </c>
      <c r="G61" s="102"/>
    </row>
    <row r="62" spans="1:10" ht="13" x14ac:dyDescent="0.3">
      <c r="A62" s="96"/>
      <c r="B62" s="96" t="s">
        <v>125</v>
      </c>
      <c r="D62" s="93" t="s">
        <v>225</v>
      </c>
      <c r="E62" s="147">
        <v>22427473.327216774</v>
      </c>
      <c r="F62" s="98" t="s">
        <v>226</v>
      </c>
      <c r="G62" s="102"/>
    </row>
    <row r="63" spans="1:10" ht="13" x14ac:dyDescent="0.3">
      <c r="A63" s="96"/>
      <c r="B63" s="96" t="s">
        <v>129</v>
      </c>
      <c r="D63" s="93" t="s">
        <v>227</v>
      </c>
      <c r="E63" s="147">
        <v>10140103.249080425</v>
      </c>
      <c r="F63" s="98" t="s">
        <v>226</v>
      </c>
      <c r="G63" s="102"/>
      <c r="I63" s="150"/>
    </row>
    <row r="64" spans="1:10" ht="13" x14ac:dyDescent="0.3">
      <c r="A64" s="96"/>
      <c r="B64" s="96" t="s">
        <v>132</v>
      </c>
      <c r="D64" s="93" t="s">
        <v>228</v>
      </c>
      <c r="E64" s="70">
        <v>33565144.913702808</v>
      </c>
      <c r="F64" s="98" t="s">
        <v>226</v>
      </c>
      <c r="G64" s="102"/>
      <c r="I64" s="102"/>
    </row>
    <row r="65" spans="1:7" ht="13" x14ac:dyDescent="0.3">
      <c r="A65" s="96"/>
      <c r="B65" s="96" t="s">
        <v>134</v>
      </c>
      <c r="D65" s="112" t="s">
        <v>158</v>
      </c>
      <c r="E65" s="102">
        <f>SUM(E62:E64)</f>
        <v>66132721.49000001</v>
      </c>
      <c r="F65" s="98" t="str">
        <f>"Sum of "&amp;B62&amp;" to "&amp;B64&amp;""</f>
        <v>Sum of d to f</v>
      </c>
      <c r="G65" s="102"/>
    </row>
    <row r="67" spans="1:7" ht="13" x14ac:dyDescent="0.3">
      <c r="B67" s="92" t="s">
        <v>229</v>
      </c>
    </row>
    <row r="68" spans="1:7" ht="13" x14ac:dyDescent="0.3">
      <c r="E68" s="100" t="s">
        <v>32</v>
      </c>
      <c r="F68" s="99" t="s">
        <v>230</v>
      </c>
    </row>
    <row r="69" spans="1:7" ht="13" x14ac:dyDescent="0.3">
      <c r="A69" s="96"/>
      <c r="B69" s="96" t="s">
        <v>118</v>
      </c>
      <c r="D69" s="112" t="s">
        <v>231</v>
      </c>
      <c r="E69" s="151">
        <v>40171333</v>
      </c>
      <c r="F69" s="98" t="s">
        <v>232</v>
      </c>
    </row>
    <row r="70" spans="1:7" ht="13" x14ac:dyDescent="0.3">
      <c r="A70" s="96"/>
      <c r="B70" s="96" t="s">
        <v>120</v>
      </c>
      <c r="D70" s="112" t="s">
        <v>233</v>
      </c>
      <c r="E70" s="152">
        <v>5046627</v>
      </c>
      <c r="F70" s="98" t="s">
        <v>220</v>
      </c>
    </row>
    <row r="71" spans="1:7" ht="13" x14ac:dyDescent="0.3">
      <c r="A71" s="96"/>
      <c r="B71" s="96" t="s">
        <v>123</v>
      </c>
      <c r="D71" s="112" t="s">
        <v>234</v>
      </c>
      <c r="E71" s="102">
        <f>E70-E69</f>
        <v>-35124706</v>
      </c>
      <c r="F71" s="98" t="str">
        <f>""&amp;B70&amp;" - "&amp;B69&amp;""</f>
        <v>b - a</v>
      </c>
    </row>
    <row r="72" spans="1:7" ht="13" x14ac:dyDescent="0.3">
      <c r="A72" s="96"/>
      <c r="B72" s="92" t="s">
        <v>235</v>
      </c>
      <c r="D72" s="112"/>
      <c r="E72" s="102"/>
      <c r="F72" s="98"/>
    </row>
    <row r="73" spans="1:7" ht="13" x14ac:dyDescent="0.3">
      <c r="A73" s="96"/>
      <c r="B73" s="92"/>
      <c r="C73" s="93" t="str">
        <f>"Amount in Line "&amp;A44&amp;", column 2 equals amount in Line "&amp;A13&amp;", column 1 because all Franchise Requirements Expenses are excluded"</f>
        <v>Amount in Line 31, column 2 equals amount in Line 8, column 1 because all Franchise Requirements Expenses are excluded</v>
      </c>
      <c r="D73" s="112"/>
      <c r="E73" s="102"/>
      <c r="F73" s="98"/>
    </row>
    <row r="74" spans="1:7" ht="13" x14ac:dyDescent="0.3">
      <c r="A74" s="96"/>
      <c r="B74" s="92"/>
      <c r="C74" s="93" t="s">
        <v>236</v>
      </c>
      <c r="D74" s="112"/>
      <c r="E74" s="102"/>
      <c r="F74" s="98"/>
    </row>
    <row r="76" spans="1:7" ht="13" x14ac:dyDescent="0.3">
      <c r="B76" s="92" t="s">
        <v>106</v>
      </c>
    </row>
    <row r="77" spans="1:7" x14ac:dyDescent="0.25">
      <c r="C77" s="93" t="str">
        <f>"1) Enter amounts of A&amp;G expenses from FERC Form 1 in Lines "&amp;A6&amp;" to "&amp;A19&amp;"."</f>
        <v>1) Enter amounts of A&amp;G expenses from FERC Form 1 in Lines 1 to 14.</v>
      </c>
    </row>
    <row r="78" spans="1:7" x14ac:dyDescent="0.25">
      <c r="C78" s="93" t="s">
        <v>237</v>
      </c>
      <c r="G78" s="93" t="str">
        <f>"Column 3, Line "&amp;A37&amp;""</f>
        <v>Column 3, Line 24</v>
      </c>
    </row>
    <row r="79" spans="1:7" x14ac:dyDescent="0.25">
      <c r="C79" s="98" t="str">
        <f>"is calculated in Note 2.  The PBOPs exclusion in Column 4, Line "&amp;A43&amp;" is calculated in Note 3."</f>
        <v>is calculated in Note 2.  The PBOPs exclusion in Column 4, Line 30 is calculated in Note 3.</v>
      </c>
    </row>
    <row r="80" spans="1:7" x14ac:dyDescent="0.25">
      <c r="C80" s="98" t="s">
        <v>238</v>
      </c>
    </row>
    <row r="81" spans="3:7" x14ac:dyDescent="0.25">
      <c r="C81" s="98" t="s">
        <v>239</v>
      </c>
      <c r="D81" s="112"/>
      <c r="E81" s="102"/>
      <c r="F81" s="98"/>
    </row>
    <row r="82" spans="3:7" x14ac:dyDescent="0.25">
      <c r="C82" s="98" t="s">
        <v>240</v>
      </c>
      <c r="D82" s="112"/>
      <c r="E82" s="102"/>
      <c r="F82" s="98"/>
    </row>
    <row r="83" spans="3:7" x14ac:dyDescent="0.25">
      <c r="C83" s="98" t="s">
        <v>241</v>
      </c>
    </row>
    <row r="84" spans="3:7" x14ac:dyDescent="0.25">
      <c r="C84" s="98" t="s">
        <v>242</v>
      </c>
    </row>
    <row r="85" spans="3:7" x14ac:dyDescent="0.25">
      <c r="C85" s="98" t="s">
        <v>243</v>
      </c>
    </row>
    <row r="86" spans="3:7" x14ac:dyDescent="0.25">
      <c r="C86" s="98" t="s">
        <v>244</v>
      </c>
    </row>
    <row r="87" spans="3:7" x14ac:dyDescent="0.25">
      <c r="C87" s="98" t="s">
        <v>245</v>
      </c>
    </row>
    <row r="88" spans="3:7" x14ac:dyDescent="0.25">
      <c r="C88" s="98" t="s">
        <v>246</v>
      </c>
      <c r="E88" s="153"/>
      <c r="F88" s="153"/>
      <c r="G88" s="153"/>
    </row>
    <row r="89" spans="3:7" x14ac:dyDescent="0.25">
      <c r="C89" s="154" t="s">
        <v>247</v>
      </c>
      <c r="E89" s="153"/>
      <c r="F89" s="153"/>
      <c r="G89" s="153"/>
    </row>
    <row r="90" spans="3:7" x14ac:dyDescent="0.25">
      <c r="C90" s="154" t="s">
        <v>248</v>
      </c>
      <c r="E90" s="153"/>
      <c r="F90" s="153"/>
      <c r="G90" s="153"/>
    </row>
    <row r="91" spans="3:7" x14ac:dyDescent="0.25">
      <c r="C91" s="154" t="s">
        <v>249</v>
      </c>
      <c r="E91" s="153"/>
      <c r="F91" s="153"/>
      <c r="G91" s="153"/>
    </row>
    <row r="92" spans="3:7" x14ac:dyDescent="0.25">
      <c r="C92" s="98" t="s">
        <v>250</v>
      </c>
      <c r="E92" s="153"/>
      <c r="F92" s="153"/>
      <c r="G92" s="153"/>
    </row>
    <row r="93" spans="3:7" x14ac:dyDescent="0.25">
      <c r="C93" s="154" t="s">
        <v>251</v>
      </c>
      <c r="E93" s="153"/>
      <c r="F93" s="153"/>
      <c r="G93" s="153"/>
    </row>
    <row r="94" spans="3:7" x14ac:dyDescent="0.25">
      <c r="C94" s="154" t="s">
        <v>252</v>
      </c>
      <c r="E94" s="153"/>
      <c r="F94" s="153"/>
      <c r="G94" s="153"/>
    </row>
    <row r="95" spans="3:7" x14ac:dyDescent="0.25">
      <c r="C95" s="154" t="s">
        <v>253</v>
      </c>
      <c r="E95" s="153"/>
      <c r="F95" s="153"/>
      <c r="G95" s="153"/>
    </row>
    <row r="96" spans="3:7" x14ac:dyDescent="0.25">
      <c r="C96" s="154" t="s">
        <v>254</v>
      </c>
      <c r="E96" s="153"/>
      <c r="F96" s="153"/>
      <c r="G96" s="153"/>
    </row>
    <row r="97" spans="3:10" x14ac:dyDescent="0.25">
      <c r="C97" s="98" t="s">
        <v>255</v>
      </c>
      <c r="E97" s="153"/>
      <c r="F97" s="153"/>
      <c r="G97" s="153"/>
      <c r="H97" s="153"/>
    </row>
    <row r="98" spans="3:10" x14ac:dyDescent="0.25">
      <c r="C98" s="154" t="s">
        <v>256</v>
      </c>
      <c r="E98" s="153"/>
      <c r="F98" s="153"/>
      <c r="G98" s="153"/>
    </row>
    <row r="99" spans="3:10" x14ac:dyDescent="0.25">
      <c r="C99" s="155" t="s">
        <v>257</v>
      </c>
      <c r="E99" s="153"/>
      <c r="F99" s="153"/>
      <c r="G99" s="153"/>
    </row>
    <row r="100" spans="3:10" x14ac:dyDescent="0.25">
      <c r="C100" s="155" t="s">
        <v>258</v>
      </c>
      <c r="E100" s="153"/>
      <c r="F100" s="153"/>
      <c r="G100" s="153"/>
    </row>
    <row r="101" spans="3:10" x14ac:dyDescent="0.25">
      <c r="C101" s="155" t="s">
        <v>259</v>
      </c>
      <c r="E101" s="153"/>
      <c r="F101" s="153"/>
      <c r="G101" s="153"/>
    </row>
    <row r="102" spans="3:10" x14ac:dyDescent="0.25">
      <c r="C102" s="155" t="s">
        <v>258</v>
      </c>
      <c r="E102" s="153"/>
      <c r="F102" s="153"/>
      <c r="G102" s="153"/>
    </row>
    <row r="103" spans="3:10" x14ac:dyDescent="0.25">
      <c r="C103" s="155" t="s">
        <v>260</v>
      </c>
      <c r="E103" s="153"/>
      <c r="F103" s="153"/>
      <c r="G103" s="153"/>
    </row>
    <row r="104" spans="3:10" x14ac:dyDescent="0.25">
      <c r="C104" s="154" t="s">
        <v>261</v>
      </c>
      <c r="E104" s="153"/>
      <c r="F104" s="153"/>
      <c r="G104" s="153"/>
    </row>
    <row r="105" spans="3:10" x14ac:dyDescent="0.25">
      <c r="C105" s="154" t="s">
        <v>262</v>
      </c>
      <c r="E105" s="153"/>
      <c r="F105" s="153"/>
      <c r="G105" s="153"/>
    </row>
    <row r="106" spans="3:10" ht="13" x14ac:dyDescent="0.3">
      <c r="C106" s="132" t="s">
        <v>263</v>
      </c>
      <c r="D106" s="120"/>
      <c r="E106" s="120"/>
      <c r="F106" s="120"/>
      <c r="G106" s="120"/>
      <c r="H106" s="120"/>
      <c r="I106" s="120"/>
      <c r="J106" s="120"/>
    </row>
    <row r="107" spans="3:10" x14ac:dyDescent="0.25">
      <c r="C107" s="93" t="s">
        <v>264</v>
      </c>
    </row>
    <row r="108" spans="3:10" x14ac:dyDescent="0.25">
      <c r="C108" s="132" t="s">
        <v>265</v>
      </c>
      <c r="D108" s="120"/>
      <c r="E108" s="120"/>
      <c r="F108" s="120"/>
      <c r="G108" s="120"/>
      <c r="H108" s="120"/>
      <c r="I108" s="120"/>
    </row>
    <row r="109" spans="3:10" x14ac:dyDescent="0.25">
      <c r="C109" s="93" t="str">
        <f>"4) Determine the PBOPs exclusion.  The authorized amount of PBOPs expense (line "&amp;B69&amp;") may only be revised"</f>
        <v>4) Determine the PBOPs exclusion.  The authorized amount of PBOPs expense (line a) may only be revised</v>
      </c>
    </row>
    <row r="110" spans="3:10" x14ac:dyDescent="0.25">
      <c r="C110" s="93" t="s">
        <v>266</v>
      </c>
    </row>
    <row r="111" spans="3:10" x14ac:dyDescent="0.25">
      <c r="C111" s="93" t="s">
        <v>267</v>
      </c>
    </row>
    <row r="112" spans="3:10" x14ac:dyDescent="0.25">
      <c r="C112" s="93" t="s">
        <v>268</v>
      </c>
      <c r="I112" s="125" t="s">
        <v>283</v>
      </c>
      <c r="J112" s="125"/>
    </row>
    <row r="113" spans="3:3" x14ac:dyDescent="0.25">
      <c r="C113" s="93" t="s">
        <v>269</v>
      </c>
    </row>
  </sheetData>
  <pageMargins left="0.75" right="0.75" top="1" bottom="1" header="0.5" footer="0.5"/>
  <pageSetup scale="71" orientation="landscape" cellComments="asDisplayed" r:id="rId1"/>
  <headerFooter alignWithMargins="0">
    <oddHeader>&amp;CSchedule 20
Administrative and General Expenses
(Revised 2017 True Up TRR)&amp;RTO2021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CE7B-EE7C-4211-94E6-6682C34A73A3}">
  <dimension ref="A2:H15"/>
  <sheetViews>
    <sheetView zoomScaleNormal="100" workbookViewId="0"/>
  </sheetViews>
  <sheetFormatPr defaultColWidth="9.1796875" defaultRowHeight="14.5" x14ac:dyDescent="0.35"/>
  <cols>
    <col min="1" max="2" width="9.1796875" style="248"/>
    <col min="3" max="3" width="17.81640625" style="248" customWidth="1"/>
    <col min="4" max="4" width="14.26953125" style="248" bestFit="1" customWidth="1"/>
    <col min="5" max="6" width="9.1796875" style="248"/>
    <col min="7" max="7" width="13.81640625" style="248" customWidth="1"/>
    <col min="8" max="16384" width="9.1796875" style="248"/>
  </cols>
  <sheetData>
    <row r="2" spans="1:8" ht="21" customHeight="1" x14ac:dyDescent="0.35"/>
    <row r="3" spans="1:8" ht="15" customHeight="1" x14ac:dyDescent="0.35">
      <c r="A3" s="283" t="s">
        <v>292</v>
      </c>
      <c r="B3" s="283"/>
      <c r="C3" s="283"/>
      <c r="D3" s="283"/>
      <c r="E3" s="283"/>
      <c r="F3" s="283"/>
      <c r="G3" s="283"/>
    </row>
    <row r="4" spans="1:8" ht="15" customHeight="1" x14ac:dyDescent="0.35">
      <c r="A4" s="283"/>
      <c r="B4" s="283"/>
      <c r="C4" s="283"/>
      <c r="D4" s="283"/>
      <c r="E4" s="283"/>
      <c r="F4" s="283"/>
      <c r="G4" s="283"/>
    </row>
    <row r="5" spans="1:8" x14ac:dyDescent="0.35">
      <c r="A5" s="284" t="s">
        <v>31</v>
      </c>
      <c r="B5" s="284"/>
      <c r="C5" s="284"/>
      <c r="D5" s="252" t="s">
        <v>32</v>
      </c>
      <c r="E5" s="285" t="s">
        <v>33</v>
      </c>
      <c r="F5" s="285"/>
      <c r="G5" s="285"/>
    </row>
    <row r="6" spans="1:8" ht="47.25" customHeight="1" x14ac:dyDescent="0.35">
      <c r="A6" s="286" t="s">
        <v>294</v>
      </c>
      <c r="B6" s="287"/>
      <c r="C6" s="288"/>
      <c r="D6" s="251">
        <f>'WP-2018 Sch4-TUTRR'!J71</f>
        <v>1078540190.2918077</v>
      </c>
      <c r="E6" s="289" t="s">
        <v>322</v>
      </c>
      <c r="F6" s="289"/>
      <c r="G6" s="290"/>
    </row>
    <row r="7" spans="1:8" ht="50.25" customHeight="1" x14ac:dyDescent="0.35">
      <c r="A7" s="291" t="s">
        <v>473</v>
      </c>
      <c r="B7" s="292"/>
      <c r="C7" s="293"/>
      <c r="D7" s="250">
        <f>'WP-2018 Sch4-TUTRR'!E73</f>
        <v>1078591816.3380795</v>
      </c>
      <c r="E7" s="294" t="s">
        <v>474</v>
      </c>
      <c r="F7" s="295"/>
      <c r="G7" s="295"/>
    </row>
    <row r="8" spans="1:8" x14ac:dyDescent="0.35">
      <c r="A8" s="296" t="s">
        <v>34</v>
      </c>
      <c r="B8" s="296"/>
      <c r="C8" s="297"/>
      <c r="D8" s="249">
        <f>D7-D6</f>
        <v>51626.046271800995</v>
      </c>
      <c r="E8" s="298"/>
      <c r="F8" s="298"/>
      <c r="G8" s="299"/>
    </row>
    <row r="11" spans="1:8" x14ac:dyDescent="0.35">
      <c r="A11" s="248" t="s">
        <v>273</v>
      </c>
    </row>
    <row r="12" spans="1:8" ht="15" customHeight="1" x14ac:dyDescent="0.35">
      <c r="A12" s="282" t="s">
        <v>293</v>
      </c>
      <c r="B12" s="282"/>
      <c r="C12" s="282"/>
      <c r="D12" s="282"/>
      <c r="E12" s="282"/>
      <c r="F12" s="282"/>
      <c r="G12" s="282"/>
      <c r="H12" s="282"/>
    </row>
    <row r="13" spans="1:8" ht="15" customHeight="1" x14ac:dyDescent="0.35">
      <c r="A13" s="281" t="s">
        <v>425</v>
      </c>
      <c r="B13" s="282"/>
      <c r="C13" s="282"/>
      <c r="D13" s="282"/>
      <c r="E13" s="282"/>
      <c r="F13" s="282"/>
      <c r="G13" s="282"/>
      <c r="H13" s="282"/>
    </row>
    <row r="15" spans="1:8" ht="15" customHeight="1" x14ac:dyDescent="0.35">
      <c r="A15" s="282"/>
      <c r="B15" s="282"/>
      <c r="C15" s="282"/>
      <c r="D15" s="282"/>
      <c r="E15" s="282"/>
      <c r="F15" s="282"/>
      <c r="G15" s="282"/>
      <c r="H15" s="282"/>
    </row>
  </sheetData>
  <mergeCells count="12">
    <mergeCell ref="A13:H13"/>
    <mergeCell ref="A15:H15"/>
    <mergeCell ref="A3:G4"/>
    <mergeCell ref="A5:C5"/>
    <mergeCell ref="E5:G5"/>
    <mergeCell ref="A6:C6"/>
    <mergeCell ref="E6:G6"/>
    <mergeCell ref="A7:C7"/>
    <mergeCell ref="E7:G7"/>
    <mergeCell ref="A8:C8"/>
    <mergeCell ref="E8:G8"/>
    <mergeCell ref="A12:H12"/>
  </mergeCells>
  <printOptions horizontalCentered="1"/>
  <pageMargins left="0.7" right="0.7" top="0.75" bottom="0.75" header="0.3" footer="0.3"/>
  <pageSetup orientation="portrait" r:id="rId1"/>
  <headerFooter>
    <oddHeader>&amp;RTO2021 Annual Update
Attachment 4
WP-Schedule 3-One Time Adj Prior Period
Page &amp;P of &amp;N</oddHeader>
    <oddFooter>&amp;R&amp;A</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A61A6-834E-428E-9A55-C828F693A967}">
  <dimension ref="A1:N172"/>
  <sheetViews>
    <sheetView zoomScaleNormal="100" zoomScaleSheetLayoutView="90" workbookViewId="0"/>
  </sheetViews>
  <sheetFormatPr defaultRowHeight="12.5" x14ac:dyDescent="0.25"/>
  <cols>
    <col min="1" max="2" width="4.7265625" style="93" customWidth="1"/>
    <col min="3" max="3" width="18.7265625" style="93" customWidth="1"/>
    <col min="4" max="4" width="10.26953125" style="93" bestFit="1" customWidth="1"/>
    <col min="5" max="7" width="15.7265625" style="93" customWidth="1"/>
    <col min="8" max="8" width="24.7265625" style="93" customWidth="1"/>
    <col min="9" max="9" width="4.54296875" style="93" customWidth="1"/>
    <col min="10" max="10" width="15.7265625" style="93" customWidth="1"/>
    <col min="11" max="11" width="11.36328125" style="93" customWidth="1"/>
    <col min="12" max="12" width="15.90625" style="93" customWidth="1"/>
    <col min="13" max="13" width="4.453125" style="93" customWidth="1"/>
    <col min="14" max="14" width="15.26953125" style="93" customWidth="1"/>
    <col min="15" max="16384" width="8.7265625" style="93"/>
  </cols>
  <sheetData>
    <row r="1" spans="1:14" ht="13" x14ac:dyDescent="0.3">
      <c r="A1" s="92" t="s">
        <v>35</v>
      </c>
    </row>
    <row r="3" spans="1:14" ht="13" x14ac:dyDescent="0.3">
      <c r="B3" s="94" t="s">
        <v>36</v>
      </c>
      <c r="L3" s="96"/>
    </row>
    <row r="4" spans="1:14" ht="13" x14ac:dyDescent="0.3">
      <c r="B4" s="95"/>
      <c r="F4" s="96" t="s">
        <v>37</v>
      </c>
      <c r="G4" s="96"/>
      <c r="H4" s="96" t="s">
        <v>38</v>
      </c>
      <c r="L4" s="96"/>
      <c r="N4" s="96"/>
    </row>
    <row r="5" spans="1:14" ht="13" x14ac:dyDescent="0.3">
      <c r="A5" s="97" t="s">
        <v>39</v>
      </c>
      <c r="B5" s="98"/>
      <c r="C5" s="99" t="s">
        <v>40</v>
      </c>
      <c r="F5" s="100" t="s">
        <v>41</v>
      </c>
      <c r="G5" s="100" t="s">
        <v>42</v>
      </c>
      <c r="H5" s="100" t="s">
        <v>43</v>
      </c>
      <c r="J5" s="100" t="s">
        <v>32</v>
      </c>
      <c r="L5" s="100"/>
      <c r="N5" s="100"/>
    </row>
    <row r="6" spans="1:14" ht="13" x14ac:dyDescent="0.3">
      <c r="A6" s="96">
        <v>1</v>
      </c>
      <c r="C6" s="101" t="s">
        <v>44</v>
      </c>
      <c r="F6" s="93" t="s">
        <v>45</v>
      </c>
      <c r="H6" s="101" t="s">
        <v>427</v>
      </c>
      <c r="J6" s="102">
        <v>8666375346.7182045</v>
      </c>
      <c r="L6" s="100"/>
      <c r="N6" s="102"/>
    </row>
    <row r="7" spans="1:14" ht="13" x14ac:dyDescent="0.3">
      <c r="A7" s="96">
        <f>A6+1</f>
        <v>2</v>
      </c>
      <c r="C7" s="101" t="s">
        <v>46</v>
      </c>
      <c r="F7" s="93" t="s">
        <v>47</v>
      </c>
      <c r="H7" s="101" t="s">
        <v>428</v>
      </c>
      <c r="J7" s="102">
        <v>250784298.74780104</v>
      </c>
      <c r="L7" s="100"/>
      <c r="N7" s="102"/>
    </row>
    <row r="8" spans="1:14" ht="13" x14ac:dyDescent="0.3">
      <c r="A8" s="96">
        <f>A7+1</f>
        <v>3</v>
      </c>
      <c r="C8" s="101" t="s">
        <v>48</v>
      </c>
      <c r="F8" s="93" t="s">
        <v>47</v>
      </c>
      <c r="H8" s="93" t="s">
        <v>429</v>
      </c>
      <c r="J8" s="102">
        <v>9942155</v>
      </c>
      <c r="L8" s="100"/>
      <c r="N8" s="102"/>
    </row>
    <row r="9" spans="1:14" ht="13" x14ac:dyDescent="0.3">
      <c r="A9" s="96">
        <f>A8+1</f>
        <v>4</v>
      </c>
      <c r="C9" s="101" t="s">
        <v>49</v>
      </c>
      <c r="F9" s="93" t="s">
        <v>47</v>
      </c>
      <c r="H9" s="93" t="s">
        <v>430</v>
      </c>
      <c r="J9" s="102">
        <v>0</v>
      </c>
      <c r="L9" s="100"/>
      <c r="N9" s="102"/>
    </row>
    <row r="10" spans="1:14" ht="13" x14ac:dyDescent="0.3">
      <c r="A10" s="96"/>
      <c r="C10" s="101"/>
      <c r="J10" s="102"/>
      <c r="L10" s="100"/>
      <c r="N10" s="102"/>
    </row>
    <row r="11" spans="1:14" ht="13" x14ac:dyDescent="0.3">
      <c r="A11" s="96"/>
      <c r="C11" s="103" t="s">
        <v>50</v>
      </c>
      <c r="J11" s="102"/>
      <c r="L11" s="100"/>
      <c r="N11" s="102"/>
    </row>
    <row r="12" spans="1:14" ht="13" x14ac:dyDescent="0.3">
      <c r="A12" s="96">
        <f>A9+1</f>
        <v>5</v>
      </c>
      <c r="C12" s="98" t="s">
        <v>51</v>
      </c>
      <c r="F12" s="93" t="s">
        <v>45</v>
      </c>
      <c r="H12" s="101" t="s">
        <v>431</v>
      </c>
      <c r="J12" s="102">
        <v>14561673.642511051</v>
      </c>
      <c r="L12" s="100"/>
      <c r="N12" s="102"/>
    </row>
    <row r="13" spans="1:14" ht="13" x14ac:dyDescent="0.3">
      <c r="A13" s="96">
        <f>A12+1</f>
        <v>6</v>
      </c>
      <c r="C13" s="98" t="s">
        <v>52</v>
      </c>
      <c r="F13" s="93" t="s">
        <v>45</v>
      </c>
      <c r="H13" s="101" t="s">
        <v>432</v>
      </c>
      <c r="J13" s="102">
        <v>11258426.521027757</v>
      </c>
      <c r="L13" s="100"/>
      <c r="N13" s="102"/>
    </row>
    <row r="14" spans="1:14" ht="13" x14ac:dyDescent="0.3">
      <c r="A14" s="96">
        <f>A13+1</f>
        <v>7</v>
      </c>
      <c r="C14" s="98" t="s">
        <v>53</v>
      </c>
      <c r="F14" s="93" t="s">
        <v>297</v>
      </c>
      <c r="H14" s="93" t="s">
        <v>433</v>
      </c>
      <c r="J14" s="104">
        <v>34370451.020784661</v>
      </c>
      <c r="L14" s="100"/>
      <c r="N14" s="102"/>
    </row>
    <row r="15" spans="1:14" ht="13" x14ac:dyDescent="0.3">
      <c r="A15" s="96">
        <f>A14+1</f>
        <v>8</v>
      </c>
      <c r="C15" s="98" t="s">
        <v>55</v>
      </c>
      <c r="H15" s="93" t="str">
        <f>"Line "&amp;A12&amp;" + Line "&amp;A13&amp;" + Line "&amp;A14&amp;""</f>
        <v>Line 5 + Line 6 + Line 7</v>
      </c>
      <c r="J15" s="105">
        <f>SUM(J12:J14)</f>
        <v>60190551.184323467</v>
      </c>
      <c r="L15" s="100"/>
      <c r="N15" s="102"/>
    </row>
    <row r="16" spans="1:14" ht="13" x14ac:dyDescent="0.3">
      <c r="A16" s="96"/>
      <c r="C16" s="98"/>
      <c r="J16" s="102"/>
      <c r="L16" s="100"/>
      <c r="N16" s="102"/>
    </row>
    <row r="17" spans="1:14" ht="13" x14ac:dyDescent="0.3">
      <c r="A17" s="96"/>
      <c r="C17" s="106" t="s">
        <v>56</v>
      </c>
      <c r="J17" s="102"/>
      <c r="L17" s="100"/>
      <c r="N17" s="102"/>
    </row>
    <row r="18" spans="1:14" ht="13" x14ac:dyDescent="0.3">
      <c r="A18" s="96">
        <f>A15+1</f>
        <v>9</v>
      </c>
      <c r="C18" s="98" t="s">
        <v>57</v>
      </c>
      <c r="F18" s="93" t="s">
        <v>45</v>
      </c>
      <c r="G18" s="93" t="s">
        <v>58</v>
      </c>
      <c r="H18" s="101" t="s">
        <v>450</v>
      </c>
      <c r="J18" s="102">
        <v>-1696750194.7350788</v>
      </c>
      <c r="L18" s="100"/>
      <c r="N18" s="102"/>
    </row>
    <row r="19" spans="1:14" ht="13" x14ac:dyDescent="0.3">
      <c r="A19" s="96">
        <f>A18+1</f>
        <v>10</v>
      </c>
      <c r="C19" s="98" t="s">
        <v>59</v>
      </c>
      <c r="F19" s="93" t="s">
        <v>47</v>
      </c>
      <c r="G19" s="93" t="s">
        <v>58</v>
      </c>
      <c r="H19" s="101" t="s">
        <v>451</v>
      </c>
      <c r="J19" s="102">
        <v>0</v>
      </c>
      <c r="L19" s="100"/>
      <c r="N19" s="102"/>
    </row>
    <row r="20" spans="1:14" ht="13" x14ac:dyDescent="0.3">
      <c r="A20" s="96">
        <f>A19+1</f>
        <v>11</v>
      </c>
      <c r="C20" s="98" t="s">
        <v>60</v>
      </c>
      <c r="D20" s="107"/>
      <c r="F20" s="93" t="s">
        <v>47</v>
      </c>
      <c r="G20" s="93" t="s">
        <v>58</v>
      </c>
      <c r="H20" s="101" t="s">
        <v>452</v>
      </c>
      <c r="J20" s="108">
        <v>-96157604.895406127</v>
      </c>
      <c r="L20" s="100"/>
      <c r="N20" s="102"/>
    </row>
    <row r="21" spans="1:14" ht="13" x14ac:dyDescent="0.3">
      <c r="A21" s="96">
        <f>A20+1</f>
        <v>12</v>
      </c>
      <c r="C21" s="109" t="s">
        <v>61</v>
      </c>
      <c r="D21" s="107"/>
      <c r="H21" s="93" t="str">
        <f>"Line "&amp;A18&amp;" + Line "&amp;A19&amp;" + Line "&amp;A20&amp;""</f>
        <v>Line 9 + Line 10 + Line 11</v>
      </c>
      <c r="J21" s="102">
        <f>SUM(J18:J20)</f>
        <v>-1792907799.6304851</v>
      </c>
      <c r="L21" s="100"/>
      <c r="N21" s="102"/>
    </row>
    <row r="22" spans="1:14" ht="13" x14ac:dyDescent="0.3">
      <c r="A22" s="96"/>
      <c r="J22" s="102"/>
      <c r="L22" s="100"/>
      <c r="N22" s="102"/>
    </row>
    <row r="23" spans="1:14" ht="13" x14ac:dyDescent="0.3">
      <c r="A23" s="96">
        <f>A21+1</f>
        <v>13</v>
      </c>
      <c r="C23" s="101" t="s">
        <v>62</v>
      </c>
      <c r="F23" s="93" t="s">
        <v>47</v>
      </c>
      <c r="H23" s="101" t="s">
        <v>453</v>
      </c>
      <c r="J23" s="102">
        <v>-1646877466.9842367</v>
      </c>
      <c r="L23" s="100"/>
      <c r="N23" s="102"/>
    </row>
    <row r="24" spans="1:14" ht="13" x14ac:dyDescent="0.3">
      <c r="A24" s="96">
        <f>A23+1</f>
        <v>14</v>
      </c>
      <c r="C24" s="101" t="s">
        <v>63</v>
      </c>
      <c r="F24" s="93" t="s">
        <v>45</v>
      </c>
      <c r="H24" s="101" t="s">
        <v>467</v>
      </c>
      <c r="J24" s="102">
        <v>297744428.87125176</v>
      </c>
      <c r="L24" s="100"/>
      <c r="N24" s="102"/>
    </row>
    <row r="25" spans="1:14" ht="13" x14ac:dyDescent="0.3">
      <c r="A25" s="96">
        <f>A24+1</f>
        <v>15</v>
      </c>
      <c r="C25" s="101" t="s">
        <v>64</v>
      </c>
      <c r="F25" s="93" t="s">
        <v>47</v>
      </c>
      <c r="G25" s="93" t="s">
        <v>58</v>
      </c>
      <c r="H25" s="101" t="s">
        <v>468</v>
      </c>
      <c r="J25" s="102">
        <v>-78952573</v>
      </c>
      <c r="L25" s="100"/>
      <c r="N25" s="102"/>
    </row>
    <row r="26" spans="1:14" ht="13" x14ac:dyDescent="0.3">
      <c r="A26" s="96">
        <f t="shared" ref="A26:A27" si="0">A25+1</f>
        <v>16</v>
      </c>
      <c r="C26" s="101" t="s">
        <v>66</v>
      </c>
      <c r="H26" s="93" t="s">
        <v>456</v>
      </c>
      <c r="J26" s="102">
        <v>-86758063.662293404</v>
      </c>
      <c r="L26" s="100"/>
      <c r="N26" s="102"/>
    </row>
    <row r="27" spans="1:14" ht="13" x14ac:dyDescent="0.3">
      <c r="A27" s="96">
        <f t="shared" si="0"/>
        <v>17</v>
      </c>
      <c r="C27" s="101" t="s">
        <v>67</v>
      </c>
      <c r="F27" s="93" t="s">
        <v>47</v>
      </c>
      <c r="H27" s="101" t="s">
        <v>457</v>
      </c>
      <c r="J27" s="102">
        <v>0</v>
      </c>
      <c r="L27" s="100"/>
      <c r="N27" s="102"/>
    </row>
    <row r="28" spans="1:14" ht="13" x14ac:dyDescent="0.3">
      <c r="A28" s="96"/>
      <c r="C28" s="101"/>
      <c r="L28" s="100"/>
      <c r="N28" s="102"/>
    </row>
    <row r="29" spans="1:14" ht="13" x14ac:dyDescent="0.3">
      <c r="A29" s="96">
        <f>A27+1</f>
        <v>18</v>
      </c>
      <c r="C29" s="93" t="s">
        <v>68</v>
      </c>
      <c r="H29" s="93" t="str">
        <f>"L"&amp;A6&amp;"+L"&amp;A7&amp;"+L"&amp;A8&amp;"+L"&amp;A9&amp;"+L"&amp;A15&amp;"+L"&amp;A21&amp;"+"</f>
        <v>L1+L2+L3+L4+L8+L12+</v>
      </c>
      <c r="J29" s="105">
        <f>J6+ J7+J8+J9+J15+J21+J23+J24+J25+J26+J27</f>
        <v>5679540877.244566</v>
      </c>
      <c r="L29" s="100"/>
      <c r="N29" s="102"/>
    </row>
    <row r="30" spans="1:14" ht="13" x14ac:dyDescent="0.3">
      <c r="A30" s="96"/>
      <c r="H30" s="93" t="str">
        <f>"L"&amp;A23&amp;"+L"&amp;A24&amp;"+L"&amp;A25&amp;"+L"&amp;A26&amp;"+L"&amp;A27&amp;""</f>
        <v>L13+L14+L15+L16+L17</v>
      </c>
      <c r="J30" s="102"/>
      <c r="L30" s="100"/>
      <c r="N30" s="102"/>
    </row>
    <row r="31" spans="1:14" ht="13" x14ac:dyDescent="0.3">
      <c r="A31" s="96"/>
      <c r="B31" s="92" t="s">
        <v>69</v>
      </c>
      <c r="J31" s="102"/>
      <c r="L31" s="100"/>
      <c r="N31" s="102"/>
    </row>
    <row r="32" spans="1:14" ht="13" x14ac:dyDescent="0.3">
      <c r="A32" s="97" t="s">
        <v>39</v>
      </c>
      <c r="C32" s="92"/>
      <c r="J32" s="102"/>
      <c r="L32" s="100"/>
      <c r="N32" s="102"/>
    </row>
    <row r="33" spans="1:14" ht="13" x14ac:dyDescent="0.3">
      <c r="A33" s="96">
        <f>A29+1</f>
        <v>19</v>
      </c>
      <c r="C33" s="93" t="s">
        <v>70</v>
      </c>
      <c r="G33" s="93" t="s">
        <v>71</v>
      </c>
      <c r="H33" s="93" t="str">
        <f>"Instruction 1, Line "&amp;B98&amp;""</f>
        <v>Instruction 1, Line j</v>
      </c>
      <c r="J33" s="110">
        <f>E98</f>
        <v>7.8018766760959951E-2</v>
      </c>
      <c r="L33" s="100"/>
      <c r="M33" s="110"/>
      <c r="N33" s="102"/>
    </row>
    <row r="34" spans="1:14" ht="13" x14ac:dyDescent="0.3">
      <c r="A34" s="96">
        <f>A33+1</f>
        <v>20</v>
      </c>
      <c r="C34" s="93" t="s">
        <v>72</v>
      </c>
      <c r="H34" s="93" t="str">
        <f>"Line "&amp;A29&amp;" * Line "&amp;A33&amp;""</f>
        <v>Line 18 * Line 19</v>
      </c>
      <c r="J34" s="102">
        <f>J29*J33</f>
        <v>443110775.01108164</v>
      </c>
      <c r="L34" s="100"/>
      <c r="N34" s="102"/>
    </row>
    <row r="35" spans="1:14" ht="13" x14ac:dyDescent="0.3">
      <c r="A35" s="96"/>
      <c r="B35" s="98"/>
      <c r="L35" s="100"/>
      <c r="N35" s="102"/>
    </row>
    <row r="36" spans="1:14" ht="13" x14ac:dyDescent="0.3">
      <c r="A36" s="96"/>
      <c r="B36" s="92" t="s">
        <v>73</v>
      </c>
      <c r="L36" s="100"/>
      <c r="N36" s="102"/>
    </row>
    <row r="37" spans="1:14" ht="13" x14ac:dyDescent="0.3">
      <c r="A37" s="96"/>
      <c r="B37" s="98"/>
      <c r="L37" s="100"/>
      <c r="N37" s="102"/>
    </row>
    <row r="38" spans="1:14" ht="13" x14ac:dyDescent="0.3">
      <c r="A38" s="96">
        <f>A34+1</f>
        <v>21</v>
      </c>
      <c r="C38" s="93" t="s">
        <v>74</v>
      </c>
      <c r="J38" s="102">
        <f>(((J29*J42) + J45) *(J43/(1-J43)))+(J44/(1-J43))</f>
        <v>91569713.649552375</v>
      </c>
      <c r="L38" s="100"/>
      <c r="N38" s="102"/>
    </row>
    <row r="39" spans="1:14" ht="13" x14ac:dyDescent="0.3">
      <c r="A39" s="96"/>
      <c r="L39" s="100"/>
      <c r="N39" s="102"/>
    </row>
    <row r="40" spans="1:14" ht="13" x14ac:dyDescent="0.3">
      <c r="A40" s="96"/>
      <c r="D40" s="93" t="s">
        <v>75</v>
      </c>
      <c r="L40" s="100"/>
      <c r="N40" s="102"/>
    </row>
    <row r="41" spans="1:14" ht="13" x14ac:dyDescent="0.3">
      <c r="A41" s="96">
        <f>A38+1</f>
        <v>22</v>
      </c>
      <c r="D41" s="98" t="s">
        <v>76</v>
      </c>
      <c r="H41" s="93" t="str">
        <f>"Line "&amp;A29&amp;""</f>
        <v>Line 18</v>
      </c>
      <c r="J41" s="102">
        <f>J29</f>
        <v>5679540877.244566</v>
      </c>
      <c r="L41" s="100"/>
      <c r="N41" s="102"/>
    </row>
    <row r="42" spans="1:14" ht="13" x14ac:dyDescent="0.3">
      <c r="A42" s="96">
        <f>A41+1</f>
        <v>23</v>
      </c>
      <c r="D42" s="98" t="s">
        <v>77</v>
      </c>
      <c r="G42" s="93" t="s">
        <v>78</v>
      </c>
      <c r="H42" s="93" t="str">
        <f>"Instruction 1, Line "&amp;B103&amp;""</f>
        <v>Instruction 1, Line k</v>
      </c>
      <c r="J42" s="110">
        <f>E103</f>
        <v>5.6848332774048153E-2</v>
      </c>
      <c r="L42" s="100"/>
      <c r="M42" s="110"/>
      <c r="N42" s="102"/>
    </row>
    <row r="43" spans="1:14" ht="13" x14ac:dyDescent="0.3">
      <c r="A43" s="96">
        <f>A42+1</f>
        <v>24</v>
      </c>
      <c r="D43" s="98" t="s">
        <v>79</v>
      </c>
      <c r="H43" s="93" t="s">
        <v>461</v>
      </c>
      <c r="J43" s="110">
        <v>0.27983599999999997</v>
      </c>
      <c r="L43" s="100"/>
      <c r="M43" s="110"/>
      <c r="N43" s="102"/>
    </row>
    <row r="44" spans="1:14" ht="13" x14ac:dyDescent="0.3">
      <c r="A44" s="96">
        <f>A43+1</f>
        <v>25</v>
      </c>
      <c r="D44" s="98" t="s">
        <v>80</v>
      </c>
      <c r="H44" s="93" t="s">
        <v>462</v>
      </c>
      <c r="J44" s="102">
        <v>-25416331</v>
      </c>
      <c r="L44" s="100"/>
      <c r="N44" s="102"/>
    </row>
    <row r="45" spans="1:14" ht="13" x14ac:dyDescent="0.3">
      <c r="A45" s="96">
        <f>A44+1</f>
        <v>26</v>
      </c>
      <c r="D45" s="98" t="s">
        <v>81</v>
      </c>
      <c r="H45" s="93" t="s">
        <v>437</v>
      </c>
      <c r="J45" s="102">
        <v>3610018</v>
      </c>
      <c r="L45" s="100"/>
      <c r="N45" s="102"/>
    </row>
    <row r="46" spans="1:14" ht="13" x14ac:dyDescent="0.3">
      <c r="A46" s="96"/>
      <c r="B46" s="98"/>
      <c r="L46" s="100"/>
      <c r="N46" s="102"/>
    </row>
    <row r="47" spans="1:14" ht="13" x14ac:dyDescent="0.3">
      <c r="A47" s="96"/>
      <c r="B47" s="92" t="s">
        <v>82</v>
      </c>
      <c r="L47" s="100"/>
      <c r="N47" s="102"/>
    </row>
    <row r="48" spans="1:14" ht="13" x14ac:dyDescent="0.3">
      <c r="A48" s="96">
        <f>A45+1</f>
        <v>27</v>
      </c>
      <c r="B48" s="98"/>
      <c r="C48" s="93" t="s">
        <v>83</v>
      </c>
      <c r="H48" s="93" t="s">
        <v>438</v>
      </c>
      <c r="J48" s="102">
        <v>68175046.600722671</v>
      </c>
      <c r="L48" s="100"/>
      <c r="N48" s="102"/>
    </row>
    <row r="49" spans="1:14" ht="13" x14ac:dyDescent="0.3">
      <c r="A49" s="96">
        <f t="shared" ref="A49:A59" si="1">A48+1</f>
        <v>28</v>
      </c>
      <c r="B49" s="98"/>
      <c r="C49" s="93" t="s">
        <v>84</v>
      </c>
      <c r="H49" s="93" t="s">
        <v>439</v>
      </c>
      <c r="J49" s="105">
        <v>206788561.56555459</v>
      </c>
      <c r="L49" s="100"/>
      <c r="N49" s="102"/>
    </row>
    <row r="50" spans="1:14" ht="13" x14ac:dyDescent="0.3">
      <c r="A50" s="96">
        <f>A49+1</f>
        <v>29</v>
      </c>
      <c r="B50" s="98"/>
      <c r="C50" s="93" t="s">
        <v>85</v>
      </c>
      <c r="H50" s="93" t="s">
        <v>440</v>
      </c>
      <c r="J50" s="102">
        <v>5429238</v>
      </c>
      <c r="L50" s="100"/>
      <c r="N50" s="102"/>
    </row>
    <row r="51" spans="1:14" ht="13" x14ac:dyDescent="0.3">
      <c r="A51" s="96">
        <f t="shared" si="1"/>
        <v>30</v>
      </c>
      <c r="B51" s="98"/>
      <c r="C51" s="93" t="s">
        <v>86</v>
      </c>
      <c r="H51" s="93" t="s">
        <v>441</v>
      </c>
      <c r="J51" s="102">
        <v>245884459.62477174</v>
      </c>
      <c r="L51" s="100"/>
      <c r="N51" s="102"/>
    </row>
    <row r="52" spans="1:14" ht="13" x14ac:dyDescent="0.3">
      <c r="A52" s="96">
        <f t="shared" si="1"/>
        <v>31</v>
      </c>
      <c r="B52" s="98"/>
      <c r="C52" s="93" t="s">
        <v>87</v>
      </c>
      <c r="H52" s="93" t="s">
        <v>442</v>
      </c>
      <c r="J52" s="102">
        <v>0</v>
      </c>
      <c r="L52" s="100"/>
      <c r="N52" s="102"/>
    </row>
    <row r="53" spans="1:14" ht="13" x14ac:dyDescent="0.3">
      <c r="A53" s="96">
        <f t="shared" si="1"/>
        <v>32</v>
      </c>
      <c r="B53" s="98"/>
      <c r="C53" s="93" t="s">
        <v>88</v>
      </c>
      <c r="H53" s="93" t="s">
        <v>443</v>
      </c>
      <c r="J53" s="102">
        <v>63673657.128531143</v>
      </c>
      <c r="L53" s="100"/>
      <c r="N53" s="102"/>
    </row>
    <row r="54" spans="1:14" ht="13" x14ac:dyDescent="0.3">
      <c r="A54" s="96">
        <f t="shared" si="1"/>
        <v>33</v>
      </c>
      <c r="B54" s="98"/>
      <c r="C54" s="93" t="s">
        <v>89</v>
      </c>
      <c r="H54" s="93" t="s">
        <v>463</v>
      </c>
      <c r="J54" s="102">
        <v>-58173790.509793751</v>
      </c>
      <c r="L54" s="100"/>
      <c r="N54" s="102"/>
    </row>
    <row r="55" spans="1:14" ht="13" x14ac:dyDescent="0.3">
      <c r="A55" s="96">
        <f t="shared" si="1"/>
        <v>34</v>
      </c>
      <c r="B55" s="98"/>
      <c r="C55" s="93" t="s">
        <v>90</v>
      </c>
      <c r="H55" s="93" t="str">
        <f>"Line "&amp;A34&amp;""</f>
        <v>Line 20</v>
      </c>
      <c r="J55" s="102">
        <f>J34</f>
        <v>443110775.01108164</v>
      </c>
      <c r="L55" s="100"/>
      <c r="N55" s="102"/>
    </row>
    <row r="56" spans="1:14" ht="13" x14ac:dyDescent="0.3">
      <c r="A56" s="96">
        <f t="shared" si="1"/>
        <v>35</v>
      </c>
      <c r="B56" s="98"/>
      <c r="C56" s="93" t="s">
        <v>91</v>
      </c>
      <c r="H56" s="93" t="str">
        <f>"Line "&amp;A38&amp;""</f>
        <v>Line 21</v>
      </c>
      <c r="J56" s="102">
        <f>J38</f>
        <v>91569713.649552375</v>
      </c>
      <c r="L56" s="100"/>
      <c r="N56" s="102"/>
    </row>
    <row r="57" spans="1:14" ht="13" x14ac:dyDescent="0.3">
      <c r="A57" s="96">
        <f t="shared" si="1"/>
        <v>36</v>
      </c>
      <c r="B57" s="98"/>
      <c r="C57" s="93" t="s">
        <v>92</v>
      </c>
      <c r="H57" s="93" t="s">
        <v>445</v>
      </c>
      <c r="J57" s="102">
        <v>0</v>
      </c>
      <c r="L57" s="100"/>
      <c r="N57" s="102"/>
    </row>
    <row r="58" spans="1:14" ht="13" x14ac:dyDescent="0.3">
      <c r="A58" s="96">
        <f t="shared" si="1"/>
        <v>37</v>
      </c>
      <c r="B58" s="98"/>
      <c r="C58" s="111" t="s">
        <v>93</v>
      </c>
      <c r="D58" s="111"/>
      <c r="H58" s="93" t="s">
        <v>464</v>
      </c>
      <c r="J58" s="108">
        <v>0</v>
      </c>
      <c r="L58" s="100"/>
      <c r="N58" s="102"/>
    </row>
    <row r="59" spans="1:14" ht="13" x14ac:dyDescent="0.3">
      <c r="A59" s="96">
        <f t="shared" si="1"/>
        <v>38</v>
      </c>
      <c r="B59" s="98"/>
      <c r="C59" s="93" t="s">
        <v>94</v>
      </c>
      <c r="H59" s="93" t="str">
        <f>"Sum Line "&amp;A48&amp;" to Line "&amp;A58&amp;""</f>
        <v>Sum Line 27 to Line 37</v>
      </c>
      <c r="J59" s="105">
        <f>SUM(J48:J58)</f>
        <v>1066457661.0704203</v>
      </c>
      <c r="L59" s="100"/>
      <c r="N59" s="102"/>
    </row>
    <row r="60" spans="1:14" ht="13" x14ac:dyDescent="0.3">
      <c r="A60" s="96"/>
      <c r="B60" s="98"/>
      <c r="J60" s="102"/>
      <c r="L60" s="100"/>
      <c r="N60" s="102"/>
    </row>
    <row r="61" spans="1:14" ht="12.75" customHeight="1" x14ac:dyDescent="0.3">
      <c r="A61" s="96">
        <f>A59+1</f>
        <v>39</v>
      </c>
      <c r="B61" s="98"/>
      <c r="C61" s="93" t="s">
        <v>95</v>
      </c>
      <c r="H61" s="93" t="s">
        <v>459</v>
      </c>
      <c r="J61" s="102">
        <v>26918854.433303144</v>
      </c>
      <c r="L61" s="100"/>
      <c r="N61" s="102"/>
    </row>
    <row r="62" spans="1:14" ht="12.75" customHeight="1" x14ac:dyDescent="0.3">
      <c r="A62" s="96" t="s">
        <v>311</v>
      </c>
      <c r="C62" s="93" t="s">
        <v>312</v>
      </c>
      <c r="H62" s="93" t="s">
        <v>313</v>
      </c>
      <c r="J62" s="102">
        <f>-J61</f>
        <v>-26918854.433303144</v>
      </c>
      <c r="L62" s="100"/>
      <c r="N62" s="102"/>
    </row>
    <row r="63" spans="1:14" ht="13" x14ac:dyDescent="0.3">
      <c r="A63" s="96"/>
      <c r="B63" s="98"/>
      <c r="J63" s="102"/>
      <c r="L63" s="100"/>
      <c r="N63" s="102"/>
    </row>
    <row r="64" spans="1:14" ht="13" x14ac:dyDescent="0.3">
      <c r="A64" s="96">
        <f>A61+1</f>
        <v>40</v>
      </c>
      <c r="B64" s="98"/>
      <c r="C64" s="93" t="s">
        <v>96</v>
      </c>
      <c r="H64" s="93" t="s">
        <v>314</v>
      </c>
      <c r="J64" s="105">
        <f>J59+J61+J62</f>
        <v>1066457661.0704203</v>
      </c>
      <c r="L64" s="100"/>
      <c r="N64" s="102"/>
    </row>
    <row r="65" spans="1:14" ht="13" x14ac:dyDescent="0.3">
      <c r="A65" s="96"/>
      <c r="B65" s="98"/>
      <c r="J65" s="102"/>
    </row>
    <row r="66" spans="1:14" ht="13" x14ac:dyDescent="0.3">
      <c r="A66" s="96"/>
      <c r="B66" s="94" t="s">
        <v>97</v>
      </c>
      <c r="J66" s="102"/>
      <c r="N66" s="96"/>
    </row>
    <row r="67" spans="1:14" ht="13.5" thickBot="1" x14ac:dyDescent="0.35">
      <c r="A67" s="97" t="s">
        <v>39</v>
      </c>
      <c r="B67" s="101"/>
      <c r="G67" s="99" t="s">
        <v>98</v>
      </c>
      <c r="N67" s="100"/>
    </row>
    <row r="68" spans="1:14" ht="13" x14ac:dyDescent="0.3">
      <c r="A68" s="96">
        <f>A64+1</f>
        <v>41</v>
      </c>
      <c r="B68" s="101"/>
      <c r="D68" s="112" t="s">
        <v>99</v>
      </c>
      <c r="E68" s="105">
        <f>J64</f>
        <v>1066457661.0704203</v>
      </c>
      <c r="G68" s="93" t="str">
        <f>"Line "&amp;A64&amp;""</f>
        <v>Line 40</v>
      </c>
      <c r="J68" s="113" t="s">
        <v>100</v>
      </c>
      <c r="N68" s="102"/>
    </row>
    <row r="69" spans="1:14" ht="13" x14ac:dyDescent="0.3">
      <c r="A69" s="96">
        <f>A68+1</f>
        <v>42</v>
      </c>
      <c r="B69" s="101"/>
      <c r="D69" s="112" t="s">
        <v>101</v>
      </c>
      <c r="E69" s="114">
        <v>9.2440000000000005E-3</v>
      </c>
      <c r="G69" s="93" t="s">
        <v>460</v>
      </c>
      <c r="J69" s="115" t="s">
        <v>298</v>
      </c>
      <c r="N69" s="110"/>
    </row>
    <row r="70" spans="1:14" ht="13" x14ac:dyDescent="0.3">
      <c r="A70" s="96">
        <f>A69+1</f>
        <v>43</v>
      </c>
      <c r="B70" s="101"/>
      <c r="D70" s="112" t="s">
        <v>102</v>
      </c>
      <c r="E70" s="102">
        <v>9858334.6189349648</v>
      </c>
      <c r="G70" s="93" t="str">
        <f>"Line "&amp;A68&amp;" * Line "&amp;A69&amp;""</f>
        <v>Line 41 * Line 42</v>
      </c>
      <c r="J70" s="116">
        <f>E73</f>
        <v>1078591816.3380795</v>
      </c>
      <c r="N70" s="102"/>
    </row>
    <row r="71" spans="1:14" ht="25.5" customHeight="1" x14ac:dyDescent="0.3">
      <c r="A71" s="96">
        <f>A70+1</f>
        <v>44</v>
      </c>
      <c r="B71" s="101"/>
      <c r="D71" s="112" t="s">
        <v>103</v>
      </c>
      <c r="E71" s="114">
        <v>2.134E-3</v>
      </c>
      <c r="G71" s="93" t="s">
        <v>460</v>
      </c>
      <c r="J71" s="117">
        <v>1078540190.2918077</v>
      </c>
      <c r="K71" s="278" t="s">
        <v>315</v>
      </c>
      <c r="L71" s="279"/>
      <c r="N71" s="110"/>
    </row>
    <row r="72" spans="1:14" ht="13.5" thickBot="1" x14ac:dyDescent="0.35">
      <c r="A72" s="96">
        <f>A71+1</f>
        <v>45</v>
      </c>
      <c r="B72" s="101"/>
      <c r="D72" s="112" t="s">
        <v>104</v>
      </c>
      <c r="E72" s="102">
        <v>2275820.648724277</v>
      </c>
      <c r="G72" s="93" t="str">
        <f>"Line "&amp;A70&amp;" * Line "&amp;A71&amp;""</f>
        <v>Line 43 * Line 44</v>
      </c>
      <c r="J72" s="118">
        <f>J70-J71</f>
        <v>51626.046271800995</v>
      </c>
      <c r="K72" s="159"/>
      <c r="L72" s="160"/>
      <c r="N72" s="102"/>
    </row>
    <row r="73" spans="1:14" ht="13" x14ac:dyDescent="0.3">
      <c r="A73" s="96">
        <f>A72+1</f>
        <v>46</v>
      </c>
      <c r="B73" s="101"/>
      <c r="D73" s="112" t="s">
        <v>105</v>
      </c>
      <c r="E73" s="105">
        <f>E68+E70+E72</f>
        <v>1078591816.3380795</v>
      </c>
      <c r="G73" s="93" t="str">
        <f>"L "&amp;A68&amp;" + L "&amp;A70&amp;" + L "&amp;A72&amp;""</f>
        <v>L 41 + L 43 + L 45</v>
      </c>
      <c r="K73" s="119">
        <v>-1275.206901550293</v>
      </c>
      <c r="L73" s="93" t="s">
        <v>295</v>
      </c>
      <c r="N73" s="102"/>
    </row>
    <row r="74" spans="1:14" ht="13" x14ac:dyDescent="0.3">
      <c r="B74" s="94" t="s">
        <v>106</v>
      </c>
      <c r="D74" s="112"/>
      <c r="E74" s="102"/>
      <c r="H74" s="120"/>
      <c r="K74" s="245">
        <v>52901.253173351193</v>
      </c>
      <c r="L74" s="93" t="s">
        <v>426</v>
      </c>
    </row>
    <row r="75" spans="1:14" ht="13" x14ac:dyDescent="0.3">
      <c r="A75" s="96"/>
      <c r="B75" s="93" t="s">
        <v>299</v>
      </c>
      <c r="C75" s="94"/>
      <c r="D75" s="112"/>
      <c r="E75" s="102"/>
      <c r="K75" s="137">
        <v>51626.0462718009</v>
      </c>
      <c r="L75" s="93" t="s">
        <v>418</v>
      </c>
    </row>
    <row r="76" spans="1:14" ht="13" x14ac:dyDescent="0.3">
      <c r="A76" s="96"/>
      <c r="B76" s="93" t="s">
        <v>300</v>
      </c>
      <c r="C76" s="94"/>
      <c r="D76" s="112"/>
      <c r="E76" s="102"/>
    </row>
    <row r="77" spans="1:14" ht="13" x14ac:dyDescent="0.3">
      <c r="A77" s="96"/>
      <c r="B77" s="101" t="s">
        <v>109</v>
      </c>
      <c r="D77" s="112"/>
      <c r="E77" s="102"/>
    </row>
    <row r="78" spans="1:14" ht="13" x14ac:dyDescent="0.3">
      <c r="A78" s="96"/>
      <c r="B78" s="101" t="s">
        <v>110</v>
      </c>
      <c r="D78" s="112"/>
      <c r="E78" s="102"/>
    </row>
    <row r="79" spans="1:14" ht="13" x14ac:dyDescent="0.3">
      <c r="A79" s="96"/>
    </row>
    <row r="80" spans="1:14" ht="13" x14ac:dyDescent="0.3">
      <c r="A80" s="96"/>
      <c r="B80" s="93" t="s">
        <v>111</v>
      </c>
    </row>
    <row r="81" spans="1:10" ht="13" x14ac:dyDescent="0.3">
      <c r="A81" s="96"/>
      <c r="C81" s="93" t="s">
        <v>112</v>
      </c>
    </row>
    <row r="82" spans="1:10" ht="13" x14ac:dyDescent="0.3">
      <c r="A82" s="96"/>
      <c r="J82" s="96" t="s">
        <v>113</v>
      </c>
    </row>
    <row r="83" spans="1:10" ht="13" x14ac:dyDescent="0.3">
      <c r="A83" s="96"/>
      <c r="E83" s="100" t="s">
        <v>114</v>
      </c>
      <c r="F83" s="99" t="s">
        <v>98</v>
      </c>
      <c r="G83" s="100" t="s">
        <v>115</v>
      </c>
      <c r="H83" s="100" t="s">
        <v>116</v>
      </c>
      <c r="J83" s="100" t="s">
        <v>117</v>
      </c>
    </row>
    <row r="84" spans="1:10" ht="13" x14ac:dyDescent="0.3">
      <c r="B84" s="121" t="s">
        <v>118</v>
      </c>
      <c r="C84" s="93" t="s">
        <v>119</v>
      </c>
      <c r="E84" s="246">
        <v>0.112</v>
      </c>
      <c r="F84" s="93" t="s">
        <v>122</v>
      </c>
      <c r="G84" s="156">
        <v>43101</v>
      </c>
      <c r="H84" s="156">
        <v>43465</v>
      </c>
      <c r="J84" s="125">
        <v>365</v>
      </c>
    </row>
    <row r="85" spans="1:10" ht="13" x14ac:dyDescent="0.3">
      <c r="B85" s="121" t="s">
        <v>120</v>
      </c>
      <c r="C85" s="93" t="s">
        <v>121</v>
      </c>
      <c r="E85" s="246">
        <v>0.112</v>
      </c>
      <c r="F85" s="93" t="s">
        <v>301</v>
      </c>
      <c r="G85" s="123"/>
      <c r="H85" s="124"/>
      <c r="J85" s="125"/>
    </row>
    <row r="86" spans="1:10" ht="13" x14ac:dyDescent="0.3">
      <c r="B86" s="121" t="s">
        <v>123</v>
      </c>
      <c r="E86" s="127"/>
      <c r="G86" s="128"/>
      <c r="H86" s="128"/>
      <c r="I86" s="112" t="s">
        <v>124</v>
      </c>
      <c r="J86" s="93">
        <f>SUM(J84:J85)</f>
        <v>365</v>
      </c>
    </row>
    <row r="87" spans="1:10" ht="13" x14ac:dyDescent="0.3">
      <c r="B87" s="121" t="s">
        <v>125</v>
      </c>
      <c r="C87" s="93" t="s">
        <v>126</v>
      </c>
      <c r="E87" s="122">
        <f>((E84*J84) + (E85* J85)) / J86</f>
        <v>0.112</v>
      </c>
      <c r="F87" s="93" t="s">
        <v>127</v>
      </c>
    </row>
    <row r="88" spans="1:10" ht="13" x14ac:dyDescent="0.3">
      <c r="A88" s="96"/>
    </row>
    <row r="89" spans="1:10" ht="13" x14ac:dyDescent="0.3">
      <c r="A89" s="96"/>
      <c r="B89" s="93" t="s">
        <v>128</v>
      </c>
    </row>
    <row r="90" spans="1:10" ht="13" x14ac:dyDescent="0.3">
      <c r="A90" s="96"/>
      <c r="E90" s="99" t="s">
        <v>98</v>
      </c>
    </row>
    <row r="91" spans="1:10" ht="13" x14ac:dyDescent="0.3">
      <c r="B91" s="121" t="s">
        <v>129</v>
      </c>
      <c r="C91" s="93" t="s">
        <v>130</v>
      </c>
      <c r="E91" s="247" t="s">
        <v>316</v>
      </c>
      <c r="F91" s="125"/>
      <c r="G91" s="125"/>
      <c r="H91" s="125"/>
      <c r="I91" s="125"/>
      <c r="J91" s="125"/>
    </row>
    <row r="92" spans="1:10" ht="13" x14ac:dyDescent="0.3">
      <c r="B92" s="121" t="s">
        <v>132</v>
      </c>
      <c r="C92" s="93" t="s">
        <v>133</v>
      </c>
      <c r="E92" s="247" t="s">
        <v>316</v>
      </c>
      <c r="F92" s="125"/>
      <c r="G92" s="125"/>
      <c r="H92" s="125"/>
      <c r="I92" s="125"/>
      <c r="J92" s="125"/>
    </row>
    <row r="93" spans="1:10" x14ac:dyDescent="0.25">
      <c r="E93" s="128"/>
    </row>
    <row r="94" spans="1:10" ht="13" x14ac:dyDescent="0.3">
      <c r="E94" s="100" t="s">
        <v>114</v>
      </c>
      <c r="F94" s="99" t="s">
        <v>98</v>
      </c>
    </row>
    <row r="95" spans="1:10" ht="13" x14ac:dyDescent="0.3">
      <c r="B95" s="121" t="s">
        <v>134</v>
      </c>
      <c r="C95" s="93" t="s">
        <v>135</v>
      </c>
      <c r="E95" s="110">
        <v>2.1170433986911801E-2</v>
      </c>
      <c r="F95" s="93" t="s">
        <v>448</v>
      </c>
    </row>
    <row r="96" spans="1:10" ht="13" x14ac:dyDescent="0.3">
      <c r="B96" s="121" t="s">
        <v>136</v>
      </c>
      <c r="C96" s="93" t="s">
        <v>137</v>
      </c>
      <c r="E96" s="110">
        <v>4.6008620927769249E-3</v>
      </c>
      <c r="F96" s="93" t="s">
        <v>465</v>
      </c>
    </row>
    <row r="97" spans="1:10" ht="13" x14ac:dyDescent="0.3">
      <c r="B97" s="121" t="s">
        <v>138</v>
      </c>
      <c r="C97" s="93" t="s">
        <v>139</v>
      </c>
      <c r="E97" s="129">
        <v>5.2247470681271231E-2</v>
      </c>
      <c r="F97" s="93" t="s">
        <v>466</v>
      </c>
    </row>
    <row r="98" spans="1:10" ht="13" x14ac:dyDescent="0.3">
      <c r="B98" s="96" t="s">
        <v>140</v>
      </c>
      <c r="C98" s="98" t="s">
        <v>70</v>
      </c>
      <c r="E98" s="110">
        <f>SUM(E95:E97)</f>
        <v>7.8018766760959951E-2</v>
      </c>
      <c r="F98" s="102" t="str">
        <f>"Sum of Lines "&amp;B95&amp;" to "&amp;B97&amp;""</f>
        <v>Sum of Lines g to i</v>
      </c>
      <c r="G98" s="130"/>
      <c r="J98" s="131"/>
    </row>
    <row r="99" spans="1:10" ht="13" x14ac:dyDescent="0.3">
      <c r="A99" s="96"/>
      <c r="C99" s="132"/>
      <c r="D99" s="133"/>
      <c r="E99" s="102"/>
      <c r="F99" s="102"/>
      <c r="G99" s="130"/>
      <c r="H99" s="102"/>
      <c r="J99" s="131"/>
    </row>
    <row r="100" spans="1:10" ht="13" x14ac:dyDescent="0.3">
      <c r="A100" s="96"/>
      <c r="B100" s="93" t="s">
        <v>141</v>
      </c>
    </row>
    <row r="101" spans="1:10" ht="13" x14ac:dyDescent="0.3">
      <c r="A101" s="96"/>
    </row>
    <row r="102" spans="1:10" ht="13" x14ac:dyDescent="0.3">
      <c r="A102" s="96"/>
      <c r="E102" s="100" t="s">
        <v>114</v>
      </c>
      <c r="F102" s="99" t="s">
        <v>98</v>
      </c>
    </row>
    <row r="103" spans="1:10" ht="13" x14ac:dyDescent="0.3">
      <c r="B103" s="121" t="s">
        <v>142</v>
      </c>
      <c r="E103" s="110">
        <f>E96+E97</f>
        <v>5.6848332774048153E-2</v>
      </c>
      <c r="F103" s="102" t="str">
        <f>"Sum of Lines "&amp;B96&amp;" to "&amp;B97&amp;""</f>
        <v>Sum of Lines h to i</v>
      </c>
    </row>
    <row r="104" spans="1:10" ht="13" x14ac:dyDescent="0.3">
      <c r="A104" s="96"/>
      <c r="E104" s="110"/>
      <c r="F104" s="102"/>
    </row>
    <row r="105" spans="1:10" ht="13" x14ac:dyDescent="0.3">
      <c r="A105" s="96"/>
      <c r="B105" s="161" t="s">
        <v>317</v>
      </c>
      <c r="E105" s="130"/>
      <c r="F105" s="130"/>
      <c r="G105" s="130"/>
      <c r="H105" s="102"/>
    </row>
    <row r="106" spans="1:10" ht="13" x14ac:dyDescent="0.3">
      <c r="A106" s="96"/>
      <c r="B106" s="161" t="s">
        <v>318</v>
      </c>
    </row>
    <row r="107" spans="1:10" ht="13" x14ac:dyDescent="0.3">
      <c r="A107" s="96"/>
      <c r="B107" s="161" t="s">
        <v>319</v>
      </c>
      <c r="D107" s="96"/>
      <c r="E107" s="96"/>
      <c r="F107" s="96"/>
      <c r="G107" s="96"/>
      <c r="H107" s="96"/>
    </row>
    <row r="108" spans="1:10" ht="13" x14ac:dyDescent="0.3">
      <c r="A108" s="96"/>
      <c r="B108" s="101"/>
      <c r="D108" s="96"/>
      <c r="E108" s="96"/>
      <c r="F108" s="96"/>
      <c r="G108" s="96"/>
      <c r="H108" s="96"/>
    </row>
    <row r="109" spans="1:10" ht="13" x14ac:dyDescent="0.3">
      <c r="A109" s="96"/>
      <c r="C109" s="134"/>
      <c r="D109" s="134"/>
      <c r="E109" s="100"/>
      <c r="F109" s="100"/>
      <c r="G109" s="100"/>
      <c r="H109" s="100"/>
    </row>
    <row r="110" spans="1:10" ht="13" x14ac:dyDescent="0.3">
      <c r="A110" s="96"/>
    </row>
    <row r="111" spans="1:10" ht="13" x14ac:dyDescent="0.3">
      <c r="A111" s="96"/>
    </row>
    <row r="112" spans="1:10" ht="13" x14ac:dyDescent="0.3">
      <c r="A112" s="96"/>
    </row>
    <row r="113" spans="1:10" ht="13" x14ac:dyDescent="0.3">
      <c r="A113" s="96"/>
      <c r="C113" s="132"/>
      <c r="E113" s="102"/>
      <c r="F113" s="102"/>
      <c r="H113" s="102"/>
      <c r="J113" s="131"/>
    </row>
    <row r="114" spans="1:10" ht="13" x14ac:dyDescent="0.3">
      <c r="A114" s="96"/>
      <c r="C114" s="132"/>
      <c r="E114" s="102"/>
      <c r="F114" s="102"/>
      <c r="H114" s="102"/>
      <c r="J114" s="131"/>
    </row>
    <row r="115" spans="1:10" ht="13" x14ac:dyDescent="0.3">
      <c r="A115" s="97"/>
      <c r="C115" s="132"/>
      <c r="E115" s="102"/>
      <c r="F115" s="102"/>
      <c r="H115" s="102"/>
      <c r="J115" s="131"/>
    </row>
    <row r="116" spans="1:10" ht="13" x14ac:dyDescent="0.3">
      <c r="A116" s="96"/>
      <c r="D116" s="135"/>
      <c r="E116" s="102"/>
      <c r="F116" s="102"/>
      <c r="H116" s="102"/>
      <c r="J116" s="131"/>
    </row>
    <row r="117" spans="1:10" ht="13" x14ac:dyDescent="0.3">
      <c r="A117" s="96"/>
      <c r="C117" s="132"/>
      <c r="D117" s="112"/>
      <c r="E117" s="108"/>
      <c r="F117" s="102"/>
      <c r="H117" s="102"/>
      <c r="J117" s="131"/>
    </row>
    <row r="118" spans="1:10" ht="13" x14ac:dyDescent="0.3">
      <c r="A118" s="96"/>
      <c r="C118" s="132"/>
      <c r="D118" s="112"/>
      <c r="E118" s="102"/>
      <c r="F118" s="102"/>
      <c r="H118" s="102"/>
      <c r="J118" s="131"/>
    </row>
    <row r="119" spans="1:10" ht="13" x14ac:dyDescent="0.3">
      <c r="A119" s="96"/>
    </row>
    <row r="120" spans="1:10" ht="13" x14ac:dyDescent="0.3">
      <c r="A120" s="96"/>
      <c r="B120" s="92"/>
    </row>
    <row r="121" spans="1:10" ht="13" x14ac:dyDescent="0.3">
      <c r="A121" s="96"/>
    </row>
    <row r="122" spans="1:10" ht="13" x14ac:dyDescent="0.3">
      <c r="A122" s="96"/>
    </row>
    <row r="123" spans="1:10" ht="13" x14ac:dyDescent="0.3">
      <c r="A123" s="96"/>
      <c r="F123" s="96"/>
    </row>
    <row r="124" spans="1:10" ht="13" x14ac:dyDescent="0.3">
      <c r="A124" s="96"/>
      <c r="F124" s="96"/>
    </row>
    <row r="125" spans="1:10" ht="13" x14ac:dyDescent="0.3">
      <c r="A125" s="96"/>
      <c r="D125" s="96"/>
      <c r="E125" s="96"/>
      <c r="F125" s="96"/>
      <c r="H125" s="96"/>
    </row>
    <row r="126" spans="1:10" ht="13" x14ac:dyDescent="0.3">
      <c r="A126" s="96"/>
      <c r="D126" s="96"/>
      <c r="E126" s="96"/>
      <c r="F126" s="96"/>
      <c r="G126" s="96"/>
      <c r="H126" s="121"/>
    </row>
    <row r="127" spans="1:10" ht="13" x14ac:dyDescent="0.3">
      <c r="A127" s="97"/>
      <c r="C127" s="134"/>
      <c r="D127" s="134"/>
      <c r="E127" s="100"/>
      <c r="F127" s="136"/>
      <c r="G127" s="100"/>
      <c r="H127" s="121"/>
    </row>
    <row r="128" spans="1:10" ht="13" x14ac:dyDescent="0.3">
      <c r="A128" s="96"/>
      <c r="C128" s="132"/>
      <c r="D128" s="133"/>
      <c r="E128" s="102"/>
      <c r="F128" s="102"/>
      <c r="G128" s="122"/>
      <c r="H128" s="102"/>
    </row>
    <row r="129" spans="1:8" ht="13" x14ac:dyDescent="0.3">
      <c r="A129" s="96"/>
      <c r="C129" s="132"/>
      <c r="D129" s="133"/>
      <c r="E129" s="102"/>
      <c r="F129" s="102"/>
      <c r="G129" s="122"/>
      <c r="H129" s="102"/>
    </row>
    <row r="130" spans="1:8" ht="13" x14ac:dyDescent="0.3">
      <c r="A130" s="96"/>
      <c r="C130" s="132"/>
      <c r="D130" s="133"/>
      <c r="E130" s="102"/>
      <c r="F130" s="102"/>
      <c r="G130" s="122"/>
      <c r="H130" s="102"/>
    </row>
    <row r="131" spans="1:8" ht="13" x14ac:dyDescent="0.3">
      <c r="A131" s="96"/>
      <c r="C131" s="132"/>
      <c r="D131" s="133"/>
      <c r="E131" s="102"/>
      <c r="F131" s="102"/>
      <c r="G131" s="122"/>
      <c r="H131" s="102"/>
    </row>
    <row r="132" spans="1:8" ht="13" x14ac:dyDescent="0.3">
      <c r="A132" s="96"/>
      <c r="C132" s="132"/>
      <c r="D132" s="133"/>
      <c r="E132" s="102"/>
      <c r="F132" s="102"/>
      <c r="G132" s="122"/>
      <c r="H132" s="102"/>
    </row>
    <row r="133" spans="1:8" ht="13" x14ac:dyDescent="0.3">
      <c r="A133" s="96"/>
      <c r="C133" s="132"/>
      <c r="D133" s="133"/>
      <c r="E133" s="102"/>
      <c r="F133" s="102"/>
      <c r="G133" s="122"/>
      <c r="H133" s="102"/>
    </row>
    <row r="134" spans="1:8" ht="13" x14ac:dyDescent="0.3">
      <c r="A134" s="96"/>
      <c r="C134" s="132"/>
      <c r="D134" s="133"/>
      <c r="E134" s="102"/>
      <c r="F134" s="102"/>
      <c r="G134" s="122"/>
      <c r="H134" s="102"/>
    </row>
    <row r="135" spans="1:8" ht="13" x14ac:dyDescent="0.3">
      <c r="A135" s="96"/>
      <c r="C135" s="132"/>
      <c r="D135" s="133"/>
      <c r="E135" s="102"/>
      <c r="F135" s="102"/>
      <c r="G135" s="122"/>
      <c r="H135" s="102"/>
    </row>
    <row r="136" spans="1:8" ht="13" x14ac:dyDescent="0.3">
      <c r="A136" s="96"/>
      <c r="C136" s="132"/>
      <c r="D136" s="133"/>
      <c r="E136" s="102"/>
      <c r="F136" s="102"/>
      <c r="G136" s="122"/>
      <c r="H136" s="102"/>
    </row>
    <row r="137" spans="1:8" ht="13" x14ac:dyDescent="0.3">
      <c r="A137" s="96"/>
      <c r="C137" s="132"/>
      <c r="D137" s="133"/>
      <c r="E137" s="102"/>
      <c r="F137" s="102"/>
      <c r="G137" s="122"/>
      <c r="H137" s="102"/>
    </row>
    <row r="138" spans="1:8" ht="13" x14ac:dyDescent="0.3">
      <c r="A138" s="96"/>
      <c r="C138" s="132"/>
      <c r="D138" s="133"/>
      <c r="E138" s="102"/>
      <c r="F138" s="102"/>
      <c r="G138" s="122"/>
      <c r="H138" s="102"/>
    </row>
    <row r="139" spans="1:8" ht="13" x14ac:dyDescent="0.3">
      <c r="A139" s="96"/>
      <c r="C139" s="132"/>
      <c r="D139" s="133"/>
      <c r="E139" s="102"/>
      <c r="F139" s="102"/>
      <c r="G139" s="122"/>
      <c r="H139" s="108"/>
    </row>
    <row r="140" spans="1:8" ht="13" x14ac:dyDescent="0.3">
      <c r="A140" s="96"/>
      <c r="H140" s="102"/>
    </row>
    <row r="141" spans="1:8" ht="13" x14ac:dyDescent="0.3">
      <c r="A141" s="96"/>
      <c r="C141" s="132"/>
      <c r="D141" s="133"/>
      <c r="F141" s="137"/>
      <c r="G141" s="122"/>
      <c r="H141" s="137"/>
    </row>
    <row r="142" spans="1:8" ht="13" x14ac:dyDescent="0.3">
      <c r="A142" s="96"/>
      <c r="B142" s="92"/>
      <c r="C142" s="132"/>
      <c r="D142" s="133"/>
      <c r="F142" s="137"/>
      <c r="G142" s="122"/>
      <c r="H142" s="137"/>
    </row>
    <row r="143" spans="1:8" ht="13" x14ac:dyDescent="0.3">
      <c r="A143" s="97"/>
      <c r="B143" s="92"/>
      <c r="C143" s="132"/>
      <c r="D143" s="133"/>
      <c r="F143" s="137"/>
      <c r="G143" s="122"/>
      <c r="H143" s="137"/>
    </row>
    <row r="144" spans="1:8" ht="13" x14ac:dyDescent="0.3">
      <c r="A144" s="96"/>
      <c r="C144" s="132"/>
      <c r="D144" s="138"/>
      <c r="E144" s="102"/>
      <c r="F144" s="139"/>
      <c r="G144" s="122"/>
      <c r="H144" s="137"/>
    </row>
    <row r="145" spans="1:8" ht="13" x14ac:dyDescent="0.3">
      <c r="A145" s="96"/>
      <c r="C145" s="132"/>
      <c r="D145" s="112"/>
      <c r="E145" s="102"/>
      <c r="F145" s="139"/>
      <c r="G145" s="122"/>
      <c r="H145" s="137"/>
    </row>
    <row r="146" spans="1:8" ht="13" x14ac:dyDescent="0.3">
      <c r="A146" s="96"/>
      <c r="C146" s="132"/>
      <c r="D146" s="112"/>
      <c r="E146" s="108"/>
      <c r="F146" s="139"/>
      <c r="G146" s="122"/>
      <c r="H146" s="137"/>
    </row>
    <row r="147" spans="1:8" ht="13" x14ac:dyDescent="0.3">
      <c r="A147" s="96"/>
      <c r="C147" s="132"/>
      <c r="D147" s="138"/>
      <c r="E147" s="102"/>
      <c r="F147" s="137"/>
      <c r="G147" s="122"/>
      <c r="H147" s="137"/>
    </row>
    <row r="148" spans="1:8" ht="13" x14ac:dyDescent="0.3">
      <c r="A148" s="96"/>
      <c r="C148" s="132"/>
      <c r="D148" s="133"/>
      <c r="F148" s="137"/>
      <c r="G148" s="122"/>
      <c r="H148" s="137"/>
    </row>
    <row r="149" spans="1:8" ht="13" x14ac:dyDescent="0.3">
      <c r="A149" s="96"/>
    </row>
    <row r="150" spans="1:8" ht="13" x14ac:dyDescent="0.3">
      <c r="A150" s="96"/>
    </row>
    <row r="151" spans="1:8" ht="13" x14ac:dyDescent="0.3">
      <c r="A151" s="96"/>
    </row>
    <row r="152" spans="1:8" ht="13" x14ac:dyDescent="0.3">
      <c r="A152" s="96"/>
      <c r="B152" s="92"/>
    </row>
    <row r="153" spans="1:8" ht="13" x14ac:dyDescent="0.3">
      <c r="A153" s="96"/>
    </row>
    <row r="154" spans="1:8" ht="13" x14ac:dyDescent="0.3">
      <c r="A154" s="96"/>
    </row>
    <row r="155" spans="1:8" ht="13" x14ac:dyDescent="0.3">
      <c r="A155" s="96"/>
    </row>
    <row r="156" spans="1:8" ht="13" x14ac:dyDescent="0.3">
      <c r="A156" s="96"/>
    </row>
    <row r="157" spans="1:8" ht="13" x14ac:dyDescent="0.3">
      <c r="A157" s="96"/>
      <c r="B157" s="92"/>
    </row>
    <row r="158" spans="1:8" ht="13" x14ac:dyDescent="0.3">
      <c r="A158" s="96"/>
    </row>
    <row r="159" spans="1:8" ht="13" x14ac:dyDescent="0.3">
      <c r="A159" s="97"/>
      <c r="C159" s="134"/>
      <c r="D159" s="100"/>
    </row>
    <row r="160" spans="1:8" ht="13" x14ac:dyDescent="0.3">
      <c r="A160" s="96"/>
      <c r="C160" s="132"/>
      <c r="D160" s="140"/>
      <c r="F160" s="110"/>
    </row>
    <row r="161" spans="1:6" ht="13" x14ac:dyDescent="0.3">
      <c r="A161" s="96"/>
      <c r="C161" s="132"/>
      <c r="D161" s="140"/>
      <c r="F161" s="110"/>
    </row>
    <row r="162" spans="1:6" ht="13" x14ac:dyDescent="0.3">
      <c r="A162" s="96"/>
      <c r="C162" s="132"/>
      <c r="D162" s="140"/>
      <c r="F162" s="110"/>
    </row>
    <row r="163" spans="1:6" ht="13" x14ac:dyDescent="0.3">
      <c r="A163" s="96"/>
      <c r="C163" s="132"/>
      <c r="D163" s="140"/>
      <c r="F163" s="110"/>
    </row>
    <row r="164" spans="1:6" ht="13" x14ac:dyDescent="0.3">
      <c r="A164" s="96"/>
      <c r="C164" s="132"/>
      <c r="D164" s="140"/>
      <c r="F164" s="110"/>
    </row>
    <row r="165" spans="1:6" ht="13" x14ac:dyDescent="0.3">
      <c r="A165" s="96"/>
      <c r="C165" s="132"/>
      <c r="D165" s="140"/>
      <c r="F165" s="110"/>
    </row>
    <row r="166" spans="1:6" ht="13" x14ac:dyDescent="0.3">
      <c r="A166" s="96"/>
      <c r="C166" s="132"/>
      <c r="D166" s="140"/>
      <c r="F166" s="110"/>
    </row>
    <row r="167" spans="1:6" ht="13" x14ac:dyDescent="0.3">
      <c r="A167" s="96"/>
      <c r="C167" s="132"/>
      <c r="D167" s="140"/>
      <c r="F167" s="110"/>
    </row>
    <row r="168" spans="1:6" ht="13" x14ac:dyDescent="0.3">
      <c r="A168" s="96"/>
      <c r="C168" s="132"/>
      <c r="D168" s="140"/>
      <c r="F168" s="110"/>
    </row>
    <row r="169" spans="1:6" ht="13" x14ac:dyDescent="0.3">
      <c r="A169" s="96"/>
      <c r="C169" s="132"/>
      <c r="D169" s="140"/>
      <c r="F169" s="110"/>
    </row>
    <row r="170" spans="1:6" ht="13" x14ac:dyDescent="0.3">
      <c r="A170" s="96"/>
      <c r="C170" s="132"/>
      <c r="D170" s="140"/>
      <c r="F170" s="110"/>
    </row>
    <row r="171" spans="1:6" ht="13" x14ac:dyDescent="0.3">
      <c r="A171" s="96"/>
      <c r="C171" s="132"/>
      <c r="D171" s="141"/>
      <c r="F171" s="129"/>
    </row>
    <row r="172" spans="1:6" ht="13" x14ac:dyDescent="0.3">
      <c r="A172" s="96"/>
      <c r="C172" s="135"/>
      <c r="D172" s="140"/>
    </row>
  </sheetData>
  <mergeCells count="1">
    <mergeCell ref="K71:L71"/>
  </mergeCells>
  <pageMargins left="0.75" right="0.75" top="1" bottom="1" header="0.5" footer="0.5"/>
  <pageSetup scale="78" orientation="landscape" cellComments="asDisplayed" r:id="rId1"/>
  <headerFooter alignWithMargins="0">
    <oddHeader>&amp;CSchedule 4
True Up TRR
(Revised 2018 True Up TRR)&amp;RTO2021 Annual Update
Attachment 4
WP-Schedule 3-One Time Adj Prior Period
Page &amp;P of &amp;N</oddHeader>
    <oddFooter>&amp;R&amp;A</oddFooter>
  </headerFooter>
  <rowBreaks count="4" manualBreakCount="4">
    <brk id="46" max="9" man="1"/>
    <brk id="73" max="16383" man="1"/>
    <brk id="119" max="9" man="1"/>
    <brk id="15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EA456-4FA4-4C5E-A1C8-301AD9C544E6}">
  <dimension ref="A1:M444"/>
  <sheetViews>
    <sheetView zoomScaleNormal="100" zoomScaleSheetLayoutView="100" workbookViewId="0"/>
  </sheetViews>
  <sheetFormatPr defaultRowHeight="12.5" x14ac:dyDescent="0.25"/>
  <cols>
    <col min="1" max="1" width="4.7265625" style="93" customWidth="1"/>
    <col min="2" max="2" width="12.7265625" style="93" customWidth="1"/>
    <col min="3" max="3" width="8.7265625" style="93" customWidth="1"/>
    <col min="4" max="4" width="15.1796875" style="93" bestFit="1" customWidth="1"/>
    <col min="5" max="5" width="18.7265625" style="93" customWidth="1"/>
    <col min="6" max="6" width="16.1796875" style="93" customWidth="1"/>
    <col min="7" max="7" width="13.453125" style="93" customWidth="1"/>
    <col min="8" max="8" width="13.54296875" style="93" bestFit="1" customWidth="1"/>
    <col min="9" max="9" width="17.1796875" style="93" customWidth="1"/>
    <col min="10" max="10" width="15.453125" style="93" customWidth="1"/>
    <col min="11" max="11" width="17.26953125" style="93" customWidth="1"/>
    <col min="12" max="12" width="14.7265625" style="93" bestFit="1" customWidth="1"/>
    <col min="13" max="13" width="13.1796875" style="93" bestFit="1" customWidth="1"/>
    <col min="14" max="16384" width="8.7265625" style="93"/>
  </cols>
  <sheetData>
    <row r="1" spans="1:12" ht="13" x14ac:dyDescent="0.3">
      <c r="A1" s="92" t="s">
        <v>325</v>
      </c>
      <c r="K1" s="92"/>
    </row>
    <row r="2" spans="1:12" ht="13" x14ac:dyDescent="0.3">
      <c r="A2" s="92"/>
      <c r="K2" s="92"/>
    </row>
    <row r="3" spans="1:12" ht="13" x14ac:dyDescent="0.3">
      <c r="A3" s="92"/>
      <c r="B3" s="93" t="s">
        <v>326</v>
      </c>
      <c r="K3" s="92"/>
    </row>
    <row r="4" spans="1:12" ht="13" x14ac:dyDescent="0.3">
      <c r="B4" s="93" t="s">
        <v>327</v>
      </c>
      <c r="K4" s="92"/>
    </row>
    <row r="5" spans="1:12" ht="13" x14ac:dyDescent="0.3">
      <c r="K5" s="92"/>
    </row>
    <row r="6" spans="1:12" ht="13" x14ac:dyDescent="0.3">
      <c r="B6" s="92" t="s">
        <v>328</v>
      </c>
      <c r="K6" s="92"/>
    </row>
    <row r="7" spans="1:12" ht="13" x14ac:dyDescent="0.3">
      <c r="B7" s="92"/>
      <c r="D7" s="136" t="s">
        <v>148</v>
      </c>
      <c r="E7" s="136" t="s">
        <v>149</v>
      </c>
      <c r="F7" s="136" t="s">
        <v>150</v>
      </c>
      <c r="G7" s="136" t="s">
        <v>151</v>
      </c>
      <c r="H7" s="136" t="s">
        <v>329</v>
      </c>
      <c r="I7" s="136" t="s">
        <v>330</v>
      </c>
      <c r="J7" s="136"/>
      <c r="K7" s="92"/>
      <c r="L7" s="136"/>
    </row>
    <row r="8" spans="1:12" x14ac:dyDescent="0.25">
      <c r="D8" s="130" t="s">
        <v>331</v>
      </c>
    </row>
    <row r="9" spans="1:12" x14ac:dyDescent="0.25">
      <c r="D9" s="130" t="s">
        <v>332</v>
      </c>
    </row>
    <row r="10" spans="1:12" ht="13" x14ac:dyDescent="0.3">
      <c r="B10" s="96"/>
    </row>
    <row r="11" spans="1:12" ht="13" x14ac:dyDescent="0.3">
      <c r="B11" s="96"/>
      <c r="D11" s="96" t="s">
        <v>1</v>
      </c>
      <c r="F11" s="96" t="s">
        <v>333</v>
      </c>
      <c r="G11" s="220" t="s">
        <v>334</v>
      </c>
      <c r="H11" s="220" t="s">
        <v>335</v>
      </c>
      <c r="I11" s="96"/>
      <c r="J11" s="96"/>
    </row>
    <row r="12" spans="1:12" ht="13" x14ac:dyDescent="0.3">
      <c r="A12" s="99" t="s">
        <v>336</v>
      </c>
      <c r="B12" s="134" t="s">
        <v>16</v>
      </c>
      <c r="C12" s="134" t="s">
        <v>17</v>
      </c>
      <c r="D12" s="100" t="s">
        <v>337</v>
      </c>
      <c r="E12" s="100" t="s">
        <v>338</v>
      </c>
      <c r="F12" s="100" t="s">
        <v>339</v>
      </c>
      <c r="G12" s="221" t="s">
        <v>340</v>
      </c>
      <c r="H12" s="221" t="s">
        <v>341</v>
      </c>
      <c r="I12" s="100" t="s">
        <v>342</v>
      </c>
      <c r="J12" s="100"/>
    </row>
    <row r="13" spans="1:12" ht="13" x14ac:dyDescent="0.3">
      <c r="A13" s="96">
        <v>1</v>
      </c>
      <c r="B13" s="132" t="s">
        <v>6</v>
      </c>
      <c r="C13" s="179">
        <v>2017</v>
      </c>
      <c r="D13" s="102">
        <f>SUM(E13:I13)+SUM(D33:H33)</f>
        <v>150765191.22676</v>
      </c>
      <c r="E13" s="158">
        <v>150976.49</v>
      </c>
      <c r="F13" s="146">
        <v>0</v>
      </c>
      <c r="G13" s="146">
        <v>4884727.96</v>
      </c>
      <c r="H13" s="146">
        <v>98805811.510000005</v>
      </c>
      <c r="I13" s="146">
        <v>0</v>
      </c>
      <c r="J13" s="222"/>
    </row>
    <row r="14" spans="1:12" ht="13" x14ac:dyDescent="0.3">
      <c r="A14" s="96">
        <f>A13+1</f>
        <v>2</v>
      </c>
      <c r="B14" s="132" t="s">
        <v>7</v>
      </c>
      <c r="C14" s="179">
        <v>2018</v>
      </c>
      <c r="D14" s="102">
        <f>SUM(E14:I14)+SUM(D34:H34)</f>
        <v>213937697.79973316</v>
      </c>
      <c r="E14" s="158">
        <v>151684.13</v>
      </c>
      <c r="F14" s="146">
        <v>0</v>
      </c>
      <c r="G14" s="146">
        <v>4899846.24</v>
      </c>
      <c r="H14" s="146">
        <v>99567835.739999995</v>
      </c>
      <c r="I14" s="146">
        <v>0</v>
      </c>
      <c r="J14" s="222"/>
    </row>
    <row r="15" spans="1:12" ht="13" x14ac:dyDescent="0.3">
      <c r="A15" s="96">
        <f t="shared" ref="A15:A26" si="0">A14+1</f>
        <v>3</v>
      </c>
      <c r="B15" s="132" t="s">
        <v>8</v>
      </c>
      <c r="C15" s="179">
        <v>2018</v>
      </c>
      <c r="D15" s="102">
        <f t="shared" ref="D15:D25" si="1">SUM(E15:I15)+SUM(D35:H35)</f>
        <v>224722784.79182315</v>
      </c>
      <c r="E15" s="158">
        <v>153628.21</v>
      </c>
      <c r="F15" s="146">
        <v>0</v>
      </c>
      <c r="G15" s="146">
        <v>4921435.24</v>
      </c>
      <c r="H15" s="146">
        <v>102282631.87</v>
      </c>
      <c r="I15" s="146">
        <v>0</v>
      </c>
      <c r="J15" s="222"/>
    </row>
    <row r="16" spans="1:12" ht="13" x14ac:dyDescent="0.3">
      <c r="A16" s="96">
        <f t="shared" si="0"/>
        <v>4</v>
      </c>
      <c r="B16" s="132" t="s">
        <v>18</v>
      </c>
      <c r="C16" s="179">
        <v>2018</v>
      </c>
      <c r="D16" s="102">
        <f t="shared" si="1"/>
        <v>247962334.71869218</v>
      </c>
      <c r="E16" s="158">
        <v>154986.82999999999</v>
      </c>
      <c r="F16" s="146">
        <v>0</v>
      </c>
      <c r="G16" s="146">
        <v>4936884.2</v>
      </c>
      <c r="H16" s="146">
        <v>107378630.7</v>
      </c>
      <c r="I16" s="146">
        <v>0</v>
      </c>
      <c r="J16" s="222"/>
    </row>
    <row r="17" spans="1:11" ht="13" x14ac:dyDescent="0.3">
      <c r="A17" s="96">
        <f t="shared" si="0"/>
        <v>5</v>
      </c>
      <c r="B17" s="132" t="s">
        <v>9</v>
      </c>
      <c r="C17" s="179">
        <v>2018</v>
      </c>
      <c r="D17" s="102">
        <f t="shared" si="1"/>
        <v>266875527.86758715</v>
      </c>
      <c r="E17" s="158">
        <v>155432.94</v>
      </c>
      <c r="F17" s="146">
        <v>0</v>
      </c>
      <c r="G17" s="146">
        <v>4968064.29</v>
      </c>
      <c r="H17" s="146">
        <v>118470455.36</v>
      </c>
      <c r="I17" s="146">
        <v>0</v>
      </c>
      <c r="J17" s="222"/>
    </row>
    <row r="18" spans="1:11" ht="13" x14ac:dyDescent="0.3">
      <c r="A18" s="96">
        <f t="shared" si="0"/>
        <v>6</v>
      </c>
      <c r="B18" s="132" t="s">
        <v>10</v>
      </c>
      <c r="C18" s="179">
        <v>2018</v>
      </c>
      <c r="D18" s="102">
        <f t="shared" si="1"/>
        <v>281119463.58911514</v>
      </c>
      <c r="E18" s="158">
        <v>155432.94</v>
      </c>
      <c r="F18" s="146">
        <v>0</v>
      </c>
      <c r="G18" s="146">
        <v>5026302.5199999996</v>
      </c>
      <c r="H18" s="146">
        <v>124193405.3</v>
      </c>
      <c r="I18" s="146">
        <v>0</v>
      </c>
      <c r="J18" s="222"/>
    </row>
    <row r="19" spans="1:11" ht="13" x14ac:dyDescent="0.3">
      <c r="A19" s="96">
        <f t="shared" si="0"/>
        <v>7</v>
      </c>
      <c r="B19" s="132" t="s">
        <v>343</v>
      </c>
      <c r="C19" s="179">
        <v>2018</v>
      </c>
      <c r="D19" s="102">
        <f t="shared" si="1"/>
        <v>290133364.78071511</v>
      </c>
      <c r="E19" s="158">
        <v>155511.34</v>
      </c>
      <c r="F19" s="146">
        <v>0</v>
      </c>
      <c r="G19" s="146">
        <v>5028631.22</v>
      </c>
      <c r="H19" s="146">
        <v>129989496.73999999</v>
      </c>
      <c r="I19" s="146">
        <v>0</v>
      </c>
      <c r="J19" s="222"/>
    </row>
    <row r="20" spans="1:11" ht="13" x14ac:dyDescent="0.3">
      <c r="A20" s="96">
        <f t="shared" si="0"/>
        <v>8</v>
      </c>
      <c r="B20" s="132" t="s">
        <v>11</v>
      </c>
      <c r="C20" s="179">
        <v>2018</v>
      </c>
      <c r="D20" s="102">
        <f t="shared" si="1"/>
        <v>302157339.78671515</v>
      </c>
      <c r="E20" s="158">
        <v>155511.34</v>
      </c>
      <c r="F20" s="146">
        <v>0</v>
      </c>
      <c r="G20" s="146">
        <v>5045581.84</v>
      </c>
      <c r="H20" s="146">
        <v>137885130.84999999</v>
      </c>
      <c r="I20" s="146">
        <v>0</v>
      </c>
      <c r="J20" s="222"/>
    </row>
    <row r="21" spans="1:11" ht="13" x14ac:dyDescent="0.3">
      <c r="A21" s="96">
        <f t="shared" si="0"/>
        <v>9</v>
      </c>
      <c r="B21" s="132" t="s">
        <v>12</v>
      </c>
      <c r="C21" s="179">
        <v>2018</v>
      </c>
      <c r="D21" s="102">
        <f t="shared" si="1"/>
        <v>322562121.50671518</v>
      </c>
      <c r="E21" s="158">
        <v>155511.34</v>
      </c>
      <c r="F21" s="146">
        <v>0</v>
      </c>
      <c r="G21" s="146">
        <v>5082398.51</v>
      </c>
      <c r="H21" s="146">
        <v>149188735.08000001</v>
      </c>
      <c r="I21" s="146">
        <v>0</v>
      </c>
      <c r="J21" s="222"/>
    </row>
    <row r="22" spans="1:11" ht="13" x14ac:dyDescent="0.3">
      <c r="A22" s="96">
        <f t="shared" si="0"/>
        <v>10</v>
      </c>
      <c r="B22" s="132" t="s">
        <v>13</v>
      </c>
      <c r="C22" s="179">
        <v>2018</v>
      </c>
      <c r="D22" s="102">
        <f t="shared" si="1"/>
        <v>339870919.31825411</v>
      </c>
      <c r="E22" s="158">
        <v>155511.34</v>
      </c>
      <c r="F22" s="146">
        <v>0</v>
      </c>
      <c r="G22" s="146">
        <v>5110294.54</v>
      </c>
      <c r="H22" s="146">
        <v>166117121.72</v>
      </c>
      <c r="I22" s="146">
        <v>0</v>
      </c>
      <c r="J22" s="222"/>
    </row>
    <row r="23" spans="1:11" ht="13" x14ac:dyDescent="0.3">
      <c r="A23" s="96">
        <f t="shared" si="0"/>
        <v>11</v>
      </c>
      <c r="B23" s="132" t="s">
        <v>344</v>
      </c>
      <c r="C23" s="179">
        <v>2018</v>
      </c>
      <c r="D23" s="102">
        <f t="shared" si="1"/>
        <v>380843693.10005414</v>
      </c>
      <c r="E23" s="158">
        <v>155511.34</v>
      </c>
      <c r="F23" s="146">
        <v>0</v>
      </c>
      <c r="G23" s="146">
        <v>5136619.24</v>
      </c>
      <c r="H23" s="146">
        <v>194064737.02000001</v>
      </c>
      <c r="I23" s="146">
        <v>0</v>
      </c>
      <c r="J23" s="222"/>
    </row>
    <row r="24" spans="1:11" ht="13" x14ac:dyDescent="0.3">
      <c r="A24" s="96">
        <f t="shared" si="0"/>
        <v>12</v>
      </c>
      <c r="B24" s="132" t="s">
        <v>14</v>
      </c>
      <c r="C24" s="179">
        <v>2018</v>
      </c>
      <c r="D24" s="102">
        <f t="shared" si="1"/>
        <v>406898060.92005414</v>
      </c>
      <c r="E24" s="158">
        <v>155511.34</v>
      </c>
      <c r="F24" s="146">
        <v>0</v>
      </c>
      <c r="G24" s="146">
        <v>5173051.3499999996</v>
      </c>
      <c r="H24" s="146">
        <v>212063571.47999999</v>
      </c>
      <c r="I24" s="146">
        <v>0</v>
      </c>
      <c r="J24" s="222"/>
    </row>
    <row r="25" spans="1:11" ht="13" x14ac:dyDescent="0.3">
      <c r="A25" s="96">
        <f t="shared" si="0"/>
        <v>13</v>
      </c>
      <c r="B25" s="132" t="s">
        <v>6</v>
      </c>
      <c r="C25" s="179">
        <v>2018</v>
      </c>
      <c r="D25" s="108">
        <f t="shared" si="1"/>
        <v>442829075.92005408</v>
      </c>
      <c r="E25" s="223">
        <v>156282.26999999999</v>
      </c>
      <c r="F25" s="152">
        <v>0</v>
      </c>
      <c r="G25" s="152">
        <v>5220451.6500000004</v>
      </c>
      <c r="H25" s="152">
        <v>228226372.41</v>
      </c>
      <c r="I25" s="152">
        <v>0</v>
      </c>
      <c r="J25" s="222"/>
    </row>
    <row r="26" spans="1:11" ht="13" x14ac:dyDescent="0.3">
      <c r="A26" s="96">
        <f t="shared" si="0"/>
        <v>14</v>
      </c>
      <c r="B26" s="132"/>
      <c r="C26" s="187" t="s">
        <v>345</v>
      </c>
      <c r="D26" s="151">
        <f t="shared" ref="D26:I26" si="2">SUM(D13:D25)/13</f>
        <v>297744428.8712517</v>
      </c>
      <c r="E26" s="151">
        <f>SUM(E13:E25)/13</f>
        <v>154730.14230769232</v>
      </c>
      <c r="F26" s="151">
        <f t="shared" si="2"/>
        <v>0</v>
      </c>
      <c r="G26" s="151">
        <f t="shared" si="2"/>
        <v>5033406.8307692315</v>
      </c>
      <c r="H26" s="151">
        <f t="shared" si="2"/>
        <v>143710302.75230771</v>
      </c>
      <c r="I26" s="151">
        <f t="shared" si="2"/>
        <v>0</v>
      </c>
      <c r="J26" s="222"/>
      <c r="K26" s="222"/>
    </row>
    <row r="27" spans="1:11" ht="13" x14ac:dyDescent="0.3">
      <c r="A27" s="96"/>
      <c r="B27" s="132"/>
      <c r="C27" s="187"/>
      <c r="D27" s="151"/>
      <c r="E27" s="151"/>
      <c r="F27" s="151"/>
      <c r="G27" s="151"/>
      <c r="H27" s="151"/>
      <c r="I27" s="222"/>
      <c r="J27" s="98"/>
      <c r="K27" s="222"/>
    </row>
    <row r="28" spans="1:11" ht="13" x14ac:dyDescent="0.3">
      <c r="A28" s="96"/>
      <c r="B28" s="132"/>
      <c r="C28" s="187"/>
      <c r="D28" s="136" t="s">
        <v>346</v>
      </c>
      <c r="E28" s="136" t="s">
        <v>347</v>
      </c>
      <c r="F28" s="136" t="s">
        <v>348</v>
      </c>
      <c r="G28" s="136" t="s">
        <v>349</v>
      </c>
      <c r="H28" s="136" t="s">
        <v>350</v>
      </c>
      <c r="I28" s="136" t="s">
        <v>351</v>
      </c>
      <c r="J28" s="98"/>
      <c r="K28" s="222"/>
    </row>
    <row r="29" spans="1:11" ht="13" x14ac:dyDescent="0.3">
      <c r="A29" s="96"/>
      <c r="B29" s="132"/>
      <c r="C29" s="187"/>
      <c r="E29" s="220" t="s">
        <v>352</v>
      </c>
      <c r="F29" s="220"/>
      <c r="G29" s="220"/>
      <c r="H29" s="151"/>
      <c r="I29" s="222"/>
      <c r="J29" s="98"/>
      <c r="K29" s="222"/>
    </row>
    <row r="30" spans="1:11" ht="13" x14ac:dyDescent="0.3">
      <c r="B30" s="96"/>
      <c r="D30" s="96" t="s">
        <v>353</v>
      </c>
      <c r="E30" s="96" t="s">
        <v>354</v>
      </c>
      <c r="F30" s="220"/>
      <c r="G30" s="220"/>
      <c r="H30" s="151"/>
      <c r="I30" s="222"/>
      <c r="J30" s="98"/>
      <c r="K30" s="222"/>
    </row>
    <row r="31" spans="1:11" ht="13" x14ac:dyDescent="0.3">
      <c r="B31" s="96"/>
      <c r="D31" s="96" t="s">
        <v>355</v>
      </c>
      <c r="E31" s="96" t="s">
        <v>355</v>
      </c>
      <c r="F31" s="158"/>
      <c r="G31" s="224"/>
      <c r="H31" s="225" t="s">
        <v>356</v>
      </c>
      <c r="I31" s="224"/>
      <c r="J31" s="222"/>
      <c r="K31" s="222"/>
    </row>
    <row r="32" spans="1:11" ht="13.5" thickBot="1" x14ac:dyDescent="0.35">
      <c r="A32" s="99" t="s">
        <v>336</v>
      </c>
      <c r="B32" s="134" t="s">
        <v>16</v>
      </c>
      <c r="C32" s="134" t="s">
        <v>17</v>
      </c>
      <c r="D32" s="100" t="s">
        <v>357</v>
      </c>
      <c r="E32" s="100" t="s">
        <v>357</v>
      </c>
      <c r="F32" s="226" t="s">
        <v>358</v>
      </c>
      <c r="G32" s="226" t="s">
        <v>359</v>
      </c>
      <c r="H32" s="226" t="s">
        <v>360</v>
      </c>
      <c r="I32" s="226"/>
      <c r="J32" s="222"/>
      <c r="K32" s="222"/>
    </row>
    <row r="33" spans="1:11" ht="13.5" thickBot="1" x14ac:dyDescent="0.35">
      <c r="A33" s="96">
        <f>+A26+1</f>
        <v>15</v>
      </c>
      <c r="B33" s="132" t="s">
        <v>6</v>
      </c>
      <c r="C33" s="179">
        <v>2017</v>
      </c>
      <c r="D33" s="146">
        <v>0</v>
      </c>
      <c r="E33" s="146">
        <v>0</v>
      </c>
      <c r="F33" s="227">
        <f>46589551.21+334124.05676</f>
        <v>46923675.266759999</v>
      </c>
      <c r="G33" s="146">
        <v>0</v>
      </c>
      <c r="H33" s="146">
        <v>0</v>
      </c>
      <c r="I33" s="228"/>
      <c r="J33" s="222"/>
      <c r="K33" s="222"/>
    </row>
    <row r="34" spans="1:11" ht="13" x14ac:dyDescent="0.3">
      <c r="A34" s="96">
        <f>A33+1</f>
        <v>16</v>
      </c>
      <c r="B34" s="132" t="s">
        <v>7</v>
      </c>
      <c r="C34" s="179">
        <v>2018</v>
      </c>
      <c r="D34" s="146">
        <v>0</v>
      </c>
      <c r="E34" s="146">
        <v>0</v>
      </c>
      <c r="F34" s="229">
        <f>52872087.63+210801.862572</f>
        <v>53082889.492572002</v>
      </c>
      <c r="G34" s="227">
        <f>19158215.56-27550.2284883761</f>
        <v>19130665.331511624</v>
      </c>
      <c r="H34" s="227">
        <f>37337194.01-232417.144350476</f>
        <v>37104776.865649521</v>
      </c>
      <c r="I34" s="228"/>
      <c r="J34" s="222"/>
      <c r="K34" s="222"/>
    </row>
    <row r="35" spans="1:11" ht="13" x14ac:dyDescent="0.3">
      <c r="A35" s="96">
        <f t="shared" ref="A35:A46" si="3">A34+1</f>
        <v>17</v>
      </c>
      <c r="B35" s="132" t="s">
        <v>8</v>
      </c>
      <c r="C35" s="179">
        <v>2018</v>
      </c>
      <c r="D35" s="146">
        <v>0</v>
      </c>
      <c r="E35" s="146">
        <v>0</v>
      </c>
      <c r="F35" s="229">
        <f>60403300.76+303531.471004</f>
        <v>60706832.231004</v>
      </c>
      <c r="G35" s="230">
        <f>19209869.41+18763.4851696239</f>
        <v>19228632.895169623</v>
      </c>
      <c r="H35" s="230">
        <f>37662041.49-232417.144350476</f>
        <v>37429624.345649526</v>
      </c>
      <c r="I35" s="228"/>
      <c r="J35" s="222"/>
      <c r="K35" s="222"/>
    </row>
    <row r="36" spans="1:11" ht="13" x14ac:dyDescent="0.3">
      <c r="A36" s="96">
        <f t="shared" si="3"/>
        <v>18</v>
      </c>
      <c r="B36" s="132" t="s">
        <v>18</v>
      </c>
      <c r="C36" s="179">
        <v>2018</v>
      </c>
      <c r="D36" s="146">
        <v>0</v>
      </c>
      <c r="E36" s="146">
        <v>0</v>
      </c>
      <c r="F36" s="229">
        <f>67699423.63+625461.133158</f>
        <v>68324884.763157994</v>
      </c>
      <c r="G36" s="230">
        <f>19263257.3+163944.919884624</f>
        <v>19427202.219884627</v>
      </c>
      <c r="H36" s="230">
        <f>47972163.15-232417.144350476</f>
        <v>47739746.005649522</v>
      </c>
      <c r="I36" s="228"/>
      <c r="J36" s="222"/>
      <c r="K36" s="222"/>
    </row>
    <row r="37" spans="1:11" ht="13" x14ac:dyDescent="0.3">
      <c r="A37" s="96">
        <f t="shared" si="3"/>
        <v>19</v>
      </c>
      <c r="B37" s="132" t="s">
        <v>9</v>
      </c>
      <c r="C37" s="179">
        <v>2018</v>
      </c>
      <c r="D37" s="146">
        <v>0</v>
      </c>
      <c r="E37" s="146">
        <v>0</v>
      </c>
      <c r="F37" s="229">
        <f>74865327.59+345780.897994</f>
        <v>75211108.487994</v>
      </c>
      <c r="G37" s="230">
        <f>19494339.25-20323.5260563762</f>
        <v>19474015.723943625</v>
      </c>
      <c r="H37" s="230">
        <f>48828868.21-232417.144350476</f>
        <v>48596451.065649524</v>
      </c>
      <c r="I37" s="228"/>
      <c r="J37" s="222"/>
      <c r="K37" s="222"/>
    </row>
    <row r="38" spans="1:11" ht="13" x14ac:dyDescent="0.3">
      <c r="A38" s="96">
        <f t="shared" si="3"/>
        <v>20</v>
      </c>
      <c r="B38" s="132" t="s">
        <v>10</v>
      </c>
      <c r="C38" s="179">
        <v>2018</v>
      </c>
      <c r="D38" s="146">
        <v>0</v>
      </c>
      <c r="E38" s="146">
        <v>0</v>
      </c>
      <c r="F38" s="229">
        <f>81351559.42+475562.187508</f>
        <v>81827121.607508004</v>
      </c>
      <c r="G38" s="230">
        <f>19590062.07+233872.275957624</f>
        <v>19823934.345957626</v>
      </c>
      <c r="H38" s="230">
        <f>50069336.54+23930.3356495245</f>
        <v>50093266.875649527</v>
      </c>
      <c r="I38" s="228"/>
      <c r="J38" s="222"/>
      <c r="K38" s="222"/>
    </row>
    <row r="39" spans="1:11" ht="13" x14ac:dyDescent="0.3">
      <c r="A39" s="96">
        <f t="shared" si="3"/>
        <v>21</v>
      </c>
      <c r="B39" s="132" t="s">
        <v>343</v>
      </c>
      <c r="C39" s="179">
        <v>2018</v>
      </c>
      <c r="D39" s="146">
        <v>0</v>
      </c>
      <c r="E39" s="146">
        <v>0</v>
      </c>
      <c r="F39" s="229">
        <f>84101356.43+440563.909108</f>
        <v>84541920.339108005</v>
      </c>
      <c r="G39" s="230">
        <f>19640937.79+233872.275957624</f>
        <v>19874810.065957624</v>
      </c>
      <c r="H39" s="230">
        <f>50519064.74+23930.3356495245</f>
        <v>50542995.07564953</v>
      </c>
      <c r="I39" s="228"/>
      <c r="J39" s="222"/>
      <c r="K39" s="222"/>
    </row>
    <row r="40" spans="1:11" ht="13" x14ac:dyDescent="0.3">
      <c r="A40" s="96">
        <f t="shared" si="3"/>
        <v>22</v>
      </c>
      <c r="B40" s="132" t="s">
        <v>11</v>
      </c>
      <c r="C40" s="179">
        <v>2018</v>
      </c>
      <c r="D40" s="146">
        <v>0</v>
      </c>
      <c r="E40" s="146">
        <v>0</v>
      </c>
      <c r="F40" s="229">
        <f>87696225.06+440563.909108</f>
        <v>88136788.969108</v>
      </c>
      <c r="G40" s="230">
        <f>19733199.34+241167.891957624</f>
        <v>19974367.231957626</v>
      </c>
      <c r="H40" s="230">
        <f>50936029.22+23930.3356495245</f>
        <v>50959959.555649526</v>
      </c>
      <c r="I40" s="228"/>
      <c r="J40" s="222"/>
      <c r="K40" s="222"/>
    </row>
    <row r="41" spans="1:11" ht="13" x14ac:dyDescent="0.3">
      <c r="A41" s="96">
        <f t="shared" si="3"/>
        <v>23</v>
      </c>
      <c r="B41" s="132" t="s">
        <v>12</v>
      </c>
      <c r="C41" s="179">
        <v>2018</v>
      </c>
      <c r="D41" s="146">
        <v>0</v>
      </c>
      <c r="E41" s="146">
        <v>0</v>
      </c>
      <c r="F41" s="229">
        <f>96053874.58+447251.549108</f>
        <v>96501126.129107997</v>
      </c>
      <c r="G41" s="230">
        <f>19787597.94+241167.891957624</f>
        <v>20028765.831957627</v>
      </c>
      <c r="H41" s="230">
        <f>51581083.12+24501.4956495244</f>
        <v>51605584.615649521</v>
      </c>
      <c r="I41" s="228"/>
      <c r="J41" s="222"/>
      <c r="K41" s="222"/>
    </row>
    <row r="42" spans="1:11" ht="13" x14ac:dyDescent="0.3">
      <c r="A42" s="96">
        <f t="shared" si="3"/>
        <v>24</v>
      </c>
      <c r="B42" s="132" t="s">
        <v>13</v>
      </c>
      <c r="C42" s="179">
        <v>2018</v>
      </c>
      <c r="D42" s="146">
        <v>0</v>
      </c>
      <c r="E42" s="146">
        <v>0</v>
      </c>
      <c r="F42" s="229">
        <f>95968190.17+456112.773538</f>
        <v>96424302.943537995</v>
      </c>
      <c r="G42" s="230">
        <f>19827432.83+241917.409066624</f>
        <v>20069350.239066623</v>
      </c>
      <c r="H42" s="230">
        <f>51960706.92+33631.6156495245</f>
        <v>51994338.535649523</v>
      </c>
      <c r="I42" s="228"/>
      <c r="J42" s="222"/>
      <c r="K42" s="222"/>
    </row>
    <row r="43" spans="1:11" ht="13" x14ac:dyDescent="0.3">
      <c r="A43" s="96">
        <f t="shared" si="3"/>
        <v>25</v>
      </c>
      <c r="B43" s="132" t="s">
        <v>344</v>
      </c>
      <c r="C43" s="179">
        <v>2018</v>
      </c>
      <c r="D43" s="146">
        <v>0</v>
      </c>
      <c r="E43" s="146">
        <v>0</v>
      </c>
      <c r="F43" s="229">
        <f>108480753.53+456370.793538</f>
        <v>108937124.32353801</v>
      </c>
      <c r="G43" s="230">
        <f>19881322.82+238526.030866624</f>
        <v>20119848.850866623</v>
      </c>
      <c r="H43" s="230">
        <f>52396220.71+33631.6156495245</f>
        <v>52429852.325649522</v>
      </c>
      <c r="I43" s="228"/>
      <c r="J43" s="222"/>
      <c r="K43" s="222"/>
    </row>
    <row r="44" spans="1:11" ht="13" x14ac:dyDescent="0.3">
      <c r="A44" s="96">
        <f t="shared" si="3"/>
        <v>26</v>
      </c>
      <c r="B44" s="132" t="s">
        <v>14</v>
      </c>
      <c r="C44" s="179">
        <v>2018</v>
      </c>
      <c r="D44" s="146">
        <v>0</v>
      </c>
      <c r="E44" s="146">
        <v>0</v>
      </c>
      <c r="F44" s="231">
        <f>113377826.34+456370.793538</f>
        <v>113834197.13353801</v>
      </c>
      <c r="G44" s="232">
        <f>19925079.9+238526.030866624</f>
        <v>20163605.930866621</v>
      </c>
      <c r="H44" s="233">
        <f>55474492.07+33631.6156495245</f>
        <v>55508123.685649522</v>
      </c>
      <c r="I44" s="228"/>
      <c r="J44" s="222"/>
      <c r="K44" s="222"/>
    </row>
    <row r="45" spans="1:11" ht="13.5" thickBot="1" x14ac:dyDescent="0.35">
      <c r="A45" s="96">
        <f t="shared" si="3"/>
        <v>27</v>
      </c>
      <c r="B45" s="132" t="s">
        <v>6</v>
      </c>
      <c r="C45" s="179">
        <v>2018</v>
      </c>
      <c r="D45" s="152">
        <v>0</v>
      </c>
      <c r="E45" s="152">
        <v>0</v>
      </c>
      <c r="F45" s="234">
        <f>123208373.91+456370.793538</f>
        <v>123664744.703538</v>
      </c>
      <c r="G45" s="235">
        <f>20101220.48+238526.030866624</f>
        <v>20339746.510866623</v>
      </c>
      <c r="H45" s="236">
        <f>65187846.76+33631.6156495245</f>
        <v>65221478.375649519</v>
      </c>
      <c r="I45" s="228"/>
      <c r="J45" s="222"/>
      <c r="K45" s="222"/>
    </row>
    <row r="46" spans="1:11" ht="13" x14ac:dyDescent="0.3">
      <c r="A46" s="96">
        <f t="shared" si="3"/>
        <v>28</v>
      </c>
      <c r="B46" s="132"/>
      <c r="C46" s="187" t="s">
        <v>345</v>
      </c>
      <c r="D46" s="151">
        <f>SUM(D33:D45)/13</f>
        <v>0</v>
      </c>
      <c r="E46" s="151">
        <f>SUM(E33:E45)/13</f>
        <v>0</v>
      </c>
      <c r="F46" s="151">
        <f>SUM(F33:F45)/13</f>
        <v>84470516.645420924</v>
      </c>
      <c r="G46" s="151">
        <f>SUM(G33:G45)/13</f>
        <v>18281149.629077423</v>
      </c>
      <c r="H46" s="151">
        <f>SUM(H33:H45)/13</f>
        <v>46094322.871368781</v>
      </c>
      <c r="I46" s="237" t="s">
        <v>361</v>
      </c>
      <c r="J46" s="222"/>
      <c r="K46" s="222"/>
    </row>
    <row r="48" spans="1:11" ht="13" x14ac:dyDescent="0.3">
      <c r="B48" s="107" t="s">
        <v>362</v>
      </c>
    </row>
    <row r="49" spans="1:13" ht="13" x14ac:dyDescent="0.3">
      <c r="B49" s="107"/>
      <c r="D49" s="100" t="s">
        <v>148</v>
      </c>
      <c r="E49" s="100" t="s">
        <v>149</v>
      </c>
      <c r="F49" s="100" t="s">
        <v>150</v>
      </c>
      <c r="G49" s="100" t="s">
        <v>151</v>
      </c>
      <c r="H49" s="100" t="s">
        <v>329</v>
      </c>
      <c r="I49" s="100" t="s">
        <v>330</v>
      </c>
      <c r="J49" s="100" t="s">
        <v>346</v>
      </c>
      <c r="K49" s="100" t="s">
        <v>347</v>
      </c>
    </row>
    <row r="50" spans="1:13" s="238" customFormat="1" x14ac:dyDescent="0.25">
      <c r="D50" s="130" t="s">
        <v>363</v>
      </c>
      <c r="E50" s="130" t="s">
        <v>363</v>
      </c>
      <c r="F50" s="130" t="s">
        <v>363</v>
      </c>
      <c r="G50" s="130" t="s">
        <v>363</v>
      </c>
      <c r="H50" s="130" t="s">
        <v>363</v>
      </c>
      <c r="I50" s="130" t="s">
        <v>363</v>
      </c>
      <c r="J50" s="130" t="s">
        <v>363</v>
      </c>
      <c r="K50" s="130" t="s">
        <v>363</v>
      </c>
    </row>
    <row r="51" spans="1:13" ht="13" x14ac:dyDescent="0.3">
      <c r="G51" s="96" t="s">
        <v>364</v>
      </c>
      <c r="K51" s="96"/>
    </row>
    <row r="52" spans="1:13" ht="13" x14ac:dyDescent="0.3">
      <c r="A52" s="96"/>
      <c r="B52" s="96"/>
      <c r="C52" s="96"/>
      <c r="D52" s="96" t="s">
        <v>365</v>
      </c>
      <c r="E52" s="96" t="s">
        <v>366</v>
      </c>
      <c r="F52" s="96" t="s">
        <v>367</v>
      </c>
      <c r="G52" s="96" t="s">
        <v>368</v>
      </c>
      <c r="H52" s="96" t="s">
        <v>369</v>
      </c>
      <c r="I52" s="239" t="s">
        <v>370</v>
      </c>
      <c r="J52" s="96" t="s">
        <v>365</v>
      </c>
      <c r="K52" s="96" t="s">
        <v>371</v>
      </c>
    </row>
    <row r="53" spans="1:13" ht="13" x14ac:dyDescent="0.3">
      <c r="A53" s="99" t="s">
        <v>336</v>
      </c>
      <c r="B53" s="134" t="s">
        <v>16</v>
      </c>
      <c r="C53" s="134" t="s">
        <v>17</v>
      </c>
      <c r="D53" s="100" t="s">
        <v>372</v>
      </c>
      <c r="E53" s="100" t="s">
        <v>373</v>
      </c>
      <c r="F53" s="100" t="s">
        <v>374</v>
      </c>
      <c r="G53" s="100" t="s">
        <v>375</v>
      </c>
      <c r="H53" s="100" t="s">
        <v>376</v>
      </c>
      <c r="I53" s="100" t="s">
        <v>377</v>
      </c>
      <c r="J53" s="100" t="s">
        <v>378</v>
      </c>
      <c r="K53" s="100" t="s">
        <v>379</v>
      </c>
    </row>
    <row r="54" spans="1:13" ht="13" x14ac:dyDescent="0.3">
      <c r="A54" s="96">
        <f>A46+1</f>
        <v>29</v>
      </c>
      <c r="B54" s="132" t="s">
        <v>6</v>
      </c>
      <c r="C54" s="179">
        <v>2018</v>
      </c>
      <c r="D54" s="128" t="s">
        <v>361</v>
      </c>
      <c r="E54" s="128" t="s">
        <v>361</v>
      </c>
      <c r="F54" s="128" t="s">
        <v>361</v>
      </c>
      <c r="G54" s="128" t="s">
        <v>361</v>
      </c>
      <c r="H54" s="128" t="s">
        <v>361</v>
      </c>
      <c r="I54" s="128" t="s">
        <v>361</v>
      </c>
      <c r="J54" s="102">
        <f>D25</f>
        <v>442829075.92005408</v>
      </c>
      <c r="K54" s="128" t="s">
        <v>361</v>
      </c>
    </row>
    <row r="55" spans="1:13" ht="13" x14ac:dyDescent="0.3">
      <c r="A55" s="96">
        <f>A54+1</f>
        <v>30</v>
      </c>
      <c r="B55" s="132" t="s">
        <v>7</v>
      </c>
      <c r="C55" s="179">
        <v>2019</v>
      </c>
      <c r="D55" s="102">
        <f t="shared" ref="D55:K70" si="4">D89+D122+D153+D186+D217+D250+D281+D314+D345+D378</f>
        <v>28644052.489</v>
      </c>
      <c r="E55" s="102">
        <f t="shared" si="4"/>
        <v>2148303.9366750005</v>
      </c>
      <c r="F55" s="102">
        <f t="shared" si="4"/>
        <v>30792356.425675001</v>
      </c>
      <c r="G55" s="102">
        <f t="shared" si="4"/>
        <v>141554.85</v>
      </c>
      <c r="H55" s="102">
        <f t="shared" si="4"/>
        <v>0</v>
      </c>
      <c r="I55" s="102">
        <f t="shared" si="4"/>
        <v>10616.613749999999</v>
      </c>
      <c r="J55" s="102">
        <f>J89+J122+J153+J186+J217+J250+J281+J314+J345+J378</f>
        <v>408247782.5063296</v>
      </c>
      <c r="K55" s="102">
        <f t="shared" si="4"/>
        <v>30640184.961925015</v>
      </c>
      <c r="L55" s="201"/>
      <c r="M55" s="102"/>
    </row>
    <row r="56" spans="1:13" ht="13" x14ac:dyDescent="0.3">
      <c r="A56" s="96">
        <f t="shared" ref="A56:A79" si="5">A55+1</f>
        <v>31</v>
      </c>
      <c r="B56" s="132" t="s">
        <v>8</v>
      </c>
      <c r="C56" s="179">
        <v>2019</v>
      </c>
      <c r="D56" s="102">
        <f t="shared" si="4"/>
        <v>13619249.716400001</v>
      </c>
      <c r="E56" s="102">
        <f t="shared" si="4"/>
        <v>1021443.7287300001</v>
      </c>
      <c r="F56" s="102">
        <f t="shared" si="4"/>
        <v>14640693.445130002</v>
      </c>
      <c r="G56" s="102">
        <f t="shared" si="4"/>
        <v>6841512.1600000001</v>
      </c>
      <c r="H56" s="102">
        <f t="shared" si="4"/>
        <v>6354080.5099999998</v>
      </c>
      <c r="I56" s="102">
        <f t="shared" si="4"/>
        <v>36557.373749999992</v>
      </c>
      <c r="J56" s="102">
        <f t="shared" si="4"/>
        <v>416010406.41770971</v>
      </c>
      <c r="K56" s="102">
        <f t="shared" si="4"/>
        <v>38402808.873305038</v>
      </c>
      <c r="L56" s="201"/>
      <c r="M56" s="102"/>
    </row>
    <row r="57" spans="1:13" ht="13" x14ac:dyDescent="0.3">
      <c r="A57" s="96">
        <f t="shared" si="5"/>
        <v>32</v>
      </c>
      <c r="B57" s="132" t="s">
        <v>18</v>
      </c>
      <c r="C57" s="179">
        <v>2019</v>
      </c>
      <c r="D57" s="102">
        <f t="shared" si="4"/>
        <v>23213967.283799998</v>
      </c>
      <c r="E57" s="102">
        <f t="shared" si="4"/>
        <v>1741047.5462849999</v>
      </c>
      <c r="F57" s="102">
        <f t="shared" si="4"/>
        <v>24955014.830084998</v>
      </c>
      <c r="G57" s="102">
        <f t="shared" si="4"/>
        <v>498891.65000000008</v>
      </c>
      <c r="H57" s="102">
        <f t="shared" si="4"/>
        <v>0</v>
      </c>
      <c r="I57" s="102">
        <f t="shared" si="4"/>
        <v>37416.873750000006</v>
      </c>
      <c r="J57" s="102">
        <f t="shared" si="4"/>
        <v>440429112.72404468</v>
      </c>
      <c r="K57" s="102">
        <f t="shared" si="4"/>
        <v>62821515.17964004</v>
      </c>
      <c r="L57" s="201"/>
      <c r="M57" s="102"/>
    </row>
    <row r="58" spans="1:13" ht="13" x14ac:dyDescent="0.3">
      <c r="A58" s="96">
        <f t="shared" si="5"/>
        <v>33</v>
      </c>
      <c r="B58" s="132" t="s">
        <v>9</v>
      </c>
      <c r="C58" s="179">
        <v>2019</v>
      </c>
      <c r="D58" s="102">
        <f t="shared" si="4"/>
        <v>20541516.51704444</v>
      </c>
      <c r="E58" s="102">
        <f t="shared" si="4"/>
        <v>1540613.7387783332</v>
      </c>
      <c r="F58" s="102">
        <f t="shared" si="4"/>
        <v>22082130.255822778</v>
      </c>
      <c r="G58" s="102">
        <f t="shared" si="4"/>
        <v>479464.69</v>
      </c>
      <c r="H58" s="102">
        <f t="shared" si="4"/>
        <v>0</v>
      </c>
      <c r="I58" s="102">
        <f t="shared" si="4"/>
        <v>35959.851750000002</v>
      </c>
      <c r="J58" s="102">
        <f t="shared" si="4"/>
        <v>461995818.43811744</v>
      </c>
      <c r="K58" s="102">
        <f t="shared" si="4"/>
        <v>84388220.893712819</v>
      </c>
      <c r="L58" s="201"/>
      <c r="M58" s="102"/>
    </row>
    <row r="59" spans="1:13" ht="13" x14ac:dyDescent="0.3">
      <c r="A59" s="96">
        <f t="shared" si="5"/>
        <v>34</v>
      </c>
      <c r="B59" s="132" t="s">
        <v>10</v>
      </c>
      <c r="C59" s="179">
        <v>2019</v>
      </c>
      <c r="D59" s="102">
        <f t="shared" si="4"/>
        <v>22706182.852044441</v>
      </c>
      <c r="E59" s="102">
        <f t="shared" si="4"/>
        <v>1702963.7139033331</v>
      </c>
      <c r="F59" s="102">
        <f t="shared" si="4"/>
        <v>24409146.565947779</v>
      </c>
      <c r="G59" s="102">
        <f t="shared" si="4"/>
        <v>754022.29999999993</v>
      </c>
      <c r="H59" s="102">
        <f t="shared" si="4"/>
        <v>0</v>
      </c>
      <c r="I59" s="102">
        <f t="shared" si="4"/>
        <v>56551.672500000001</v>
      </c>
      <c r="J59" s="102">
        <f t="shared" si="4"/>
        <v>485594391.03156525</v>
      </c>
      <c r="K59" s="102">
        <f t="shared" si="4"/>
        <v>107986793.48716059</v>
      </c>
      <c r="L59" s="201"/>
      <c r="M59" s="102"/>
    </row>
    <row r="60" spans="1:13" ht="13" x14ac:dyDescent="0.3">
      <c r="A60" s="96">
        <f t="shared" si="5"/>
        <v>35</v>
      </c>
      <c r="B60" s="132" t="s">
        <v>25</v>
      </c>
      <c r="C60" s="179">
        <v>2019</v>
      </c>
      <c r="D60" s="102">
        <f t="shared" si="4"/>
        <v>23187246.586444441</v>
      </c>
      <c r="E60" s="102">
        <f t="shared" si="4"/>
        <v>1739043.4939833332</v>
      </c>
      <c r="F60" s="102">
        <f t="shared" si="4"/>
        <v>24926290.080427773</v>
      </c>
      <c r="G60" s="102">
        <f t="shared" si="4"/>
        <v>1797384.17</v>
      </c>
      <c r="H60" s="102">
        <f t="shared" si="4"/>
        <v>691910.17</v>
      </c>
      <c r="I60" s="102">
        <f t="shared" si="4"/>
        <v>82910.549999999988</v>
      </c>
      <c r="J60" s="102">
        <f t="shared" si="4"/>
        <v>508640386.39199299</v>
      </c>
      <c r="K60" s="102">
        <f t="shared" si="4"/>
        <v>131032788.84758838</v>
      </c>
      <c r="L60" s="201"/>
      <c r="M60" s="102"/>
    </row>
    <row r="61" spans="1:13" ht="13" x14ac:dyDescent="0.3">
      <c r="A61" s="96">
        <f t="shared" si="5"/>
        <v>36</v>
      </c>
      <c r="B61" s="132" t="s">
        <v>11</v>
      </c>
      <c r="C61" s="179">
        <v>2019</v>
      </c>
      <c r="D61" s="102">
        <f t="shared" si="4"/>
        <v>27026913.10224444</v>
      </c>
      <c r="E61" s="102">
        <f t="shared" si="4"/>
        <v>2027018.482668333</v>
      </c>
      <c r="F61" s="102">
        <f t="shared" si="4"/>
        <v>29053931.584912777</v>
      </c>
      <c r="G61" s="102">
        <f t="shared" si="4"/>
        <v>168232</v>
      </c>
      <c r="H61" s="102">
        <f t="shared" si="4"/>
        <v>0</v>
      </c>
      <c r="I61" s="102">
        <f t="shared" si="4"/>
        <v>12617.4</v>
      </c>
      <c r="J61" s="102">
        <f t="shared" si="4"/>
        <v>537513468.57690573</v>
      </c>
      <c r="K61" s="102">
        <f t="shared" si="4"/>
        <v>159905871.03250113</v>
      </c>
      <c r="L61" s="201"/>
      <c r="M61" s="102"/>
    </row>
    <row r="62" spans="1:13" ht="13" x14ac:dyDescent="0.3">
      <c r="A62" s="96">
        <f t="shared" si="5"/>
        <v>37</v>
      </c>
      <c r="B62" s="132" t="s">
        <v>12</v>
      </c>
      <c r="C62" s="179">
        <v>2019</v>
      </c>
      <c r="D62" s="102">
        <f t="shared" si="4"/>
        <v>29369434.836244449</v>
      </c>
      <c r="E62" s="102">
        <f t="shared" si="4"/>
        <v>2202707.6127183335</v>
      </c>
      <c r="F62" s="102">
        <f t="shared" si="4"/>
        <v>31572142.448962782</v>
      </c>
      <c r="G62" s="102">
        <f t="shared" si="4"/>
        <v>632199.03</v>
      </c>
      <c r="H62" s="102">
        <f t="shared" si="4"/>
        <v>173868.03</v>
      </c>
      <c r="I62" s="102">
        <f t="shared" si="4"/>
        <v>34374.825000000004</v>
      </c>
      <c r="J62" s="102">
        <f t="shared" si="4"/>
        <v>568419037.17086852</v>
      </c>
      <c r="K62" s="102">
        <f t="shared" si="4"/>
        <v>190811439.62646389</v>
      </c>
      <c r="L62" s="201"/>
      <c r="M62" s="102"/>
    </row>
    <row r="63" spans="1:13" ht="13" x14ac:dyDescent="0.3">
      <c r="A63" s="96">
        <f t="shared" si="5"/>
        <v>38</v>
      </c>
      <c r="B63" s="132" t="s">
        <v>13</v>
      </c>
      <c r="C63" s="179">
        <v>2019</v>
      </c>
      <c r="D63" s="102">
        <f t="shared" si="4"/>
        <v>31037498.296244446</v>
      </c>
      <c r="E63" s="102">
        <f t="shared" si="4"/>
        <v>2327812.3722183337</v>
      </c>
      <c r="F63" s="102">
        <f t="shared" si="4"/>
        <v>33365310.668462776</v>
      </c>
      <c r="G63" s="102">
        <f t="shared" si="4"/>
        <v>776893.27</v>
      </c>
      <c r="H63" s="102">
        <f t="shared" si="4"/>
        <v>156282.26999999999</v>
      </c>
      <c r="I63" s="102">
        <f t="shared" si="4"/>
        <v>46545.824999999997</v>
      </c>
      <c r="J63" s="102">
        <f t="shared" si="4"/>
        <v>600960908.74433136</v>
      </c>
      <c r="K63" s="102">
        <f t="shared" si="4"/>
        <v>223353311.19992667</v>
      </c>
      <c r="L63" s="201"/>
      <c r="M63" s="102"/>
    </row>
    <row r="64" spans="1:13" ht="13" x14ac:dyDescent="0.3">
      <c r="A64" s="96">
        <f t="shared" si="5"/>
        <v>39</v>
      </c>
      <c r="B64" s="132" t="s">
        <v>15</v>
      </c>
      <c r="C64" s="179">
        <v>2019</v>
      </c>
      <c r="D64" s="102">
        <f t="shared" si="4"/>
        <v>20905414.296244446</v>
      </c>
      <c r="E64" s="102">
        <f t="shared" si="4"/>
        <v>1567906.0722183334</v>
      </c>
      <c r="F64" s="102">
        <f t="shared" si="4"/>
        <v>22473320.368462779</v>
      </c>
      <c r="G64" s="102">
        <f t="shared" si="4"/>
        <v>598232</v>
      </c>
      <c r="H64" s="102">
        <f t="shared" si="4"/>
        <v>0</v>
      </c>
      <c r="I64" s="102">
        <f t="shared" si="4"/>
        <v>44867.4</v>
      </c>
      <c r="J64" s="102">
        <f t="shared" si="4"/>
        <v>622791129.71279407</v>
      </c>
      <c r="K64" s="102">
        <f t="shared" si="4"/>
        <v>245183532.16838938</v>
      </c>
      <c r="L64" s="201"/>
      <c r="M64" s="102"/>
    </row>
    <row r="65" spans="1:13" ht="13" x14ac:dyDescent="0.3">
      <c r="A65" s="96">
        <f t="shared" si="5"/>
        <v>40</v>
      </c>
      <c r="B65" s="132" t="s">
        <v>14</v>
      </c>
      <c r="C65" s="179">
        <v>2019</v>
      </c>
      <c r="D65" s="102">
        <f t="shared" si="4"/>
        <v>24856414.392244447</v>
      </c>
      <c r="E65" s="102">
        <f t="shared" si="4"/>
        <v>1864231.0794183335</v>
      </c>
      <c r="F65" s="102">
        <f t="shared" si="4"/>
        <v>26720645.471662782</v>
      </c>
      <c r="G65" s="102">
        <f t="shared" si="4"/>
        <v>696461.78</v>
      </c>
      <c r="H65" s="102">
        <f t="shared" si="4"/>
        <v>212598.78</v>
      </c>
      <c r="I65" s="102">
        <f t="shared" si="4"/>
        <v>36289.725000000006</v>
      </c>
      <c r="J65" s="102">
        <f t="shared" si="4"/>
        <v>648779023.67945695</v>
      </c>
      <c r="K65" s="102">
        <f t="shared" si="4"/>
        <v>271171426.13505214</v>
      </c>
      <c r="L65" s="201"/>
      <c r="M65" s="102"/>
    </row>
    <row r="66" spans="1:13" ht="13" x14ac:dyDescent="0.3">
      <c r="A66" s="96">
        <f t="shared" si="5"/>
        <v>41</v>
      </c>
      <c r="B66" s="132" t="s">
        <v>6</v>
      </c>
      <c r="C66" s="179">
        <v>2019</v>
      </c>
      <c r="D66" s="102">
        <f t="shared" si="4"/>
        <v>29894492.914644454</v>
      </c>
      <c r="E66" s="102">
        <f t="shared" si="4"/>
        <v>2242086.9685983341</v>
      </c>
      <c r="F66" s="102">
        <f t="shared" si="4"/>
        <v>32136579.88324279</v>
      </c>
      <c r="G66" s="102">
        <f t="shared" si="4"/>
        <v>8311541.5500000007</v>
      </c>
      <c r="H66" s="102">
        <f t="shared" si="4"/>
        <v>5614081.5499999998</v>
      </c>
      <c r="I66" s="102">
        <f t="shared" si="4"/>
        <v>202309.5</v>
      </c>
      <c r="J66" s="102">
        <f t="shared" si="4"/>
        <v>672401752.5126996</v>
      </c>
      <c r="K66" s="102">
        <f t="shared" si="4"/>
        <v>294794154.96829492</v>
      </c>
      <c r="L66" s="201"/>
      <c r="M66" s="102"/>
    </row>
    <row r="67" spans="1:13" ht="13" x14ac:dyDescent="0.3">
      <c r="A67" s="96">
        <f t="shared" si="5"/>
        <v>42</v>
      </c>
      <c r="B67" s="132" t="s">
        <v>7</v>
      </c>
      <c r="C67" s="179">
        <v>2020</v>
      </c>
      <c r="D67" s="102">
        <f t="shared" si="4"/>
        <v>22858346.237</v>
      </c>
      <c r="E67" s="102">
        <f t="shared" si="4"/>
        <v>1714375.967775</v>
      </c>
      <c r="F67" s="102">
        <f t="shared" si="4"/>
        <v>24572722.204775002</v>
      </c>
      <c r="G67" s="102">
        <f t="shared" si="4"/>
        <v>80529</v>
      </c>
      <c r="H67" s="102">
        <f t="shared" si="4"/>
        <v>0</v>
      </c>
      <c r="I67" s="102">
        <f t="shared" si="4"/>
        <v>6039.6750000000002</v>
      </c>
      <c r="J67" s="102">
        <f t="shared" si="4"/>
        <v>696887906.04247451</v>
      </c>
      <c r="K67" s="102">
        <f t="shared" si="4"/>
        <v>319280308.49806988</v>
      </c>
      <c r="L67" s="201"/>
      <c r="M67" s="102"/>
    </row>
    <row r="68" spans="1:13" ht="13" x14ac:dyDescent="0.3">
      <c r="A68" s="96">
        <f t="shared" si="5"/>
        <v>43</v>
      </c>
      <c r="B68" s="132" t="s">
        <v>8</v>
      </c>
      <c r="C68" s="179">
        <v>2020</v>
      </c>
      <c r="D68" s="102">
        <f t="shared" si="4"/>
        <v>32794585.140999999</v>
      </c>
      <c r="E68" s="102">
        <f t="shared" si="4"/>
        <v>2459593.8855750002</v>
      </c>
      <c r="F68" s="102">
        <f t="shared" si="4"/>
        <v>35254179.026574999</v>
      </c>
      <c r="G68" s="102">
        <f t="shared" si="4"/>
        <v>80529</v>
      </c>
      <c r="H68" s="102">
        <f t="shared" si="4"/>
        <v>0</v>
      </c>
      <c r="I68" s="102">
        <f t="shared" si="4"/>
        <v>6039.6750000000002</v>
      </c>
      <c r="J68" s="102">
        <f t="shared" si="4"/>
        <v>732055516.39404941</v>
      </c>
      <c r="K68" s="102">
        <f t="shared" si="4"/>
        <v>354447918.8496449</v>
      </c>
      <c r="L68" s="201"/>
      <c r="M68" s="102"/>
    </row>
    <row r="69" spans="1:13" ht="13" x14ac:dyDescent="0.3">
      <c r="A69" s="96">
        <f t="shared" si="5"/>
        <v>44</v>
      </c>
      <c r="B69" s="132" t="s">
        <v>18</v>
      </c>
      <c r="C69" s="179">
        <v>2020</v>
      </c>
      <c r="D69" s="102">
        <f t="shared" si="4"/>
        <v>32334996.140999999</v>
      </c>
      <c r="E69" s="102">
        <f t="shared" si="4"/>
        <v>2425124.7105749999</v>
      </c>
      <c r="F69" s="102">
        <f t="shared" si="4"/>
        <v>34760120.851575002</v>
      </c>
      <c r="G69" s="102">
        <f t="shared" si="4"/>
        <v>140529</v>
      </c>
      <c r="H69" s="102">
        <f t="shared" si="4"/>
        <v>0</v>
      </c>
      <c r="I69" s="102">
        <f t="shared" si="4"/>
        <v>10539.674999999999</v>
      </c>
      <c r="J69" s="102">
        <f t="shared" si="4"/>
        <v>766664568.57062435</v>
      </c>
      <c r="K69" s="102">
        <f t="shared" si="4"/>
        <v>389056971.02621984</v>
      </c>
      <c r="L69" s="201"/>
      <c r="M69" s="102"/>
    </row>
    <row r="70" spans="1:13" ht="13" x14ac:dyDescent="0.3">
      <c r="A70" s="96">
        <f t="shared" si="5"/>
        <v>45</v>
      </c>
      <c r="B70" s="132" t="s">
        <v>9</v>
      </c>
      <c r="C70" s="179">
        <v>2020</v>
      </c>
      <c r="D70" s="102">
        <f t="shared" si="4"/>
        <v>28995632.140999999</v>
      </c>
      <c r="E70" s="102">
        <f t="shared" si="4"/>
        <v>2174672.4105750001</v>
      </c>
      <c r="F70" s="102">
        <f t="shared" si="4"/>
        <v>31170304.551574998</v>
      </c>
      <c r="G70" s="102">
        <f t="shared" si="4"/>
        <v>230529</v>
      </c>
      <c r="H70" s="102">
        <f t="shared" si="4"/>
        <v>0</v>
      </c>
      <c r="I70" s="102">
        <f t="shared" si="4"/>
        <v>17289.674999999999</v>
      </c>
      <c r="J70" s="102">
        <f t="shared" si="4"/>
        <v>797587054.44719934</v>
      </c>
      <c r="K70" s="102">
        <f t="shared" si="4"/>
        <v>419979456.90279484</v>
      </c>
      <c r="L70" s="201"/>
      <c r="M70" s="102"/>
    </row>
    <row r="71" spans="1:13" ht="13" x14ac:dyDescent="0.3">
      <c r="A71" s="96">
        <f t="shared" si="5"/>
        <v>46</v>
      </c>
      <c r="B71" s="132" t="s">
        <v>10</v>
      </c>
      <c r="C71" s="179">
        <v>2020</v>
      </c>
      <c r="D71" s="102">
        <f t="shared" ref="D71:K78" si="6">D105+D138+D169+D202+D233+D266+D297+D330+D361+D394</f>
        <v>32846344.140999999</v>
      </c>
      <c r="E71" s="102">
        <f t="shared" si="6"/>
        <v>2463475.810575</v>
      </c>
      <c r="F71" s="102">
        <f t="shared" si="6"/>
        <v>35309819.951574996</v>
      </c>
      <c r="G71" s="102">
        <f t="shared" si="6"/>
        <v>230529</v>
      </c>
      <c r="H71" s="102">
        <f t="shared" si="6"/>
        <v>0</v>
      </c>
      <c r="I71" s="102">
        <f t="shared" si="6"/>
        <v>17289.674999999999</v>
      </c>
      <c r="J71" s="102">
        <f t="shared" si="6"/>
        <v>832649055.72377431</v>
      </c>
      <c r="K71" s="102">
        <f t="shared" si="6"/>
        <v>455041458.17936981</v>
      </c>
      <c r="L71" s="201"/>
      <c r="M71" s="102"/>
    </row>
    <row r="72" spans="1:13" ht="13" x14ac:dyDescent="0.3">
      <c r="A72" s="96">
        <f t="shared" si="5"/>
        <v>47</v>
      </c>
      <c r="B72" s="132" t="s">
        <v>25</v>
      </c>
      <c r="C72" s="179">
        <v>2020</v>
      </c>
      <c r="D72" s="102">
        <f t="shared" si="6"/>
        <v>27445173.140999999</v>
      </c>
      <c r="E72" s="102">
        <f t="shared" si="6"/>
        <v>2058387.9855750001</v>
      </c>
      <c r="F72" s="102">
        <f t="shared" si="6"/>
        <v>29503561.126575001</v>
      </c>
      <c r="G72" s="102">
        <f t="shared" si="6"/>
        <v>80529</v>
      </c>
      <c r="H72" s="102">
        <f t="shared" si="6"/>
        <v>0</v>
      </c>
      <c r="I72" s="102">
        <f t="shared" si="6"/>
        <v>6039.6750000000002</v>
      </c>
      <c r="J72" s="102">
        <f t="shared" si="6"/>
        <v>862066048.17534947</v>
      </c>
      <c r="K72" s="102">
        <f t="shared" si="6"/>
        <v>484458450.63094473</v>
      </c>
      <c r="L72" s="201"/>
      <c r="M72" s="102"/>
    </row>
    <row r="73" spans="1:13" ht="13" x14ac:dyDescent="0.3">
      <c r="A73" s="96">
        <f t="shared" si="5"/>
        <v>48</v>
      </c>
      <c r="B73" s="132" t="s">
        <v>11</v>
      </c>
      <c r="C73" s="179">
        <v>2020</v>
      </c>
      <c r="D73" s="102">
        <f t="shared" si="6"/>
        <v>27167344.140999999</v>
      </c>
      <c r="E73" s="102">
        <f t="shared" si="6"/>
        <v>2037550.810575</v>
      </c>
      <c r="F73" s="102">
        <f t="shared" si="6"/>
        <v>29204894.951575</v>
      </c>
      <c r="G73" s="102">
        <f t="shared" si="6"/>
        <v>80529</v>
      </c>
      <c r="H73" s="102">
        <f t="shared" si="6"/>
        <v>0</v>
      </c>
      <c r="I73" s="102">
        <f t="shared" si="6"/>
        <v>6039.6750000000002</v>
      </c>
      <c r="J73" s="102">
        <f t="shared" si="6"/>
        <v>891184374.45192444</v>
      </c>
      <c r="K73" s="102">
        <f t="shared" si="6"/>
        <v>513576776.9075197</v>
      </c>
      <c r="L73" s="201"/>
      <c r="M73" s="102"/>
    </row>
    <row r="74" spans="1:13" ht="13" x14ac:dyDescent="0.3">
      <c r="A74" s="96">
        <f t="shared" si="5"/>
        <v>49</v>
      </c>
      <c r="B74" s="132" t="s">
        <v>12</v>
      </c>
      <c r="C74" s="179">
        <v>2020</v>
      </c>
      <c r="D74" s="102">
        <f t="shared" si="6"/>
        <v>28984344.140999999</v>
      </c>
      <c r="E74" s="102">
        <f t="shared" si="6"/>
        <v>2173825.810575</v>
      </c>
      <c r="F74" s="102">
        <f t="shared" si="6"/>
        <v>31158169.951575</v>
      </c>
      <c r="G74" s="102">
        <f t="shared" si="6"/>
        <v>80529</v>
      </c>
      <c r="H74" s="102">
        <f t="shared" si="6"/>
        <v>0</v>
      </c>
      <c r="I74" s="102">
        <f t="shared" si="6"/>
        <v>6039.6750000000002</v>
      </c>
      <c r="J74" s="102">
        <f t="shared" si="6"/>
        <v>922255975.72849941</v>
      </c>
      <c r="K74" s="102">
        <f t="shared" si="6"/>
        <v>544648378.18409479</v>
      </c>
      <c r="L74" s="201"/>
      <c r="M74" s="102"/>
    </row>
    <row r="75" spans="1:13" ht="13" x14ac:dyDescent="0.3">
      <c r="A75" s="96">
        <f t="shared" si="5"/>
        <v>50</v>
      </c>
      <c r="B75" s="132" t="s">
        <v>13</v>
      </c>
      <c r="C75" s="179">
        <v>2020</v>
      </c>
      <c r="D75" s="102">
        <f t="shared" si="6"/>
        <v>29460344.140999999</v>
      </c>
      <c r="E75" s="102">
        <f t="shared" si="6"/>
        <v>2209525.810575</v>
      </c>
      <c r="F75" s="102">
        <f t="shared" si="6"/>
        <v>31669869.951575</v>
      </c>
      <c r="G75" s="102">
        <f t="shared" si="6"/>
        <v>90529</v>
      </c>
      <c r="H75" s="102">
        <f t="shared" si="6"/>
        <v>0</v>
      </c>
      <c r="I75" s="102">
        <f t="shared" si="6"/>
        <v>6789.6750000000002</v>
      </c>
      <c r="J75" s="102">
        <f t="shared" si="6"/>
        <v>953828527.00507438</v>
      </c>
      <c r="K75" s="102">
        <f t="shared" si="6"/>
        <v>576220929.46066976</v>
      </c>
      <c r="L75" s="201"/>
      <c r="M75" s="102"/>
    </row>
    <row r="76" spans="1:13" ht="13" x14ac:dyDescent="0.3">
      <c r="A76" s="96">
        <f t="shared" si="5"/>
        <v>51</v>
      </c>
      <c r="B76" s="132" t="s">
        <v>15</v>
      </c>
      <c r="C76" s="179">
        <v>2020</v>
      </c>
      <c r="D76" s="102">
        <f t="shared" si="6"/>
        <v>31031404.140999999</v>
      </c>
      <c r="E76" s="102">
        <f>E110+E143+E174+E207+E238+E271+E302+E335+E366+E399</f>
        <v>2327355.310575</v>
      </c>
      <c r="F76" s="102">
        <f t="shared" si="6"/>
        <v>33358759.451575</v>
      </c>
      <c r="G76" s="102">
        <f t="shared" si="6"/>
        <v>90529</v>
      </c>
      <c r="H76" s="102">
        <f t="shared" si="6"/>
        <v>0</v>
      </c>
      <c r="I76" s="102">
        <f t="shared" si="6"/>
        <v>6789.6750000000002</v>
      </c>
      <c r="J76" s="102">
        <f t="shared" si="6"/>
        <v>987089967.78164935</v>
      </c>
      <c r="K76" s="102">
        <f t="shared" si="6"/>
        <v>609482370.23724473</v>
      </c>
      <c r="L76" s="201"/>
      <c r="M76" s="102"/>
    </row>
    <row r="77" spans="1:13" ht="13" x14ac:dyDescent="0.3">
      <c r="A77" s="96">
        <f t="shared" si="5"/>
        <v>52</v>
      </c>
      <c r="B77" s="132" t="s">
        <v>14</v>
      </c>
      <c r="C77" s="179">
        <v>2020</v>
      </c>
      <c r="D77" s="102">
        <f t="shared" si="6"/>
        <v>28653650.140999999</v>
      </c>
      <c r="E77" s="102">
        <f>E111+E144+E175+E208+E239+E272+E303+E336+E367+E400</f>
        <v>2149023.7605750002</v>
      </c>
      <c r="F77" s="102">
        <f t="shared" si="6"/>
        <v>30802673.901574999</v>
      </c>
      <c r="G77" s="102">
        <f t="shared" si="6"/>
        <v>190529</v>
      </c>
      <c r="H77" s="102">
        <f t="shared" si="6"/>
        <v>0</v>
      </c>
      <c r="I77" s="102">
        <f t="shared" si="6"/>
        <v>14289.674999999999</v>
      </c>
      <c r="J77" s="102">
        <f t="shared" si="6"/>
        <v>1017687823.0082242</v>
      </c>
      <c r="K77" s="102">
        <f t="shared" si="6"/>
        <v>640080225.46381962</v>
      </c>
      <c r="L77" s="201"/>
      <c r="M77" s="102"/>
    </row>
    <row r="78" spans="1:13" ht="13" x14ac:dyDescent="0.3">
      <c r="A78" s="96">
        <f t="shared" si="5"/>
        <v>53</v>
      </c>
      <c r="B78" s="132" t="s">
        <v>6</v>
      </c>
      <c r="C78" s="179">
        <v>2020</v>
      </c>
      <c r="D78" s="102">
        <f>D112+D145+D176+D209+D240+D273+D304+D337+D368+D401</f>
        <v>31532939.140999999</v>
      </c>
      <c r="E78" s="102">
        <f>E112+E145+E176+E209+E240+E273+E304+E337+E368+E401</f>
        <v>2364970.435575</v>
      </c>
      <c r="F78" s="102">
        <f t="shared" si="6"/>
        <v>33897909.576574996</v>
      </c>
      <c r="G78" s="102">
        <f t="shared" si="6"/>
        <v>43140404.120000005</v>
      </c>
      <c r="H78" s="102">
        <f t="shared" si="6"/>
        <v>16523166.119999997</v>
      </c>
      <c r="I78" s="102">
        <f t="shared" si="6"/>
        <v>1996292.8500000006</v>
      </c>
      <c r="J78" s="102">
        <f t="shared" si="6"/>
        <v>1006449035.6147991</v>
      </c>
      <c r="K78" s="108">
        <f>K112+K145+K176+K209+K240+K273+K304+K337+K368+K401</f>
        <v>628841438.07039464</v>
      </c>
      <c r="L78" s="203"/>
      <c r="M78" s="102"/>
    </row>
    <row r="79" spans="1:13" ht="13" x14ac:dyDescent="0.3">
      <c r="A79" s="96">
        <f t="shared" si="5"/>
        <v>54</v>
      </c>
      <c r="C79" s="240" t="s">
        <v>380</v>
      </c>
      <c r="K79" s="241">
        <f>AVERAGE(K66:K78)</f>
        <v>479223756.72146785</v>
      </c>
      <c r="L79" s="206"/>
    </row>
    <row r="81" spans="1:11" ht="13" x14ac:dyDescent="0.3">
      <c r="B81" s="107" t="s">
        <v>381</v>
      </c>
    </row>
    <row r="82" spans="1:11" ht="13" x14ac:dyDescent="0.3">
      <c r="B82" s="242" t="s">
        <v>382</v>
      </c>
      <c r="D82" s="300" t="s">
        <v>338</v>
      </c>
      <c r="E82" s="300"/>
    </row>
    <row r="83" spans="1:11" s="100" customFormat="1" ht="13" x14ac:dyDescent="0.3">
      <c r="D83" s="100" t="s">
        <v>148</v>
      </c>
      <c r="E83" s="100" t="s">
        <v>149</v>
      </c>
      <c r="F83" s="100" t="s">
        <v>150</v>
      </c>
      <c r="G83" s="100" t="s">
        <v>151</v>
      </c>
      <c r="H83" s="100" t="s">
        <v>329</v>
      </c>
      <c r="I83" s="100" t="s">
        <v>330</v>
      </c>
      <c r="J83" s="100" t="s">
        <v>346</v>
      </c>
      <c r="K83" s="100" t="s">
        <v>347</v>
      </c>
    </row>
    <row r="84" spans="1:11" ht="25.9" customHeight="1" x14ac:dyDescent="0.3">
      <c r="D84" s="136"/>
      <c r="E84" s="243" t="s">
        <v>383</v>
      </c>
      <c r="F84" s="128" t="s">
        <v>384</v>
      </c>
      <c r="G84" s="128"/>
      <c r="H84" s="136"/>
      <c r="I84" s="243" t="s">
        <v>385</v>
      </c>
      <c r="J84" s="243" t="s">
        <v>386</v>
      </c>
      <c r="K84" s="243" t="s">
        <v>387</v>
      </c>
    </row>
    <row r="85" spans="1:11" ht="13" x14ac:dyDescent="0.3">
      <c r="D85" s="136"/>
      <c r="E85" s="244"/>
      <c r="F85" s="244"/>
      <c r="G85" s="96" t="str">
        <f>G51</f>
        <v>Unloaded</v>
      </c>
      <c r="H85" s="136"/>
      <c r="I85" s="244"/>
      <c r="J85" s="244"/>
      <c r="K85" s="96"/>
    </row>
    <row r="86" spans="1:11" s="96" customFormat="1" ht="13" x14ac:dyDescent="0.3">
      <c r="D86" s="96" t="str">
        <f>D$52</f>
        <v>Forecast</v>
      </c>
      <c r="E86" s="96" t="str">
        <f t="shared" ref="E86:J86" si="7">E$52</f>
        <v>Corporate</v>
      </c>
      <c r="F86" s="96" t="str">
        <f t="shared" si="7"/>
        <v xml:space="preserve">Total </v>
      </c>
      <c r="G86" s="96" t="str">
        <f>G52</f>
        <v>Total</v>
      </c>
      <c r="H86" s="96" t="str">
        <f t="shared" si="7"/>
        <v>Prior Period</v>
      </c>
      <c r="I86" s="96" t="str">
        <f t="shared" si="7"/>
        <v>Over Heads</v>
      </c>
      <c r="J86" s="96" t="str">
        <f t="shared" si="7"/>
        <v>Forecast</v>
      </c>
      <c r="K86" s="96" t="str">
        <f>K$52</f>
        <v>Forecast Period</v>
      </c>
    </row>
    <row r="87" spans="1:11" ht="13" x14ac:dyDescent="0.3">
      <c r="A87" s="99" t="s">
        <v>336</v>
      </c>
      <c r="B87" s="134" t="s">
        <v>16</v>
      </c>
      <c r="C87" s="134" t="s">
        <v>17</v>
      </c>
      <c r="D87" s="100" t="str">
        <f>D$53</f>
        <v>Expenditures</v>
      </c>
      <c r="E87" s="100" t="str">
        <f t="shared" ref="E87:J87" si="8">E$53</f>
        <v>Overheads</v>
      </c>
      <c r="F87" s="100" t="str">
        <f t="shared" si="8"/>
        <v>CWIP Exp</v>
      </c>
      <c r="G87" s="100" t="str">
        <f>G53</f>
        <v>Plant Adds</v>
      </c>
      <c r="H87" s="100" t="str">
        <f t="shared" si="8"/>
        <v>CWIP Closed</v>
      </c>
      <c r="I87" s="100" t="str">
        <f t="shared" si="8"/>
        <v>Closed to PIS</v>
      </c>
      <c r="J87" s="100" t="str">
        <f t="shared" si="8"/>
        <v>Period CWIP</v>
      </c>
      <c r="K87" s="100" t="str">
        <f>K$53</f>
        <v>Incremental CWIP</v>
      </c>
    </row>
    <row r="88" spans="1:11" ht="13" x14ac:dyDescent="0.3">
      <c r="A88" s="96">
        <f>A79+1</f>
        <v>55</v>
      </c>
      <c r="B88" s="132" t="s">
        <v>6</v>
      </c>
      <c r="C88" s="179">
        <v>2018</v>
      </c>
      <c r="D88" s="128" t="s">
        <v>361</v>
      </c>
      <c r="E88" s="128" t="s">
        <v>361</v>
      </c>
      <c r="F88" s="128" t="s">
        <v>361</v>
      </c>
      <c r="G88" s="128" t="s">
        <v>361</v>
      </c>
      <c r="H88" s="128" t="s">
        <v>361</v>
      </c>
      <c r="I88" s="128" t="s">
        <v>361</v>
      </c>
      <c r="J88" s="102">
        <f>E25</f>
        <v>156282.26999999999</v>
      </c>
      <c r="K88" s="128" t="s">
        <v>361</v>
      </c>
    </row>
    <row r="89" spans="1:11" ht="13" x14ac:dyDescent="0.3">
      <c r="A89" s="96">
        <f>A88+1</f>
        <v>56</v>
      </c>
      <c r="B89" s="132" t="s">
        <v>7</v>
      </c>
      <c r="C89" s="179">
        <v>2019</v>
      </c>
      <c r="D89" s="146">
        <v>143919.84999999998</v>
      </c>
      <c r="E89" s="102">
        <v>10793.988749999999</v>
      </c>
      <c r="F89" s="102">
        <f>E89+D89</f>
        <v>154713.83874999997</v>
      </c>
      <c r="G89" s="146">
        <v>139735.85</v>
      </c>
      <c r="H89" s="146">
        <v>0</v>
      </c>
      <c r="I89" s="102">
        <v>10480.188749999999</v>
      </c>
      <c r="J89" s="102">
        <f>J88+F89-G89-I89</f>
        <v>160780.06999999995</v>
      </c>
      <c r="K89" s="102">
        <f>J89-$J$88</f>
        <v>4497.7999999999593</v>
      </c>
    </row>
    <row r="90" spans="1:11" ht="13" x14ac:dyDescent="0.3">
      <c r="A90" s="96">
        <f t="shared" ref="A90:A108" si="9">A89+1</f>
        <v>57</v>
      </c>
      <c r="B90" s="132" t="s">
        <v>8</v>
      </c>
      <c r="C90" s="179">
        <v>2019</v>
      </c>
      <c r="D90" s="146">
        <v>468436.65</v>
      </c>
      <c r="E90" s="102">
        <v>35132.748749999999</v>
      </c>
      <c r="F90" s="102">
        <f t="shared" ref="F90:F112" si="10">E90+D90</f>
        <v>503569.39875000005</v>
      </c>
      <c r="G90" s="146">
        <v>446085.64999999997</v>
      </c>
      <c r="H90" s="146">
        <v>0</v>
      </c>
      <c r="I90" s="102">
        <v>33456.423749999994</v>
      </c>
      <c r="J90" s="102">
        <f t="shared" ref="J90:J108" si="11">J89+F90-G90-I90</f>
        <v>184807.39500000005</v>
      </c>
      <c r="K90" s="102">
        <f t="shared" ref="K90:K112" si="12">J90-$J$88</f>
        <v>28525.125000000058</v>
      </c>
    </row>
    <row r="91" spans="1:11" ht="13" x14ac:dyDescent="0.3">
      <c r="A91" s="96">
        <f t="shared" si="9"/>
        <v>58</v>
      </c>
      <c r="B91" s="132" t="s">
        <v>18</v>
      </c>
      <c r="C91" s="179">
        <v>2019</v>
      </c>
      <c r="D91" s="146">
        <v>528730.65000000014</v>
      </c>
      <c r="E91" s="102">
        <v>39654.798750000009</v>
      </c>
      <c r="F91" s="102">
        <f t="shared" si="10"/>
        <v>568385.4487500001</v>
      </c>
      <c r="G91" s="146">
        <v>482886.65000000008</v>
      </c>
      <c r="H91" s="146">
        <v>0</v>
      </c>
      <c r="I91" s="102">
        <v>36216.498750000006</v>
      </c>
      <c r="J91" s="102">
        <f t="shared" si="11"/>
        <v>234089.69500000004</v>
      </c>
      <c r="K91" s="102">
        <f t="shared" si="12"/>
        <v>77807.425000000047</v>
      </c>
    </row>
    <row r="92" spans="1:11" ht="13" x14ac:dyDescent="0.3">
      <c r="A92" s="96">
        <f t="shared" si="9"/>
        <v>59</v>
      </c>
      <c r="B92" s="132" t="s">
        <v>9</v>
      </c>
      <c r="C92" s="179">
        <v>2019</v>
      </c>
      <c r="D92" s="146">
        <v>-55565.310000000019</v>
      </c>
      <c r="E92" s="102">
        <v>-4167.3982500000011</v>
      </c>
      <c r="F92" s="102">
        <f t="shared" si="10"/>
        <v>-59732.708250000018</v>
      </c>
      <c r="G92" s="146">
        <v>-55565.310000000019</v>
      </c>
      <c r="H92" s="146">
        <v>0</v>
      </c>
      <c r="I92" s="102">
        <v>-4167.3982500000011</v>
      </c>
      <c r="J92" s="102">
        <f t="shared" si="11"/>
        <v>234089.69500000004</v>
      </c>
      <c r="K92" s="102">
        <f t="shared" si="12"/>
        <v>77807.425000000047</v>
      </c>
    </row>
    <row r="93" spans="1:11" ht="13" x14ac:dyDescent="0.3">
      <c r="A93" s="96">
        <f t="shared" si="9"/>
        <v>60</v>
      </c>
      <c r="B93" s="132" t="s">
        <v>10</v>
      </c>
      <c r="C93" s="179">
        <v>2019</v>
      </c>
      <c r="D93" s="146">
        <v>219022.29999999996</v>
      </c>
      <c r="E93" s="102">
        <v>16426.672499999997</v>
      </c>
      <c r="F93" s="102">
        <f t="shared" si="10"/>
        <v>235448.97249999995</v>
      </c>
      <c r="G93" s="146">
        <v>219022.29999999996</v>
      </c>
      <c r="H93" s="146">
        <v>0</v>
      </c>
      <c r="I93" s="102">
        <v>16426.672499999997</v>
      </c>
      <c r="J93" s="102">
        <f t="shared" si="11"/>
        <v>234089.69500000004</v>
      </c>
      <c r="K93" s="102">
        <f t="shared" si="12"/>
        <v>77807.425000000047</v>
      </c>
    </row>
    <row r="94" spans="1:11" ht="13" x14ac:dyDescent="0.3">
      <c r="A94" s="96">
        <f t="shared" si="9"/>
        <v>61</v>
      </c>
      <c r="B94" s="132" t="s">
        <v>25</v>
      </c>
      <c r="C94" s="179">
        <v>2019</v>
      </c>
      <c r="D94" s="146">
        <v>39890</v>
      </c>
      <c r="E94" s="102">
        <v>2991.75</v>
      </c>
      <c r="F94" s="102">
        <f t="shared" si="10"/>
        <v>42881.75</v>
      </c>
      <c r="G94" s="146">
        <v>39890</v>
      </c>
      <c r="H94" s="146">
        <v>0</v>
      </c>
      <c r="I94" s="102">
        <v>2991.75</v>
      </c>
      <c r="J94" s="102">
        <f t="shared" si="11"/>
        <v>234089.69500000007</v>
      </c>
      <c r="K94" s="102">
        <f t="shared" si="12"/>
        <v>77807.425000000076</v>
      </c>
    </row>
    <row r="95" spans="1:11" ht="13" x14ac:dyDescent="0.3">
      <c r="A95" s="96">
        <f t="shared" si="9"/>
        <v>62</v>
      </c>
      <c r="B95" s="132" t="s">
        <v>11</v>
      </c>
      <c r="C95" s="179">
        <v>2019</v>
      </c>
      <c r="D95" s="146">
        <v>132890</v>
      </c>
      <c r="E95" s="102">
        <v>9966.75</v>
      </c>
      <c r="F95" s="102">
        <f t="shared" si="10"/>
        <v>142856.75</v>
      </c>
      <c r="G95" s="146">
        <v>132890</v>
      </c>
      <c r="H95" s="146">
        <v>0</v>
      </c>
      <c r="I95" s="102">
        <v>9966.75</v>
      </c>
      <c r="J95" s="102">
        <f t="shared" si="11"/>
        <v>234089.69500000007</v>
      </c>
      <c r="K95" s="102">
        <f t="shared" si="12"/>
        <v>77807.425000000076</v>
      </c>
    </row>
    <row r="96" spans="1:11" ht="13" x14ac:dyDescent="0.3">
      <c r="A96" s="96">
        <f t="shared" si="9"/>
        <v>63</v>
      </c>
      <c r="B96" s="132" t="s">
        <v>12</v>
      </c>
      <c r="C96" s="179">
        <v>2019</v>
      </c>
      <c r="D96" s="146">
        <v>422890</v>
      </c>
      <c r="E96" s="102">
        <v>31716.75</v>
      </c>
      <c r="F96" s="102">
        <f t="shared" si="10"/>
        <v>454606.75</v>
      </c>
      <c r="G96" s="146">
        <v>422890</v>
      </c>
      <c r="H96" s="146">
        <v>0</v>
      </c>
      <c r="I96" s="102">
        <v>31716.75</v>
      </c>
      <c r="J96" s="102">
        <f t="shared" si="11"/>
        <v>234089.69500000007</v>
      </c>
      <c r="K96" s="102">
        <f t="shared" si="12"/>
        <v>77807.425000000076</v>
      </c>
    </row>
    <row r="97" spans="1:11" ht="13" x14ac:dyDescent="0.3">
      <c r="A97" s="96">
        <f t="shared" si="9"/>
        <v>64</v>
      </c>
      <c r="B97" s="132" t="s">
        <v>13</v>
      </c>
      <c r="C97" s="179">
        <v>2019</v>
      </c>
      <c r="D97" s="146">
        <v>522890</v>
      </c>
      <c r="E97" s="102">
        <v>39216.75</v>
      </c>
      <c r="F97" s="102">
        <f t="shared" si="10"/>
        <v>562106.75</v>
      </c>
      <c r="G97" s="146">
        <v>751551.27</v>
      </c>
      <c r="H97" s="146">
        <v>156282.26999999999</v>
      </c>
      <c r="I97" s="102">
        <v>44645.174999999996</v>
      </c>
      <c r="J97" s="102">
        <f t="shared" si="11"/>
        <v>0</v>
      </c>
      <c r="K97" s="102">
        <f t="shared" si="12"/>
        <v>-156282.26999999999</v>
      </c>
    </row>
    <row r="98" spans="1:11" ht="13" x14ac:dyDescent="0.3">
      <c r="A98" s="96">
        <f t="shared" si="9"/>
        <v>65</v>
      </c>
      <c r="B98" s="132" t="s">
        <v>15</v>
      </c>
      <c r="C98" s="179">
        <v>2019</v>
      </c>
      <c r="D98" s="146">
        <v>572890</v>
      </c>
      <c r="E98" s="102">
        <v>42966.75</v>
      </c>
      <c r="F98" s="102">
        <f t="shared" si="10"/>
        <v>615856.75</v>
      </c>
      <c r="G98" s="146">
        <v>572890</v>
      </c>
      <c r="H98" s="146">
        <v>0</v>
      </c>
      <c r="I98" s="102">
        <v>42966.75</v>
      </c>
      <c r="J98" s="102">
        <f t="shared" si="11"/>
        <v>0</v>
      </c>
      <c r="K98" s="102">
        <f t="shared" si="12"/>
        <v>-156282.26999999999</v>
      </c>
    </row>
    <row r="99" spans="1:11" ht="13" x14ac:dyDescent="0.3">
      <c r="A99" s="96">
        <f t="shared" si="9"/>
        <v>66</v>
      </c>
      <c r="B99" s="132" t="s">
        <v>14</v>
      </c>
      <c r="C99" s="179">
        <v>2019</v>
      </c>
      <c r="D99" s="146">
        <v>422890</v>
      </c>
      <c r="E99" s="102">
        <v>31716.75</v>
      </c>
      <c r="F99" s="102">
        <f t="shared" si="10"/>
        <v>454606.75</v>
      </c>
      <c r="G99" s="146">
        <v>422890</v>
      </c>
      <c r="H99" s="146">
        <v>0</v>
      </c>
      <c r="I99" s="102">
        <v>31716.75</v>
      </c>
      <c r="J99" s="102">
        <f t="shared" si="11"/>
        <v>0</v>
      </c>
      <c r="K99" s="102">
        <f t="shared" si="12"/>
        <v>-156282.26999999999</v>
      </c>
    </row>
    <row r="100" spans="1:11" ht="13" x14ac:dyDescent="0.3">
      <c r="A100" s="96">
        <f t="shared" si="9"/>
        <v>67</v>
      </c>
      <c r="B100" s="132" t="s">
        <v>6</v>
      </c>
      <c r="C100" s="179">
        <v>2019</v>
      </c>
      <c r="D100" s="146">
        <v>227890</v>
      </c>
      <c r="E100" s="102">
        <v>17091.75</v>
      </c>
      <c r="F100" s="102">
        <f t="shared" si="10"/>
        <v>244981.75</v>
      </c>
      <c r="G100" s="146">
        <v>227890</v>
      </c>
      <c r="H100" s="146">
        <v>0</v>
      </c>
      <c r="I100" s="102">
        <v>17091.75</v>
      </c>
      <c r="J100" s="102">
        <f t="shared" si="11"/>
        <v>0</v>
      </c>
      <c r="K100" s="102">
        <f t="shared" si="12"/>
        <v>-156282.26999999999</v>
      </c>
    </row>
    <row r="101" spans="1:11" ht="13" x14ac:dyDescent="0.3">
      <c r="A101" s="96">
        <f t="shared" si="9"/>
        <v>68</v>
      </c>
      <c r="B101" s="132" t="s">
        <v>7</v>
      </c>
      <c r="C101" s="179">
        <v>2020</v>
      </c>
      <c r="D101" s="146">
        <v>0</v>
      </c>
      <c r="E101" s="102">
        <v>0</v>
      </c>
      <c r="F101" s="102">
        <f t="shared" si="10"/>
        <v>0</v>
      </c>
      <c r="G101" s="146">
        <v>0</v>
      </c>
      <c r="H101" s="146">
        <v>0</v>
      </c>
      <c r="I101" s="102">
        <v>0</v>
      </c>
      <c r="J101" s="102">
        <f t="shared" si="11"/>
        <v>0</v>
      </c>
      <c r="K101" s="102">
        <f t="shared" si="12"/>
        <v>-156282.26999999999</v>
      </c>
    </row>
    <row r="102" spans="1:11" ht="13" x14ac:dyDescent="0.3">
      <c r="A102" s="96">
        <f t="shared" si="9"/>
        <v>69</v>
      </c>
      <c r="B102" s="132" t="s">
        <v>8</v>
      </c>
      <c r="C102" s="179">
        <v>2020</v>
      </c>
      <c r="D102" s="146">
        <v>0</v>
      </c>
      <c r="E102" s="102">
        <v>0</v>
      </c>
      <c r="F102" s="102">
        <f t="shared" si="10"/>
        <v>0</v>
      </c>
      <c r="G102" s="146">
        <v>0</v>
      </c>
      <c r="H102" s="146">
        <v>0</v>
      </c>
      <c r="I102" s="102">
        <v>0</v>
      </c>
      <c r="J102" s="102">
        <f t="shared" si="11"/>
        <v>0</v>
      </c>
      <c r="K102" s="102">
        <f t="shared" si="12"/>
        <v>-156282.26999999999</v>
      </c>
    </row>
    <row r="103" spans="1:11" ht="13" x14ac:dyDescent="0.3">
      <c r="A103" s="96">
        <f t="shared" si="9"/>
        <v>70</v>
      </c>
      <c r="B103" s="132" t="s">
        <v>18</v>
      </c>
      <c r="C103" s="179">
        <v>2020</v>
      </c>
      <c r="D103" s="146">
        <v>0</v>
      </c>
      <c r="E103" s="102">
        <v>0</v>
      </c>
      <c r="F103" s="102">
        <f t="shared" si="10"/>
        <v>0</v>
      </c>
      <c r="G103" s="146">
        <v>0</v>
      </c>
      <c r="H103" s="146">
        <v>0</v>
      </c>
      <c r="I103" s="102">
        <v>0</v>
      </c>
      <c r="J103" s="102">
        <f t="shared" si="11"/>
        <v>0</v>
      </c>
      <c r="K103" s="102">
        <f t="shared" si="12"/>
        <v>-156282.26999999999</v>
      </c>
    </row>
    <row r="104" spans="1:11" ht="13" x14ac:dyDescent="0.3">
      <c r="A104" s="96">
        <f t="shared" si="9"/>
        <v>71</v>
      </c>
      <c r="B104" s="132" t="s">
        <v>9</v>
      </c>
      <c r="C104" s="179">
        <v>2020</v>
      </c>
      <c r="D104" s="146">
        <v>0</v>
      </c>
      <c r="E104" s="102">
        <v>0</v>
      </c>
      <c r="F104" s="102">
        <f t="shared" si="10"/>
        <v>0</v>
      </c>
      <c r="G104" s="146">
        <v>0</v>
      </c>
      <c r="H104" s="146">
        <v>0</v>
      </c>
      <c r="I104" s="102">
        <v>0</v>
      </c>
      <c r="J104" s="102">
        <f t="shared" si="11"/>
        <v>0</v>
      </c>
      <c r="K104" s="102">
        <f t="shared" si="12"/>
        <v>-156282.26999999999</v>
      </c>
    </row>
    <row r="105" spans="1:11" ht="13" x14ac:dyDescent="0.3">
      <c r="A105" s="96">
        <f t="shared" si="9"/>
        <v>72</v>
      </c>
      <c r="B105" s="132" t="s">
        <v>10</v>
      </c>
      <c r="C105" s="179">
        <v>2020</v>
      </c>
      <c r="D105" s="146">
        <v>0</v>
      </c>
      <c r="E105" s="102">
        <v>0</v>
      </c>
      <c r="F105" s="102">
        <f t="shared" si="10"/>
        <v>0</v>
      </c>
      <c r="G105" s="146">
        <v>0</v>
      </c>
      <c r="H105" s="146">
        <v>0</v>
      </c>
      <c r="I105" s="102">
        <v>0</v>
      </c>
      <c r="J105" s="102">
        <f t="shared" si="11"/>
        <v>0</v>
      </c>
      <c r="K105" s="102">
        <f t="shared" si="12"/>
        <v>-156282.26999999999</v>
      </c>
    </row>
    <row r="106" spans="1:11" ht="13" x14ac:dyDescent="0.3">
      <c r="A106" s="96">
        <f t="shared" si="9"/>
        <v>73</v>
      </c>
      <c r="B106" s="132" t="s">
        <v>25</v>
      </c>
      <c r="C106" s="179">
        <v>2020</v>
      </c>
      <c r="D106" s="146">
        <v>0</v>
      </c>
      <c r="E106" s="102">
        <v>0</v>
      </c>
      <c r="F106" s="102">
        <f t="shared" si="10"/>
        <v>0</v>
      </c>
      <c r="G106" s="146">
        <v>0</v>
      </c>
      <c r="H106" s="146">
        <v>0</v>
      </c>
      <c r="I106" s="102">
        <v>0</v>
      </c>
      <c r="J106" s="102">
        <f t="shared" si="11"/>
        <v>0</v>
      </c>
      <c r="K106" s="102">
        <f t="shared" si="12"/>
        <v>-156282.26999999999</v>
      </c>
    </row>
    <row r="107" spans="1:11" ht="13" x14ac:dyDescent="0.3">
      <c r="A107" s="96">
        <f t="shared" si="9"/>
        <v>74</v>
      </c>
      <c r="B107" s="132" t="s">
        <v>11</v>
      </c>
      <c r="C107" s="179">
        <v>2020</v>
      </c>
      <c r="D107" s="146">
        <v>0</v>
      </c>
      <c r="E107" s="102">
        <v>0</v>
      </c>
      <c r="F107" s="102">
        <f t="shared" si="10"/>
        <v>0</v>
      </c>
      <c r="G107" s="146">
        <v>0</v>
      </c>
      <c r="H107" s="146">
        <v>0</v>
      </c>
      <c r="I107" s="102">
        <v>0</v>
      </c>
      <c r="J107" s="102">
        <f t="shared" si="11"/>
        <v>0</v>
      </c>
      <c r="K107" s="102">
        <f t="shared" si="12"/>
        <v>-156282.26999999999</v>
      </c>
    </row>
    <row r="108" spans="1:11" ht="13" x14ac:dyDescent="0.3">
      <c r="A108" s="96">
        <f t="shared" si="9"/>
        <v>75</v>
      </c>
      <c r="B108" s="132" t="s">
        <v>12</v>
      </c>
      <c r="C108" s="179">
        <v>2020</v>
      </c>
      <c r="D108" s="146">
        <v>0</v>
      </c>
      <c r="E108" s="102">
        <v>0</v>
      </c>
      <c r="F108" s="102">
        <f t="shared" si="10"/>
        <v>0</v>
      </c>
      <c r="G108" s="146">
        <v>0</v>
      </c>
      <c r="H108" s="146">
        <v>0</v>
      </c>
      <c r="I108" s="102">
        <v>0</v>
      </c>
      <c r="J108" s="102">
        <f t="shared" si="11"/>
        <v>0</v>
      </c>
      <c r="K108" s="102">
        <f t="shared" si="12"/>
        <v>-156282.26999999999</v>
      </c>
    </row>
    <row r="109" spans="1:11" ht="13" x14ac:dyDescent="0.3">
      <c r="A109" s="96">
        <f>A108+1</f>
        <v>76</v>
      </c>
      <c r="B109" s="132" t="s">
        <v>13</v>
      </c>
      <c r="C109" s="179">
        <v>2020</v>
      </c>
      <c r="D109" s="146">
        <v>0</v>
      </c>
      <c r="E109" s="102">
        <v>0</v>
      </c>
      <c r="F109" s="102">
        <f t="shared" si="10"/>
        <v>0</v>
      </c>
      <c r="G109" s="146">
        <v>0</v>
      </c>
      <c r="H109" s="146">
        <v>0</v>
      </c>
      <c r="I109" s="102">
        <v>0</v>
      </c>
      <c r="J109" s="102">
        <f>J108+F109-G109-I109</f>
        <v>0</v>
      </c>
      <c r="K109" s="102">
        <f t="shared" si="12"/>
        <v>-156282.26999999999</v>
      </c>
    </row>
    <row r="110" spans="1:11" ht="13" x14ac:dyDescent="0.3">
      <c r="A110" s="96">
        <f t="shared" ref="A110:A113" si="13">A109+1</f>
        <v>77</v>
      </c>
      <c r="B110" s="132" t="s">
        <v>15</v>
      </c>
      <c r="C110" s="179">
        <v>2020</v>
      </c>
      <c r="D110" s="146">
        <v>0</v>
      </c>
      <c r="E110" s="102">
        <v>0</v>
      </c>
      <c r="F110" s="102">
        <f t="shared" si="10"/>
        <v>0</v>
      </c>
      <c r="G110" s="146">
        <v>0</v>
      </c>
      <c r="H110" s="146">
        <v>0</v>
      </c>
      <c r="I110" s="102">
        <v>0</v>
      </c>
      <c r="J110" s="102">
        <f t="shared" ref="J110:J112" si="14">J109+F110-G110-I110</f>
        <v>0</v>
      </c>
      <c r="K110" s="102">
        <f t="shared" si="12"/>
        <v>-156282.26999999999</v>
      </c>
    </row>
    <row r="111" spans="1:11" ht="13" x14ac:dyDescent="0.3">
      <c r="A111" s="96">
        <f t="shared" si="13"/>
        <v>78</v>
      </c>
      <c r="B111" s="132" t="s">
        <v>14</v>
      </c>
      <c r="C111" s="179">
        <v>2020</v>
      </c>
      <c r="D111" s="146">
        <v>0</v>
      </c>
      <c r="E111" s="102">
        <v>0</v>
      </c>
      <c r="F111" s="102">
        <f t="shared" si="10"/>
        <v>0</v>
      </c>
      <c r="G111" s="146">
        <v>0</v>
      </c>
      <c r="H111" s="146">
        <v>0</v>
      </c>
      <c r="I111" s="102">
        <v>0</v>
      </c>
      <c r="J111" s="102">
        <f t="shared" si="14"/>
        <v>0</v>
      </c>
      <c r="K111" s="102">
        <f t="shared" si="12"/>
        <v>-156282.26999999999</v>
      </c>
    </row>
    <row r="112" spans="1:11" ht="13" x14ac:dyDescent="0.3">
      <c r="A112" s="96">
        <f t="shared" si="13"/>
        <v>79</v>
      </c>
      <c r="B112" s="132" t="s">
        <v>6</v>
      </c>
      <c r="C112" s="179">
        <v>2020</v>
      </c>
      <c r="D112" s="146">
        <v>0</v>
      </c>
      <c r="E112" s="102">
        <v>0</v>
      </c>
      <c r="F112" s="102">
        <f t="shared" si="10"/>
        <v>0</v>
      </c>
      <c r="G112" s="146">
        <v>0</v>
      </c>
      <c r="H112" s="146">
        <v>0</v>
      </c>
      <c r="I112" s="102">
        <v>0</v>
      </c>
      <c r="J112" s="102">
        <f t="shared" si="14"/>
        <v>0</v>
      </c>
      <c r="K112" s="108">
        <f t="shared" si="12"/>
        <v>-156282.26999999999</v>
      </c>
    </row>
    <row r="113" spans="1:11" ht="13" x14ac:dyDescent="0.3">
      <c r="A113" s="96">
        <f t="shared" si="13"/>
        <v>80</v>
      </c>
      <c r="C113" s="240" t="s">
        <v>380</v>
      </c>
      <c r="K113" s="241">
        <f>AVERAGE(K100:K112)</f>
        <v>-156282.26999999999</v>
      </c>
    </row>
    <row r="114" spans="1:11" ht="13" x14ac:dyDescent="0.3">
      <c r="A114" s="96"/>
      <c r="C114" s="240"/>
      <c r="K114" s="241"/>
    </row>
    <row r="115" spans="1:11" ht="13" x14ac:dyDescent="0.3">
      <c r="B115" s="242" t="s">
        <v>388</v>
      </c>
      <c r="D115" s="300" t="s">
        <v>389</v>
      </c>
      <c r="E115" s="300"/>
    </row>
    <row r="116" spans="1:11" ht="13" x14ac:dyDescent="0.3">
      <c r="A116" s="100"/>
      <c r="B116" s="100"/>
      <c r="C116" s="100"/>
      <c r="D116" s="100" t="s">
        <v>148</v>
      </c>
      <c r="E116" s="100" t="s">
        <v>149</v>
      </c>
      <c r="F116" s="100" t="s">
        <v>150</v>
      </c>
      <c r="G116" s="100" t="s">
        <v>151</v>
      </c>
      <c r="H116" s="100" t="s">
        <v>329</v>
      </c>
      <c r="I116" s="100" t="s">
        <v>330</v>
      </c>
      <c r="J116" s="100" t="s">
        <v>346</v>
      </c>
      <c r="K116" s="100" t="s">
        <v>347</v>
      </c>
    </row>
    <row r="117" spans="1:11" ht="25.5" x14ac:dyDescent="0.3">
      <c r="D117" s="136"/>
      <c r="E117" s="243" t="s">
        <v>383</v>
      </c>
      <c r="F117" s="128" t="s">
        <v>384</v>
      </c>
      <c r="G117" s="128"/>
      <c r="H117" s="136"/>
      <c r="I117" s="243" t="s">
        <v>385</v>
      </c>
      <c r="J117" s="243" t="s">
        <v>386</v>
      </c>
      <c r="K117" s="243" t="s">
        <v>387</v>
      </c>
    </row>
    <row r="118" spans="1:11" ht="13" x14ac:dyDescent="0.3">
      <c r="D118" s="136"/>
      <c r="E118" s="136"/>
      <c r="F118" s="136"/>
      <c r="G118" s="96" t="str">
        <f>G51</f>
        <v>Unloaded</v>
      </c>
      <c r="H118" s="136"/>
      <c r="I118" s="136"/>
    </row>
    <row r="119" spans="1:11" ht="13" x14ac:dyDescent="0.3">
      <c r="A119" s="96"/>
      <c r="B119" s="96"/>
      <c r="C119" s="96"/>
      <c r="D119" s="96" t="str">
        <f>D$52</f>
        <v>Forecast</v>
      </c>
      <c r="E119" s="96" t="str">
        <f t="shared" ref="E119:J119" si="15">E$52</f>
        <v>Corporate</v>
      </c>
      <c r="F119" s="96" t="str">
        <f t="shared" si="15"/>
        <v xml:space="preserve">Total </v>
      </c>
      <c r="G119" s="96" t="str">
        <f>G52</f>
        <v>Total</v>
      </c>
      <c r="H119" s="96" t="str">
        <f t="shared" si="15"/>
        <v>Prior Period</v>
      </c>
      <c r="I119" s="96" t="str">
        <f t="shared" si="15"/>
        <v>Over Heads</v>
      </c>
      <c r="J119" s="96" t="str">
        <f t="shared" si="15"/>
        <v>Forecast</v>
      </c>
      <c r="K119" s="96" t="str">
        <f>K$52</f>
        <v>Forecast Period</v>
      </c>
    </row>
    <row r="120" spans="1:11" ht="13" x14ac:dyDescent="0.3">
      <c r="A120" s="99" t="s">
        <v>336</v>
      </c>
      <c r="B120" s="134" t="s">
        <v>16</v>
      </c>
      <c r="C120" s="134" t="s">
        <v>17</v>
      </c>
      <c r="D120" s="100" t="str">
        <f>D$53</f>
        <v>Expenditures</v>
      </c>
      <c r="E120" s="100" t="str">
        <f t="shared" ref="E120:J120" si="16">E$53</f>
        <v>Overheads</v>
      </c>
      <c r="F120" s="100" t="str">
        <f t="shared" si="16"/>
        <v>CWIP Exp</v>
      </c>
      <c r="G120" s="100" t="str">
        <f>G53</f>
        <v>Plant Adds</v>
      </c>
      <c r="H120" s="100" t="str">
        <f t="shared" si="16"/>
        <v>CWIP Closed</v>
      </c>
      <c r="I120" s="100" t="str">
        <f t="shared" si="16"/>
        <v>Closed to PIS</v>
      </c>
      <c r="J120" s="100" t="str">
        <f t="shared" si="16"/>
        <v>Period CWIP</v>
      </c>
      <c r="K120" s="100" t="str">
        <f>K$53</f>
        <v>Incremental CWIP</v>
      </c>
    </row>
    <row r="121" spans="1:11" ht="13" x14ac:dyDescent="0.3">
      <c r="A121" s="96">
        <f>A113+1</f>
        <v>81</v>
      </c>
      <c r="B121" s="132" t="s">
        <v>6</v>
      </c>
      <c r="C121" s="179">
        <v>2018</v>
      </c>
      <c r="D121" s="128" t="s">
        <v>361</v>
      </c>
      <c r="E121" s="128" t="s">
        <v>361</v>
      </c>
      <c r="F121" s="128" t="s">
        <v>361</v>
      </c>
      <c r="G121" s="128" t="s">
        <v>361</v>
      </c>
      <c r="H121" s="128" t="s">
        <v>361</v>
      </c>
      <c r="I121" s="128" t="s">
        <v>361</v>
      </c>
      <c r="J121" s="102">
        <f>F25</f>
        <v>0</v>
      </c>
      <c r="K121" s="128" t="s">
        <v>361</v>
      </c>
    </row>
    <row r="122" spans="1:11" ht="13" x14ac:dyDescent="0.3">
      <c r="A122" s="96">
        <f>A121+1</f>
        <v>82</v>
      </c>
      <c r="B122" s="132" t="s">
        <v>7</v>
      </c>
      <c r="C122" s="179">
        <v>2019</v>
      </c>
      <c r="D122" s="146">
        <v>0</v>
      </c>
      <c r="E122" s="102">
        <v>0</v>
      </c>
      <c r="F122" s="102">
        <f>E122+D122</f>
        <v>0</v>
      </c>
      <c r="G122" s="146">
        <v>0</v>
      </c>
      <c r="H122" s="146">
        <v>0</v>
      </c>
      <c r="I122" s="102">
        <v>0</v>
      </c>
      <c r="J122" s="102">
        <f>J121+F122-G122-I122</f>
        <v>0</v>
      </c>
      <c r="K122" s="102">
        <f>J122-$J$121</f>
        <v>0</v>
      </c>
    </row>
    <row r="123" spans="1:11" ht="13" x14ac:dyDescent="0.3">
      <c r="A123" s="96">
        <f t="shared" ref="A123:A146" si="17">A122+1</f>
        <v>83</v>
      </c>
      <c r="B123" s="132" t="s">
        <v>8</v>
      </c>
      <c r="C123" s="179">
        <v>2019</v>
      </c>
      <c r="D123" s="146">
        <v>0</v>
      </c>
      <c r="E123" s="102">
        <v>0</v>
      </c>
      <c r="F123" s="102">
        <f t="shared" ref="F123:F145" si="18">E123+D123</f>
        <v>0</v>
      </c>
      <c r="G123" s="146">
        <v>0</v>
      </c>
      <c r="H123" s="146">
        <v>0</v>
      </c>
      <c r="I123" s="102">
        <v>0</v>
      </c>
      <c r="J123" s="102">
        <f t="shared" ref="J123:J145" si="19">J122+F123-G123-I123</f>
        <v>0</v>
      </c>
      <c r="K123" s="102">
        <f t="shared" ref="K123:K145" si="20">J123-$J$121</f>
        <v>0</v>
      </c>
    </row>
    <row r="124" spans="1:11" ht="13" x14ac:dyDescent="0.3">
      <c r="A124" s="96">
        <f t="shared" si="17"/>
        <v>84</v>
      </c>
      <c r="B124" s="132" t="s">
        <v>18</v>
      </c>
      <c r="C124" s="179">
        <v>2019</v>
      </c>
      <c r="D124" s="146">
        <v>0</v>
      </c>
      <c r="E124" s="102">
        <v>0</v>
      </c>
      <c r="F124" s="102">
        <f t="shared" si="18"/>
        <v>0</v>
      </c>
      <c r="G124" s="146">
        <v>0</v>
      </c>
      <c r="H124" s="146">
        <v>0</v>
      </c>
      <c r="I124" s="102">
        <v>0</v>
      </c>
      <c r="J124" s="102">
        <f t="shared" si="19"/>
        <v>0</v>
      </c>
      <c r="K124" s="102">
        <f t="shared" si="20"/>
        <v>0</v>
      </c>
    </row>
    <row r="125" spans="1:11" ht="13" x14ac:dyDescent="0.3">
      <c r="A125" s="96">
        <f t="shared" si="17"/>
        <v>85</v>
      </c>
      <c r="B125" s="132" t="s">
        <v>9</v>
      </c>
      <c r="C125" s="179">
        <v>2019</v>
      </c>
      <c r="D125" s="146">
        <v>0</v>
      </c>
      <c r="E125" s="102">
        <v>0</v>
      </c>
      <c r="F125" s="102">
        <f t="shared" si="18"/>
        <v>0</v>
      </c>
      <c r="G125" s="146">
        <v>0</v>
      </c>
      <c r="H125" s="146">
        <v>0</v>
      </c>
      <c r="I125" s="102">
        <v>0</v>
      </c>
      <c r="J125" s="102">
        <f t="shared" si="19"/>
        <v>0</v>
      </c>
      <c r="K125" s="102">
        <f t="shared" si="20"/>
        <v>0</v>
      </c>
    </row>
    <row r="126" spans="1:11" ht="13" x14ac:dyDescent="0.3">
      <c r="A126" s="96">
        <f t="shared" si="17"/>
        <v>86</v>
      </c>
      <c r="B126" s="132" t="s">
        <v>10</v>
      </c>
      <c r="C126" s="179">
        <v>2019</v>
      </c>
      <c r="D126" s="146">
        <v>0</v>
      </c>
      <c r="E126" s="102">
        <v>0</v>
      </c>
      <c r="F126" s="102">
        <f t="shared" si="18"/>
        <v>0</v>
      </c>
      <c r="G126" s="146">
        <v>0</v>
      </c>
      <c r="H126" s="146">
        <v>0</v>
      </c>
      <c r="I126" s="102">
        <v>0</v>
      </c>
      <c r="J126" s="102">
        <f t="shared" si="19"/>
        <v>0</v>
      </c>
      <c r="K126" s="102">
        <f t="shared" si="20"/>
        <v>0</v>
      </c>
    </row>
    <row r="127" spans="1:11" ht="13" x14ac:dyDescent="0.3">
      <c r="A127" s="96">
        <f t="shared" si="17"/>
        <v>87</v>
      </c>
      <c r="B127" s="132" t="s">
        <v>25</v>
      </c>
      <c r="C127" s="179">
        <v>2019</v>
      </c>
      <c r="D127" s="146">
        <v>0</v>
      </c>
      <c r="E127" s="102">
        <v>0</v>
      </c>
      <c r="F127" s="102">
        <f t="shared" si="18"/>
        <v>0</v>
      </c>
      <c r="G127" s="146">
        <v>0</v>
      </c>
      <c r="H127" s="146">
        <v>0</v>
      </c>
      <c r="I127" s="102">
        <v>0</v>
      </c>
      <c r="J127" s="102">
        <f t="shared" si="19"/>
        <v>0</v>
      </c>
      <c r="K127" s="102">
        <f t="shared" si="20"/>
        <v>0</v>
      </c>
    </row>
    <row r="128" spans="1:11" ht="13" x14ac:dyDescent="0.3">
      <c r="A128" s="96">
        <f t="shared" si="17"/>
        <v>88</v>
      </c>
      <c r="B128" s="132" t="s">
        <v>11</v>
      </c>
      <c r="C128" s="179">
        <v>2019</v>
      </c>
      <c r="D128" s="146">
        <v>0</v>
      </c>
      <c r="E128" s="102">
        <v>0</v>
      </c>
      <c r="F128" s="102">
        <f t="shared" si="18"/>
        <v>0</v>
      </c>
      <c r="G128" s="146">
        <v>0</v>
      </c>
      <c r="H128" s="146">
        <v>0</v>
      </c>
      <c r="I128" s="102">
        <v>0</v>
      </c>
      <c r="J128" s="102">
        <f t="shared" si="19"/>
        <v>0</v>
      </c>
      <c r="K128" s="102">
        <f t="shared" si="20"/>
        <v>0</v>
      </c>
    </row>
    <row r="129" spans="1:11" ht="13" x14ac:dyDescent="0.3">
      <c r="A129" s="96">
        <f t="shared" si="17"/>
        <v>89</v>
      </c>
      <c r="B129" s="132" t="s">
        <v>12</v>
      </c>
      <c r="C129" s="179">
        <v>2019</v>
      </c>
      <c r="D129" s="146">
        <v>0</v>
      </c>
      <c r="E129" s="102">
        <v>0</v>
      </c>
      <c r="F129" s="102">
        <f t="shared" si="18"/>
        <v>0</v>
      </c>
      <c r="G129" s="146">
        <v>0</v>
      </c>
      <c r="H129" s="146">
        <v>0</v>
      </c>
      <c r="I129" s="102">
        <v>0</v>
      </c>
      <c r="J129" s="102">
        <f t="shared" si="19"/>
        <v>0</v>
      </c>
      <c r="K129" s="102">
        <f t="shared" si="20"/>
        <v>0</v>
      </c>
    </row>
    <row r="130" spans="1:11" ht="13" x14ac:dyDescent="0.3">
      <c r="A130" s="96">
        <f t="shared" si="17"/>
        <v>90</v>
      </c>
      <c r="B130" s="132" t="s">
        <v>13</v>
      </c>
      <c r="C130" s="179">
        <v>2019</v>
      </c>
      <c r="D130" s="146">
        <v>0</v>
      </c>
      <c r="E130" s="102">
        <v>0</v>
      </c>
      <c r="F130" s="102">
        <f t="shared" si="18"/>
        <v>0</v>
      </c>
      <c r="G130" s="146">
        <v>0</v>
      </c>
      <c r="H130" s="146">
        <v>0</v>
      </c>
      <c r="I130" s="102">
        <v>0</v>
      </c>
      <c r="J130" s="102">
        <f t="shared" si="19"/>
        <v>0</v>
      </c>
      <c r="K130" s="102">
        <f t="shared" si="20"/>
        <v>0</v>
      </c>
    </row>
    <row r="131" spans="1:11" ht="13" x14ac:dyDescent="0.3">
      <c r="A131" s="96">
        <f t="shared" si="17"/>
        <v>91</v>
      </c>
      <c r="B131" s="132" t="s">
        <v>15</v>
      </c>
      <c r="C131" s="179">
        <v>2019</v>
      </c>
      <c r="D131" s="146">
        <v>0</v>
      </c>
      <c r="E131" s="102">
        <v>0</v>
      </c>
      <c r="F131" s="102">
        <f t="shared" si="18"/>
        <v>0</v>
      </c>
      <c r="G131" s="146">
        <v>0</v>
      </c>
      <c r="H131" s="146">
        <v>0</v>
      </c>
      <c r="I131" s="102">
        <v>0</v>
      </c>
      <c r="J131" s="102">
        <f t="shared" si="19"/>
        <v>0</v>
      </c>
      <c r="K131" s="102">
        <f t="shared" si="20"/>
        <v>0</v>
      </c>
    </row>
    <row r="132" spans="1:11" ht="13" x14ac:dyDescent="0.3">
      <c r="A132" s="96">
        <f t="shared" si="17"/>
        <v>92</v>
      </c>
      <c r="B132" s="132" t="s">
        <v>14</v>
      </c>
      <c r="C132" s="179">
        <v>2019</v>
      </c>
      <c r="D132" s="146">
        <v>0</v>
      </c>
      <c r="E132" s="102">
        <v>0</v>
      </c>
      <c r="F132" s="102">
        <f t="shared" si="18"/>
        <v>0</v>
      </c>
      <c r="G132" s="146">
        <v>0</v>
      </c>
      <c r="H132" s="146">
        <v>0</v>
      </c>
      <c r="I132" s="102">
        <v>0</v>
      </c>
      <c r="J132" s="102">
        <f t="shared" si="19"/>
        <v>0</v>
      </c>
      <c r="K132" s="102">
        <f t="shared" si="20"/>
        <v>0</v>
      </c>
    </row>
    <row r="133" spans="1:11" ht="13" x14ac:dyDescent="0.3">
      <c r="A133" s="96">
        <f t="shared" si="17"/>
        <v>93</v>
      </c>
      <c r="B133" s="132" t="s">
        <v>6</v>
      </c>
      <c r="C133" s="179">
        <v>2019</v>
      </c>
      <c r="D133" s="146">
        <v>0</v>
      </c>
      <c r="E133" s="102">
        <v>0</v>
      </c>
      <c r="F133" s="102">
        <f t="shared" si="18"/>
        <v>0</v>
      </c>
      <c r="G133" s="146">
        <v>0</v>
      </c>
      <c r="H133" s="146">
        <v>0</v>
      </c>
      <c r="I133" s="102">
        <v>0</v>
      </c>
      <c r="J133" s="102">
        <f t="shared" si="19"/>
        <v>0</v>
      </c>
      <c r="K133" s="102">
        <f t="shared" si="20"/>
        <v>0</v>
      </c>
    </row>
    <row r="134" spans="1:11" ht="13" x14ac:dyDescent="0.3">
      <c r="A134" s="96">
        <f t="shared" si="17"/>
        <v>94</v>
      </c>
      <c r="B134" s="132" t="s">
        <v>7</v>
      </c>
      <c r="C134" s="179">
        <v>2020</v>
      </c>
      <c r="D134" s="146">
        <v>0</v>
      </c>
      <c r="E134" s="102">
        <v>0</v>
      </c>
      <c r="F134" s="102">
        <f t="shared" si="18"/>
        <v>0</v>
      </c>
      <c r="G134" s="146">
        <v>0</v>
      </c>
      <c r="H134" s="146">
        <v>0</v>
      </c>
      <c r="I134" s="102">
        <v>0</v>
      </c>
      <c r="J134" s="102">
        <f t="shared" si="19"/>
        <v>0</v>
      </c>
      <c r="K134" s="102">
        <f t="shared" si="20"/>
        <v>0</v>
      </c>
    </row>
    <row r="135" spans="1:11" ht="13" x14ac:dyDescent="0.3">
      <c r="A135" s="96">
        <f t="shared" si="17"/>
        <v>95</v>
      </c>
      <c r="B135" s="132" t="s">
        <v>8</v>
      </c>
      <c r="C135" s="179">
        <v>2020</v>
      </c>
      <c r="D135" s="146">
        <v>0</v>
      </c>
      <c r="E135" s="102">
        <v>0</v>
      </c>
      <c r="F135" s="102">
        <f t="shared" si="18"/>
        <v>0</v>
      </c>
      <c r="G135" s="146">
        <v>0</v>
      </c>
      <c r="H135" s="146">
        <v>0</v>
      </c>
      <c r="I135" s="102">
        <v>0</v>
      </c>
      <c r="J135" s="102">
        <f t="shared" si="19"/>
        <v>0</v>
      </c>
      <c r="K135" s="102">
        <f t="shared" si="20"/>
        <v>0</v>
      </c>
    </row>
    <row r="136" spans="1:11" ht="13" x14ac:dyDescent="0.3">
      <c r="A136" s="96">
        <f t="shared" si="17"/>
        <v>96</v>
      </c>
      <c r="B136" s="132" t="s">
        <v>18</v>
      </c>
      <c r="C136" s="179">
        <v>2020</v>
      </c>
      <c r="D136" s="146">
        <v>0</v>
      </c>
      <c r="E136" s="102">
        <v>0</v>
      </c>
      <c r="F136" s="102">
        <f t="shared" si="18"/>
        <v>0</v>
      </c>
      <c r="G136" s="146">
        <v>0</v>
      </c>
      <c r="H136" s="146">
        <v>0</v>
      </c>
      <c r="I136" s="102">
        <v>0</v>
      </c>
      <c r="J136" s="102">
        <f t="shared" si="19"/>
        <v>0</v>
      </c>
      <c r="K136" s="102">
        <f t="shared" si="20"/>
        <v>0</v>
      </c>
    </row>
    <row r="137" spans="1:11" ht="13" x14ac:dyDescent="0.3">
      <c r="A137" s="96">
        <f t="shared" si="17"/>
        <v>97</v>
      </c>
      <c r="B137" s="132" t="s">
        <v>9</v>
      </c>
      <c r="C137" s="179">
        <v>2020</v>
      </c>
      <c r="D137" s="146">
        <v>0</v>
      </c>
      <c r="E137" s="102">
        <v>0</v>
      </c>
      <c r="F137" s="102">
        <f t="shared" si="18"/>
        <v>0</v>
      </c>
      <c r="G137" s="146">
        <v>0</v>
      </c>
      <c r="H137" s="146">
        <v>0</v>
      </c>
      <c r="I137" s="102">
        <v>0</v>
      </c>
      <c r="J137" s="102">
        <f t="shared" si="19"/>
        <v>0</v>
      </c>
      <c r="K137" s="102">
        <f t="shared" si="20"/>
        <v>0</v>
      </c>
    </row>
    <row r="138" spans="1:11" ht="13" x14ac:dyDescent="0.3">
      <c r="A138" s="96">
        <f t="shared" si="17"/>
        <v>98</v>
      </c>
      <c r="B138" s="132" t="s">
        <v>10</v>
      </c>
      <c r="C138" s="179">
        <v>2020</v>
      </c>
      <c r="D138" s="146">
        <v>0</v>
      </c>
      <c r="E138" s="102">
        <v>0</v>
      </c>
      <c r="F138" s="102">
        <f t="shared" si="18"/>
        <v>0</v>
      </c>
      <c r="G138" s="146">
        <v>0</v>
      </c>
      <c r="H138" s="146">
        <v>0</v>
      </c>
      <c r="I138" s="102">
        <v>0</v>
      </c>
      <c r="J138" s="102">
        <f t="shared" si="19"/>
        <v>0</v>
      </c>
      <c r="K138" s="102">
        <f t="shared" si="20"/>
        <v>0</v>
      </c>
    </row>
    <row r="139" spans="1:11" ht="13" x14ac:dyDescent="0.3">
      <c r="A139" s="96">
        <f t="shared" si="17"/>
        <v>99</v>
      </c>
      <c r="B139" s="132" t="s">
        <v>25</v>
      </c>
      <c r="C139" s="179">
        <v>2020</v>
      </c>
      <c r="D139" s="146">
        <v>0</v>
      </c>
      <c r="E139" s="102">
        <v>0</v>
      </c>
      <c r="F139" s="102">
        <f t="shared" si="18"/>
        <v>0</v>
      </c>
      <c r="G139" s="146">
        <v>0</v>
      </c>
      <c r="H139" s="146">
        <v>0</v>
      </c>
      <c r="I139" s="102">
        <v>0</v>
      </c>
      <c r="J139" s="102">
        <f t="shared" si="19"/>
        <v>0</v>
      </c>
      <c r="K139" s="102">
        <f t="shared" si="20"/>
        <v>0</v>
      </c>
    </row>
    <row r="140" spans="1:11" ht="13" x14ac:dyDescent="0.3">
      <c r="A140" s="96">
        <f t="shared" si="17"/>
        <v>100</v>
      </c>
      <c r="B140" s="132" t="s">
        <v>11</v>
      </c>
      <c r="C140" s="179">
        <v>2020</v>
      </c>
      <c r="D140" s="146">
        <v>0</v>
      </c>
      <c r="E140" s="102">
        <v>0</v>
      </c>
      <c r="F140" s="102">
        <f t="shared" si="18"/>
        <v>0</v>
      </c>
      <c r="G140" s="146">
        <v>0</v>
      </c>
      <c r="H140" s="146">
        <v>0</v>
      </c>
      <c r="I140" s="102">
        <v>0</v>
      </c>
      <c r="J140" s="102">
        <f t="shared" si="19"/>
        <v>0</v>
      </c>
      <c r="K140" s="102">
        <f t="shared" si="20"/>
        <v>0</v>
      </c>
    </row>
    <row r="141" spans="1:11" ht="13" x14ac:dyDescent="0.3">
      <c r="A141" s="96">
        <f t="shared" si="17"/>
        <v>101</v>
      </c>
      <c r="B141" s="132" t="s">
        <v>12</v>
      </c>
      <c r="C141" s="179">
        <v>2020</v>
      </c>
      <c r="D141" s="146">
        <v>0</v>
      </c>
      <c r="E141" s="102">
        <v>0</v>
      </c>
      <c r="F141" s="102">
        <f t="shared" si="18"/>
        <v>0</v>
      </c>
      <c r="G141" s="146">
        <v>0</v>
      </c>
      <c r="H141" s="146">
        <v>0</v>
      </c>
      <c r="I141" s="102">
        <v>0</v>
      </c>
      <c r="J141" s="102">
        <f t="shared" si="19"/>
        <v>0</v>
      </c>
      <c r="K141" s="102">
        <f t="shared" si="20"/>
        <v>0</v>
      </c>
    </row>
    <row r="142" spans="1:11" ht="13" x14ac:dyDescent="0.3">
      <c r="A142" s="96">
        <f t="shared" si="17"/>
        <v>102</v>
      </c>
      <c r="B142" s="132" t="s">
        <v>13</v>
      </c>
      <c r="C142" s="179">
        <v>2020</v>
      </c>
      <c r="D142" s="146">
        <v>0</v>
      </c>
      <c r="E142" s="102">
        <v>0</v>
      </c>
      <c r="F142" s="102">
        <f t="shared" si="18"/>
        <v>0</v>
      </c>
      <c r="G142" s="146">
        <v>0</v>
      </c>
      <c r="H142" s="146">
        <v>0</v>
      </c>
      <c r="I142" s="102">
        <v>0</v>
      </c>
      <c r="J142" s="102">
        <f t="shared" si="19"/>
        <v>0</v>
      </c>
      <c r="K142" s="102">
        <f t="shared" si="20"/>
        <v>0</v>
      </c>
    </row>
    <row r="143" spans="1:11" ht="13" x14ac:dyDescent="0.3">
      <c r="A143" s="96">
        <f t="shared" si="17"/>
        <v>103</v>
      </c>
      <c r="B143" s="132" t="s">
        <v>15</v>
      </c>
      <c r="C143" s="179">
        <v>2020</v>
      </c>
      <c r="D143" s="146">
        <v>0</v>
      </c>
      <c r="E143" s="102">
        <v>0</v>
      </c>
      <c r="F143" s="102">
        <f t="shared" si="18"/>
        <v>0</v>
      </c>
      <c r="G143" s="146">
        <v>0</v>
      </c>
      <c r="H143" s="146">
        <v>0</v>
      </c>
      <c r="I143" s="102">
        <v>0</v>
      </c>
      <c r="J143" s="102">
        <f t="shared" si="19"/>
        <v>0</v>
      </c>
      <c r="K143" s="102">
        <f t="shared" si="20"/>
        <v>0</v>
      </c>
    </row>
    <row r="144" spans="1:11" ht="13" x14ac:dyDescent="0.3">
      <c r="A144" s="96">
        <f t="shared" si="17"/>
        <v>104</v>
      </c>
      <c r="B144" s="132" t="s">
        <v>14</v>
      </c>
      <c r="C144" s="179">
        <v>2020</v>
      </c>
      <c r="D144" s="146">
        <v>0</v>
      </c>
      <c r="E144" s="102">
        <v>0</v>
      </c>
      <c r="F144" s="102">
        <f t="shared" si="18"/>
        <v>0</v>
      </c>
      <c r="G144" s="146">
        <v>0</v>
      </c>
      <c r="H144" s="146">
        <v>0</v>
      </c>
      <c r="I144" s="102">
        <v>0</v>
      </c>
      <c r="J144" s="102">
        <f t="shared" si="19"/>
        <v>0</v>
      </c>
      <c r="K144" s="102">
        <f t="shared" si="20"/>
        <v>0</v>
      </c>
    </row>
    <row r="145" spans="1:11" ht="13" x14ac:dyDescent="0.3">
      <c r="A145" s="96">
        <f t="shared" si="17"/>
        <v>105</v>
      </c>
      <c r="B145" s="132" t="s">
        <v>6</v>
      </c>
      <c r="C145" s="179">
        <v>2020</v>
      </c>
      <c r="D145" s="146">
        <v>0</v>
      </c>
      <c r="E145" s="102">
        <v>0</v>
      </c>
      <c r="F145" s="102">
        <f t="shared" si="18"/>
        <v>0</v>
      </c>
      <c r="G145" s="146">
        <v>0</v>
      </c>
      <c r="H145" s="146">
        <v>0</v>
      </c>
      <c r="I145" s="102">
        <v>0</v>
      </c>
      <c r="J145" s="102">
        <f t="shared" si="19"/>
        <v>0</v>
      </c>
      <c r="K145" s="108">
        <f t="shared" si="20"/>
        <v>0</v>
      </c>
    </row>
    <row r="146" spans="1:11" ht="13" x14ac:dyDescent="0.3">
      <c r="A146" s="96">
        <f t="shared" si="17"/>
        <v>106</v>
      </c>
      <c r="C146" s="240" t="s">
        <v>380</v>
      </c>
      <c r="K146" s="241">
        <f>AVERAGE(K133:K145)</f>
        <v>0</v>
      </c>
    </row>
    <row r="147" spans="1:11" ht="13" x14ac:dyDescent="0.3">
      <c r="A147" s="96"/>
      <c r="C147" s="240"/>
      <c r="K147" s="241"/>
    </row>
    <row r="148" spans="1:11" ht="13" x14ac:dyDescent="0.3">
      <c r="B148" s="242" t="s">
        <v>390</v>
      </c>
      <c r="D148" s="300" t="s">
        <v>391</v>
      </c>
      <c r="E148" s="300"/>
    </row>
    <row r="149" spans="1:11" ht="13" x14ac:dyDescent="0.3">
      <c r="D149" s="136"/>
      <c r="E149" s="136"/>
      <c r="F149" s="136"/>
      <c r="G149" s="96" t="str">
        <f>G51</f>
        <v>Unloaded</v>
      </c>
      <c r="H149" s="136"/>
      <c r="I149" s="136"/>
    </row>
    <row r="150" spans="1:11" ht="13" x14ac:dyDescent="0.3">
      <c r="A150" s="96"/>
      <c r="B150" s="96"/>
      <c r="C150" s="96"/>
      <c r="D150" s="96" t="str">
        <f>D$52</f>
        <v>Forecast</v>
      </c>
      <c r="E150" s="96" t="str">
        <f t="shared" ref="E150:J150" si="21">E$52</f>
        <v>Corporate</v>
      </c>
      <c r="F150" s="96" t="str">
        <f t="shared" si="21"/>
        <v xml:space="preserve">Total </v>
      </c>
      <c r="G150" s="96" t="str">
        <f>G52</f>
        <v>Total</v>
      </c>
      <c r="H150" s="96" t="str">
        <f t="shared" si="21"/>
        <v>Prior Period</v>
      </c>
      <c r="I150" s="96" t="str">
        <f t="shared" si="21"/>
        <v>Over Heads</v>
      </c>
      <c r="J150" s="96" t="str">
        <f t="shared" si="21"/>
        <v>Forecast</v>
      </c>
      <c r="K150" s="96" t="str">
        <f>K$52</f>
        <v>Forecast Period</v>
      </c>
    </row>
    <row r="151" spans="1:11" ht="13" x14ac:dyDescent="0.3">
      <c r="A151" s="99" t="s">
        <v>336</v>
      </c>
      <c r="B151" s="134" t="s">
        <v>16</v>
      </c>
      <c r="C151" s="134" t="s">
        <v>17</v>
      </c>
      <c r="D151" s="100" t="str">
        <f>D$53</f>
        <v>Expenditures</v>
      </c>
      <c r="E151" s="100" t="str">
        <f t="shared" ref="E151:J151" si="22">E$53</f>
        <v>Overheads</v>
      </c>
      <c r="F151" s="100" t="str">
        <f t="shared" si="22"/>
        <v>CWIP Exp</v>
      </c>
      <c r="G151" s="100" t="str">
        <f>G53</f>
        <v>Plant Adds</v>
      </c>
      <c r="H151" s="100" t="str">
        <f t="shared" si="22"/>
        <v>CWIP Closed</v>
      </c>
      <c r="I151" s="100" t="str">
        <f t="shared" si="22"/>
        <v>Closed to PIS</v>
      </c>
      <c r="J151" s="100" t="str">
        <f t="shared" si="22"/>
        <v>Period CWIP</v>
      </c>
      <c r="K151" s="100" t="str">
        <f>K$53</f>
        <v>Incremental CWIP</v>
      </c>
    </row>
    <row r="152" spans="1:11" ht="13" x14ac:dyDescent="0.3">
      <c r="A152" s="96">
        <f>A146+1</f>
        <v>107</v>
      </c>
      <c r="B152" s="132" t="s">
        <v>6</v>
      </c>
      <c r="C152" s="179">
        <v>2018</v>
      </c>
      <c r="D152" s="128" t="s">
        <v>361</v>
      </c>
      <c r="E152" s="128" t="s">
        <v>361</v>
      </c>
      <c r="F152" s="128" t="s">
        <v>361</v>
      </c>
      <c r="G152" s="128" t="s">
        <v>361</v>
      </c>
      <c r="H152" s="128" t="s">
        <v>361</v>
      </c>
      <c r="I152" s="128" t="s">
        <v>361</v>
      </c>
      <c r="J152" s="102">
        <f>G25</f>
        <v>5220451.6500000004</v>
      </c>
      <c r="K152" s="128" t="s">
        <v>361</v>
      </c>
    </row>
    <row r="153" spans="1:11" ht="13" x14ac:dyDescent="0.3">
      <c r="A153" s="96">
        <f>A152+1</f>
        <v>108</v>
      </c>
      <c r="B153" s="132" t="s">
        <v>7</v>
      </c>
      <c r="C153" s="179">
        <v>2019</v>
      </c>
      <c r="D153" s="146">
        <v>24432</v>
      </c>
      <c r="E153" s="102">
        <v>1832.3999999999999</v>
      </c>
      <c r="F153" s="102">
        <f>E153+D153</f>
        <v>26264.400000000001</v>
      </c>
      <c r="G153" s="146">
        <v>0</v>
      </c>
      <c r="H153" s="146">
        <v>0</v>
      </c>
      <c r="I153" s="102">
        <v>0</v>
      </c>
      <c r="J153" s="102">
        <f>J152+F153-G153-I153</f>
        <v>5246716.0500000007</v>
      </c>
      <c r="K153" s="102">
        <f>J153-$J$152</f>
        <v>26264.400000000373</v>
      </c>
    </row>
    <row r="154" spans="1:11" ht="13" x14ac:dyDescent="0.3">
      <c r="A154" s="96">
        <f t="shared" ref="A154:A177" si="23">A153+1</f>
        <v>109</v>
      </c>
      <c r="B154" s="132" t="s">
        <v>8</v>
      </c>
      <c r="C154" s="179">
        <v>2019</v>
      </c>
      <c r="D154" s="146">
        <v>26402</v>
      </c>
      <c r="E154" s="102">
        <v>1980.1499999999999</v>
      </c>
      <c r="F154" s="102">
        <f t="shared" ref="F154:F176" si="24">E154+D154</f>
        <v>28382.15</v>
      </c>
      <c r="G154" s="146">
        <v>0</v>
      </c>
      <c r="H154" s="146">
        <v>0</v>
      </c>
      <c r="I154" s="102">
        <v>0</v>
      </c>
      <c r="J154" s="102">
        <f t="shared" ref="J154:J176" si="25">J153+F154-G154-I154</f>
        <v>5275098.2000000011</v>
      </c>
      <c r="K154" s="102">
        <f t="shared" ref="K154:K176" si="26">J154-$J$152</f>
        <v>54646.550000000745</v>
      </c>
    </row>
    <row r="155" spans="1:11" ht="13" x14ac:dyDescent="0.3">
      <c r="A155" s="96">
        <f t="shared" si="23"/>
        <v>110</v>
      </c>
      <c r="B155" s="132" t="s">
        <v>18</v>
      </c>
      <c r="C155" s="179">
        <v>2019</v>
      </c>
      <c r="D155" s="146">
        <v>16244</v>
      </c>
      <c r="E155" s="102">
        <v>1218.3</v>
      </c>
      <c r="F155" s="102">
        <f t="shared" si="24"/>
        <v>17462.3</v>
      </c>
      <c r="G155" s="146">
        <v>0</v>
      </c>
      <c r="H155" s="146">
        <v>0</v>
      </c>
      <c r="I155" s="102">
        <v>0</v>
      </c>
      <c r="J155" s="102">
        <f t="shared" si="25"/>
        <v>5292560.5000000009</v>
      </c>
      <c r="K155" s="102">
        <f t="shared" si="26"/>
        <v>72108.850000000559</v>
      </c>
    </row>
    <row r="156" spans="1:11" ht="13" x14ac:dyDescent="0.3">
      <c r="A156" s="96">
        <f t="shared" si="23"/>
        <v>111</v>
      </c>
      <c r="B156" s="132" t="s">
        <v>9</v>
      </c>
      <c r="C156" s="179">
        <v>2019</v>
      </c>
      <c r="D156" s="146">
        <v>25000</v>
      </c>
      <c r="E156" s="102">
        <v>1875</v>
      </c>
      <c r="F156" s="102">
        <f t="shared" si="24"/>
        <v>26875</v>
      </c>
      <c r="G156" s="146">
        <v>0</v>
      </c>
      <c r="H156" s="146">
        <v>0</v>
      </c>
      <c r="I156" s="102">
        <v>0</v>
      </c>
      <c r="J156" s="102">
        <f t="shared" si="25"/>
        <v>5319435.5000000009</v>
      </c>
      <c r="K156" s="102">
        <f t="shared" si="26"/>
        <v>98983.850000000559</v>
      </c>
    </row>
    <row r="157" spans="1:11" ht="13" x14ac:dyDescent="0.3">
      <c r="A157" s="96">
        <f t="shared" si="23"/>
        <v>112</v>
      </c>
      <c r="B157" s="132" t="s">
        <v>10</v>
      </c>
      <c r="C157" s="179">
        <v>2019</v>
      </c>
      <c r="D157" s="146">
        <v>25000</v>
      </c>
      <c r="E157" s="102">
        <v>1875</v>
      </c>
      <c r="F157" s="102">
        <f t="shared" si="24"/>
        <v>26875</v>
      </c>
      <c r="G157" s="146">
        <v>0</v>
      </c>
      <c r="H157" s="146">
        <v>0</v>
      </c>
      <c r="I157" s="102">
        <v>0</v>
      </c>
      <c r="J157" s="102">
        <f t="shared" si="25"/>
        <v>5346310.5000000009</v>
      </c>
      <c r="K157" s="102">
        <f t="shared" si="26"/>
        <v>125858.85000000056</v>
      </c>
    </row>
    <row r="158" spans="1:11" ht="13" x14ac:dyDescent="0.3">
      <c r="A158" s="96">
        <f t="shared" si="23"/>
        <v>113</v>
      </c>
      <c r="B158" s="132" t="s">
        <v>25</v>
      </c>
      <c r="C158" s="179">
        <v>2019</v>
      </c>
      <c r="D158" s="146">
        <v>25000</v>
      </c>
      <c r="E158" s="102">
        <v>1875</v>
      </c>
      <c r="F158" s="102">
        <f t="shared" si="24"/>
        <v>26875</v>
      </c>
      <c r="G158" s="146">
        <v>0</v>
      </c>
      <c r="H158" s="146">
        <v>0</v>
      </c>
      <c r="I158" s="102">
        <v>0</v>
      </c>
      <c r="J158" s="102">
        <f t="shared" si="25"/>
        <v>5373185.5000000009</v>
      </c>
      <c r="K158" s="102">
        <f t="shared" si="26"/>
        <v>152733.85000000056</v>
      </c>
    </row>
    <row r="159" spans="1:11" ht="13" x14ac:dyDescent="0.3">
      <c r="A159" s="96">
        <f t="shared" si="23"/>
        <v>114</v>
      </c>
      <c r="B159" s="132" t="s">
        <v>11</v>
      </c>
      <c r="C159" s="179">
        <v>2019</v>
      </c>
      <c r="D159" s="146">
        <v>25000</v>
      </c>
      <c r="E159" s="102">
        <v>1875</v>
      </c>
      <c r="F159" s="102">
        <f t="shared" si="24"/>
        <v>26875</v>
      </c>
      <c r="G159" s="146">
        <v>0</v>
      </c>
      <c r="H159" s="146">
        <v>0</v>
      </c>
      <c r="I159" s="102">
        <v>0</v>
      </c>
      <c r="J159" s="102">
        <f t="shared" si="25"/>
        <v>5400060.5000000009</v>
      </c>
      <c r="K159" s="102">
        <f t="shared" si="26"/>
        <v>179608.85000000056</v>
      </c>
    </row>
    <row r="160" spans="1:11" ht="13" x14ac:dyDescent="0.3">
      <c r="A160" s="96">
        <f t="shared" si="23"/>
        <v>115</v>
      </c>
      <c r="B160" s="132" t="s">
        <v>12</v>
      </c>
      <c r="C160" s="179">
        <v>2019</v>
      </c>
      <c r="D160" s="146">
        <v>25000</v>
      </c>
      <c r="E160" s="102">
        <v>1875</v>
      </c>
      <c r="F160" s="102">
        <f t="shared" si="24"/>
        <v>26875</v>
      </c>
      <c r="G160" s="146">
        <v>0</v>
      </c>
      <c r="H160" s="146">
        <v>0</v>
      </c>
      <c r="I160" s="102">
        <v>0</v>
      </c>
      <c r="J160" s="102">
        <f t="shared" si="25"/>
        <v>5426935.5000000009</v>
      </c>
      <c r="K160" s="102">
        <f t="shared" si="26"/>
        <v>206483.85000000056</v>
      </c>
    </row>
    <row r="161" spans="1:11" ht="13" x14ac:dyDescent="0.3">
      <c r="A161" s="96">
        <f t="shared" si="23"/>
        <v>116</v>
      </c>
      <c r="B161" s="132" t="s">
        <v>13</v>
      </c>
      <c r="C161" s="179">
        <v>2019</v>
      </c>
      <c r="D161" s="146">
        <v>25000</v>
      </c>
      <c r="E161" s="102">
        <v>1875</v>
      </c>
      <c r="F161" s="102">
        <f t="shared" si="24"/>
        <v>26875</v>
      </c>
      <c r="G161" s="146">
        <v>0</v>
      </c>
      <c r="H161" s="146">
        <v>0</v>
      </c>
      <c r="I161" s="102">
        <v>0</v>
      </c>
      <c r="J161" s="102">
        <f t="shared" si="25"/>
        <v>5453810.5000000009</v>
      </c>
      <c r="K161" s="102">
        <f t="shared" si="26"/>
        <v>233358.85000000056</v>
      </c>
    </row>
    <row r="162" spans="1:11" ht="13" x14ac:dyDescent="0.3">
      <c r="A162" s="96">
        <f t="shared" si="23"/>
        <v>117</v>
      </c>
      <c r="B162" s="132" t="s">
        <v>15</v>
      </c>
      <c r="C162" s="179">
        <v>2019</v>
      </c>
      <c r="D162" s="146">
        <v>25000</v>
      </c>
      <c r="E162" s="102">
        <v>1875</v>
      </c>
      <c r="F162" s="102">
        <f t="shared" si="24"/>
        <v>26875</v>
      </c>
      <c r="G162" s="146">
        <v>0</v>
      </c>
      <c r="H162" s="146">
        <v>0</v>
      </c>
      <c r="I162" s="102">
        <v>0</v>
      </c>
      <c r="J162" s="102">
        <f t="shared" si="25"/>
        <v>5480685.5000000009</v>
      </c>
      <c r="K162" s="102">
        <f t="shared" si="26"/>
        <v>260233.85000000056</v>
      </c>
    </row>
    <row r="163" spans="1:11" ht="13" x14ac:dyDescent="0.3">
      <c r="A163" s="96">
        <f t="shared" si="23"/>
        <v>118</v>
      </c>
      <c r="B163" s="132" t="s">
        <v>14</v>
      </c>
      <c r="C163" s="179">
        <v>2019</v>
      </c>
      <c r="D163" s="146">
        <v>25000</v>
      </c>
      <c r="E163" s="102">
        <v>1875</v>
      </c>
      <c r="F163" s="102">
        <f t="shared" si="24"/>
        <v>26875</v>
      </c>
      <c r="G163" s="146">
        <v>0</v>
      </c>
      <c r="H163" s="146">
        <v>0</v>
      </c>
      <c r="I163" s="102">
        <v>0</v>
      </c>
      <c r="J163" s="102">
        <f t="shared" si="25"/>
        <v>5507560.5000000009</v>
      </c>
      <c r="K163" s="102">
        <f t="shared" si="26"/>
        <v>287108.85000000056</v>
      </c>
    </row>
    <row r="164" spans="1:11" ht="13" x14ac:dyDescent="0.3">
      <c r="A164" s="96">
        <f t="shared" si="23"/>
        <v>119</v>
      </c>
      <c r="B164" s="132" t="s">
        <v>6</v>
      </c>
      <c r="C164" s="179">
        <v>2019</v>
      </c>
      <c r="D164" s="146">
        <v>32922</v>
      </c>
      <c r="E164" s="102">
        <v>2469.15</v>
      </c>
      <c r="F164" s="102">
        <f t="shared" si="24"/>
        <v>35391.15</v>
      </c>
      <c r="G164" s="146">
        <v>0</v>
      </c>
      <c r="H164" s="146">
        <v>0</v>
      </c>
      <c r="I164" s="102">
        <v>0</v>
      </c>
      <c r="J164" s="102">
        <f t="shared" si="25"/>
        <v>5542951.6500000013</v>
      </c>
      <c r="K164" s="102">
        <f t="shared" si="26"/>
        <v>322500.00000000093</v>
      </c>
    </row>
    <row r="165" spans="1:11" ht="13" x14ac:dyDescent="0.3">
      <c r="A165" s="96">
        <f t="shared" si="23"/>
        <v>120</v>
      </c>
      <c r="B165" s="132" t="s">
        <v>7</v>
      </c>
      <c r="C165" s="179">
        <v>2020</v>
      </c>
      <c r="D165" s="146">
        <v>0</v>
      </c>
      <c r="E165" s="102">
        <v>0</v>
      </c>
      <c r="F165" s="102">
        <f t="shared" si="24"/>
        <v>0</v>
      </c>
      <c r="G165" s="146">
        <v>0</v>
      </c>
      <c r="H165" s="146">
        <v>0</v>
      </c>
      <c r="I165" s="102">
        <v>0</v>
      </c>
      <c r="J165" s="102">
        <f t="shared" si="25"/>
        <v>5542951.6500000013</v>
      </c>
      <c r="K165" s="102">
        <f t="shared" si="26"/>
        <v>322500.00000000093</v>
      </c>
    </row>
    <row r="166" spans="1:11" ht="13" x14ac:dyDescent="0.3">
      <c r="A166" s="96">
        <f t="shared" si="23"/>
        <v>121</v>
      </c>
      <c r="B166" s="132" t="s">
        <v>8</v>
      </c>
      <c r="C166" s="179">
        <v>2020</v>
      </c>
      <c r="D166" s="146">
        <v>0</v>
      </c>
      <c r="E166" s="102">
        <v>0</v>
      </c>
      <c r="F166" s="102">
        <f t="shared" si="24"/>
        <v>0</v>
      </c>
      <c r="G166" s="146">
        <v>0</v>
      </c>
      <c r="H166" s="146">
        <v>0</v>
      </c>
      <c r="I166" s="102">
        <v>0</v>
      </c>
      <c r="J166" s="102">
        <f t="shared" si="25"/>
        <v>5542951.6500000013</v>
      </c>
      <c r="K166" s="102">
        <f t="shared" si="26"/>
        <v>322500.00000000093</v>
      </c>
    </row>
    <row r="167" spans="1:11" ht="13" x14ac:dyDescent="0.3">
      <c r="A167" s="96">
        <f t="shared" si="23"/>
        <v>122</v>
      </c>
      <c r="B167" s="132" t="s">
        <v>18</v>
      </c>
      <c r="C167" s="179">
        <v>2020</v>
      </c>
      <c r="D167" s="146">
        <v>0</v>
      </c>
      <c r="E167" s="102">
        <v>0</v>
      </c>
      <c r="F167" s="102">
        <f t="shared" si="24"/>
        <v>0</v>
      </c>
      <c r="G167" s="146">
        <v>0</v>
      </c>
      <c r="H167" s="146">
        <v>0</v>
      </c>
      <c r="I167" s="102">
        <v>0</v>
      </c>
      <c r="J167" s="102">
        <f t="shared" si="25"/>
        <v>5542951.6500000013</v>
      </c>
      <c r="K167" s="102">
        <f t="shared" si="26"/>
        <v>322500.00000000093</v>
      </c>
    </row>
    <row r="168" spans="1:11" ht="13" x14ac:dyDescent="0.3">
      <c r="A168" s="96">
        <f t="shared" si="23"/>
        <v>123</v>
      </c>
      <c r="B168" s="132" t="s">
        <v>9</v>
      </c>
      <c r="C168" s="179">
        <v>2020</v>
      </c>
      <c r="D168" s="146">
        <v>0</v>
      </c>
      <c r="E168" s="102">
        <v>0</v>
      </c>
      <c r="F168" s="102">
        <f t="shared" si="24"/>
        <v>0</v>
      </c>
      <c r="G168" s="146">
        <v>0</v>
      </c>
      <c r="H168" s="146">
        <v>0</v>
      </c>
      <c r="I168" s="102">
        <v>0</v>
      </c>
      <c r="J168" s="102">
        <f t="shared" si="25"/>
        <v>5542951.6500000013</v>
      </c>
      <c r="K168" s="102">
        <f t="shared" si="26"/>
        <v>322500.00000000093</v>
      </c>
    </row>
    <row r="169" spans="1:11" ht="13" x14ac:dyDescent="0.3">
      <c r="A169" s="96">
        <f t="shared" si="23"/>
        <v>124</v>
      </c>
      <c r="B169" s="132" t="s">
        <v>10</v>
      </c>
      <c r="C169" s="179">
        <v>2020</v>
      </c>
      <c r="D169" s="146">
        <v>0</v>
      </c>
      <c r="E169" s="102">
        <v>0</v>
      </c>
      <c r="F169" s="102">
        <f t="shared" si="24"/>
        <v>0</v>
      </c>
      <c r="G169" s="146">
        <v>0</v>
      </c>
      <c r="H169" s="146">
        <v>0</v>
      </c>
      <c r="I169" s="102">
        <v>0</v>
      </c>
      <c r="J169" s="102">
        <f t="shared" si="25"/>
        <v>5542951.6500000013</v>
      </c>
      <c r="K169" s="102">
        <f t="shared" si="26"/>
        <v>322500.00000000093</v>
      </c>
    </row>
    <row r="170" spans="1:11" ht="13" x14ac:dyDescent="0.3">
      <c r="A170" s="96">
        <f t="shared" si="23"/>
        <v>125</v>
      </c>
      <c r="B170" s="132" t="s">
        <v>25</v>
      </c>
      <c r="C170" s="179">
        <v>2020</v>
      </c>
      <c r="D170" s="146">
        <v>0</v>
      </c>
      <c r="E170" s="102">
        <v>0</v>
      </c>
      <c r="F170" s="102">
        <f t="shared" si="24"/>
        <v>0</v>
      </c>
      <c r="G170" s="146">
        <v>0</v>
      </c>
      <c r="H170" s="146">
        <v>0</v>
      </c>
      <c r="I170" s="102">
        <v>0</v>
      </c>
      <c r="J170" s="102">
        <f t="shared" si="25"/>
        <v>5542951.6500000013</v>
      </c>
      <c r="K170" s="102">
        <f t="shared" si="26"/>
        <v>322500.00000000093</v>
      </c>
    </row>
    <row r="171" spans="1:11" ht="13" x14ac:dyDescent="0.3">
      <c r="A171" s="96">
        <f t="shared" si="23"/>
        <v>126</v>
      </c>
      <c r="B171" s="132" t="s">
        <v>11</v>
      </c>
      <c r="C171" s="179">
        <v>2020</v>
      </c>
      <c r="D171" s="146">
        <v>0</v>
      </c>
      <c r="E171" s="102">
        <v>0</v>
      </c>
      <c r="F171" s="102">
        <f t="shared" si="24"/>
        <v>0</v>
      </c>
      <c r="G171" s="146">
        <v>0</v>
      </c>
      <c r="H171" s="146">
        <v>0</v>
      </c>
      <c r="I171" s="102">
        <v>0</v>
      </c>
      <c r="J171" s="102">
        <f t="shared" si="25"/>
        <v>5542951.6500000013</v>
      </c>
      <c r="K171" s="102">
        <f t="shared" si="26"/>
        <v>322500.00000000093</v>
      </c>
    </row>
    <row r="172" spans="1:11" ht="13" x14ac:dyDescent="0.3">
      <c r="A172" s="96">
        <f t="shared" si="23"/>
        <v>127</v>
      </c>
      <c r="B172" s="132" t="s">
        <v>12</v>
      </c>
      <c r="C172" s="179">
        <v>2020</v>
      </c>
      <c r="D172" s="146">
        <v>0</v>
      </c>
      <c r="E172" s="102">
        <v>0</v>
      </c>
      <c r="F172" s="102">
        <f t="shared" si="24"/>
        <v>0</v>
      </c>
      <c r="G172" s="146">
        <v>0</v>
      </c>
      <c r="H172" s="146">
        <v>0</v>
      </c>
      <c r="I172" s="102">
        <v>0</v>
      </c>
      <c r="J172" s="102">
        <f t="shared" si="25"/>
        <v>5542951.6500000013</v>
      </c>
      <c r="K172" s="102">
        <f t="shared" si="26"/>
        <v>322500.00000000093</v>
      </c>
    </row>
    <row r="173" spans="1:11" ht="13" x14ac:dyDescent="0.3">
      <c r="A173" s="96">
        <f t="shared" si="23"/>
        <v>128</v>
      </c>
      <c r="B173" s="132" t="s">
        <v>13</v>
      </c>
      <c r="C173" s="179">
        <v>2020</v>
      </c>
      <c r="D173" s="146">
        <v>600000</v>
      </c>
      <c r="E173" s="102">
        <v>45000</v>
      </c>
      <c r="F173" s="102">
        <f t="shared" si="24"/>
        <v>645000</v>
      </c>
      <c r="G173" s="146">
        <v>0</v>
      </c>
      <c r="H173" s="146">
        <v>0</v>
      </c>
      <c r="I173" s="102">
        <v>0</v>
      </c>
      <c r="J173" s="102">
        <f t="shared" si="25"/>
        <v>6187951.6500000013</v>
      </c>
      <c r="K173" s="102">
        <f t="shared" si="26"/>
        <v>967500.00000000093</v>
      </c>
    </row>
    <row r="174" spans="1:11" ht="13" x14ac:dyDescent="0.3">
      <c r="A174" s="96">
        <f t="shared" si="23"/>
        <v>129</v>
      </c>
      <c r="B174" s="132" t="s">
        <v>15</v>
      </c>
      <c r="C174" s="179">
        <v>2020</v>
      </c>
      <c r="D174" s="146">
        <v>600000</v>
      </c>
      <c r="E174" s="102">
        <v>45000</v>
      </c>
      <c r="F174" s="102">
        <f t="shared" si="24"/>
        <v>645000</v>
      </c>
      <c r="G174" s="146">
        <v>0</v>
      </c>
      <c r="H174" s="146">
        <v>0</v>
      </c>
      <c r="I174" s="102">
        <v>0</v>
      </c>
      <c r="J174" s="102">
        <f t="shared" si="25"/>
        <v>6832951.6500000013</v>
      </c>
      <c r="K174" s="102">
        <f t="shared" si="26"/>
        <v>1612500.0000000009</v>
      </c>
    </row>
    <row r="175" spans="1:11" ht="13" x14ac:dyDescent="0.3">
      <c r="A175" s="96">
        <f t="shared" si="23"/>
        <v>130</v>
      </c>
      <c r="B175" s="132" t="s">
        <v>14</v>
      </c>
      <c r="C175" s="179">
        <v>2020</v>
      </c>
      <c r="D175" s="146">
        <v>600000</v>
      </c>
      <c r="E175" s="102">
        <v>45000</v>
      </c>
      <c r="F175" s="102">
        <f t="shared" si="24"/>
        <v>645000</v>
      </c>
      <c r="G175" s="146">
        <v>0</v>
      </c>
      <c r="H175" s="146">
        <v>0</v>
      </c>
      <c r="I175" s="102">
        <v>0</v>
      </c>
      <c r="J175" s="102">
        <f t="shared" si="25"/>
        <v>7477951.6500000013</v>
      </c>
      <c r="K175" s="102">
        <f t="shared" si="26"/>
        <v>2257500.0000000009</v>
      </c>
    </row>
    <row r="176" spans="1:11" ht="13" x14ac:dyDescent="0.3">
      <c r="A176" s="96">
        <f t="shared" si="23"/>
        <v>131</v>
      </c>
      <c r="B176" s="132" t="s">
        <v>6</v>
      </c>
      <c r="C176" s="179">
        <v>2020</v>
      </c>
      <c r="D176" s="146">
        <v>805031</v>
      </c>
      <c r="E176" s="102">
        <v>60377.324999999997</v>
      </c>
      <c r="F176" s="102">
        <f t="shared" si="24"/>
        <v>865408.32499999995</v>
      </c>
      <c r="G176" s="146">
        <v>0</v>
      </c>
      <c r="H176" s="146">
        <v>0</v>
      </c>
      <c r="I176" s="102">
        <v>0</v>
      </c>
      <c r="J176" s="102">
        <f t="shared" si="25"/>
        <v>8343359.9750000015</v>
      </c>
      <c r="K176" s="108">
        <f t="shared" si="26"/>
        <v>3122908.3250000011</v>
      </c>
    </row>
    <row r="177" spans="1:11" ht="13" x14ac:dyDescent="0.3">
      <c r="A177" s="96">
        <f t="shared" si="23"/>
        <v>132</v>
      </c>
      <c r="C177" s="240" t="s">
        <v>380</v>
      </c>
      <c r="K177" s="241">
        <f>AVERAGE(K164:K176)</f>
        <v>835608.33269230858</v>
      </c>
    </row>
    <row r="178" spans="1:11" ht="13" x14ac:dyDescent="0.3">
      <c r="A178" s="96"/>
      <c r="C178" s="240"/>
      <c r="K178" s="241"/>
    </row>
    <row r="179" spans="1:11" ht="13" x14ac:dyDescent="0.3">
      <c r="B179" s="242" t="s">
        <v>392</v>
      </c>
      <c r="D179" s="300" t="s">
        <v>393</v>
      </c>
      <c r="E179" s="300"/>
    </row>
    <row r="180" spans="1:11" ht="13" x14ac:dyDescent="0.3">
      <c r="A180" s="100"/>
      <c r="B180" s="100"/>
      <c r="C180" s="100"/>
      <c r="D180" s="100" t="s">
        <v>148</v>
      </c>
      <c r="E180" s="100" t="s">
        <v>149</v>
      </c>
      <c r="F180" s="100" t="s">
        <v>150</v>
      </c>
      <c r="G180" s="100" t="s">
        <v>151</v>
      </c>
      <c r="H180" s="100" t="s">
        <v>329</v>
      </c>
      <c r="I180" s="100" t="s">
        <v>330</v>
      </c>
      <c r="J180" s="100" t="s">
        <v>346</v>
      </c>
      <c r="K180" s="100" t="s">
        <v>347</v>
      </c>
    </row>
    <row r="181" spans="1:11" ht="25.5" x14ac:dyDescent="0.3">
      <c r="D181" s="136"/>
      <c r="E181" s="243" t="s">
        <v>383</v>
      </c>
      <c r="F181" s="128" t="s">
        <v>384</v>
      </c>
      <c r="G181" s="128"/>
      <c r="H181" s="136"/>
      <c r="I181" s="243" t="s">
        <v>385</v>
      </c>
      <c r="J181" s="243" t="s">
        <v>386</v>
      </c>
      <c r="K181" s="243" t="s">
        <v>387</v>
      </c>
    </row>
    <row r="182" spans="1:11" ht="13" x14ac:dyDescent="0.3">
      <c r="D182" s="136"/>
      <c r="E182" s="243"/>
      <c r="F182" s="128"/>
      <c r="G182" s="121" t="str">
        <f>G51</f>
        <v>Unloaded</v>
      </c>
      <c r="H182" s="136"/>
      <c r="I182" s="243"/>
      <c r="J182" s="243"/>
      <c r="K182" s="243"/>
    </row>
    <row r="183" spans="1:11" ht="13" x14ac:dyDescent="0.3">
      <c r="A183" s="96"/>
      <c r="B183" s="96"/>
      <c r="C183" s="96"/>
      <c r="D183" s="96" t="str">
        <f>D$52</f>
        <v>Forecast</v>
      </c>
      <c r="E183" s="96" t="str">
        <f t="shared" ref="E183:J183" si="27">E$52</f>
        <v>Corporate</v>
      </c>
      <c r="F183" s="96" t="str">
        <f t="shared" si="27"/>
        <v xml:space="preserve">Total </v>
      </c>
      <c r="G183" s="121" t="str">
        <f>G52</f>
        <v>Total</v>
      </c>
      <c r="H183" s="96" t="str">
        <f t="shared" si="27"/>
        <v>Prior Period</v>
      </c>
      <c r="I183" s="96" t="str">
        <f t="shared" si="27"/>
        <v>Over Heads</v>
      </c>
      <c r="J183" s="96" t="str">
        <f t="shared" si="27"/>
        <v>Forecast</v>
      </c>
      <c r="K183" s="96" t="str">
        <f>K$52</f>
        <v>Forecast Period</v>
      </c>
    </row>
    <row r="184" spans="1:11" ht="13" x14ac:dyDescent="0.3">
      <c r="A184" s="99" t="s">
        <v>336</v>
      </c>
      <c r="B184" s="134" t="s">
        <v>16</v>
      </c>
      <c r="C184" s="134" t="s">
        <v>17</v>
      </c>
      <c r="D184" s="100" t="str">
        <f>D$53</f>
        <v>Expenditures</v>
      </c>
      <c r="E184" s="100" t="str">
        <f t="shared" ref="E184:J184" si="28">E$53</f>
        <v>Overheads</v>
      </c>
      <c r="F184" s="100" t="str">
        <f t="shared" si="28"/>
        <v>CWIP Exp</v>
      </c>
      <c r="G184" s="136" t="str">
        <f>G53</f>
        <v>Plant Adds</v>
      </c>
      <c r="H184" s="100" t="str">
        <f t="shared" si="28"/>
        <v>CWIP Closed</v>
      </c>
      <c r="I184" s="100" t="str">
        <f t="shared" si="28"/>
        <v>Closed to PIS</v>
      </c>
      <c r="J184" s="100" t="str">
        <f t="shared" si="28"/>
        <v>Period CWIP</v>
      </c>
      <c r="K184" s="100" t="str">
        <f>K$53</f>
        <v>Incremental CWIP</v>
      </c>
    </row>
    <row r="185" spans="1:11" ht="13" x14ac:dyDescent="0.3">
      <c r="A185" s="96">
        <f>A177+1</f>
        <v>133</v>
      </c>
      <c r="B185" s="132" t="s">
        <v>6</v>
      </c>
      <c r="C185" s="179">
        <v>2018</v>
      </c>
      <c r="D185" s="128" t="s">
        <v>361</v>
      </c>
      <c r="E185" s="128" t="s">
        <v>361</v>
      </c>
      <c r="F185" s="128" t="s">
        <v>361</v>
      </c>
      <c r="G185" s="128" t="s">
        <v>361</v>
      </c>
      <c r="H185" s="128" t="s">
        <v>361</v>
      </c>
      <c r="I185" s="128" t="s">
        <v>361</v>
      </c>
      <c r="J185" s="102">
        <f>H25</f>
        <v>228226372.41</v>
      </c>
      <c r="K185" s="128" t="s">
        <v>361</v>
      </c>
    </row>
    <row r="186" spans="1:11" ht="13" x14ac:dyDescent="0.3">
      <c r="A186" s="96">
        <f>A185+1</f>
        <v>134</v>
      </c>
      <c r="B186" s="132" t="s">
        <v>7</v>
      </c>
      <c r="C186" s="179">
        <v>2019</v>
      </c>
      <c r="D186" s="146">
        <v>24021029</v>
      </c>
      <c r="E186" s="102">
        <v>1801577.175</v>
      </c>
      <c r="F186" s="102">
        <f>E186+D186</f>
        <v>25822606.175000001</v>
      </c>
      <c r="G186" s="146">
        <v>0</v>
      </c>
      <c r="H186" s="146">
        <v>0</v>
      </c>
      <c r="I186" s="102">
        <v>0</v>
      </c>
      <c r="J186" s="102">
        <f>J185+F186-G186-I186</f>
        <v>254048978.58500001</v>
      </c>
      <c r="K186" s="102">
        <f>J186-$J$185</f>
        <v>25822606.175000012</v>
      </c>
    </row>
    <row r="187" spans="1:11" ht="13" x14ac:dyDescent="0.3">
      <c r="A187" s="96">
        <f t="shared" ref="A187:A210" si="29">A186+1</f>
        <v>135</v>
      </c>
      <c r="B187" s="132" t="s">
        <v>8</v>
      </c>
      <c r="C187" s="179">
        <v>2019</v>
      </c>
      <c r="D187" s="146">
        <v>12270680</v>
      </c>
      <c r="E187" s="102">
        <v>920301</v>
      </c>
      <c r="F187" s="102">
        <f t="shared" ref="F187:F209" si="30">E187+D187</f>
        <v>13190981</v>
      </c>
      <c r="G187" s="146">
        <v>6392766.5099999998</v>
      </c>
      <c r="H187" s="146">
        <v>6354080.5099999998</v>
      </c>
      <c r="I187" s="102">
        <v>2901.45</v>
      </c>
      <c r="J187" s="102">
        <f t="shared" ref="J187:J209" si="31">J186+F187-G187-I187</f>
        <v>260844291.62500003</v>
      </c>
      <c r="K187" s="102">
        <f t="shared" ref="K187:K209" si="32">J187-$J$185</f>
        <v>32617919.215000033</v>
      </c>
    </row>
    <row r="188" spans="1:11" ht="13" x14ac:dyDescent="0.3">
      <c r="A188" s="96">
        <f t="shared" si="29"/>
        <v>136</v>
      </c>
      <c r="B188" s="132" t="s">
        <v>18</v>
      </c>
      <c r="C188" s="179">
        <v>2019</v>
      </c>
      <c r="D188" s="146">
        <v>21209376.999999996</v>
      </c>
      <c r="E188" s="102">
        <v>1590703.2749999997</v>
      </c>
      <c r="F188" s="102">
        <f t="shared" si="30"/>
        <v>22800080.274999995</v>
      </c>
      <c r="G188" s="146">
        <v>13385</v>
      </c>
      <c r="H188" s="146">
        <v>0</v>
      </c>
      <c r="I188" s="102">
        <v>1003.875</v>
      </c>
      <c r="J188" s="102">
        <f t="shared" si="31"/>
        <v>283629983.02500004</v>
      </c>
      <c r="K188" s="102">
        <f t="shared" si="32"/>
        <v>55403610.615000039</v>
      </c>
    </row>
    <row r="189" spans="1:11" ht="13" x14ac:dyDescent="0.3">
      <c r="A189" s="96">
        <f t="shared" si="29"/>
        <v>137</v>
      </c>
      <c r="B189" s="132" t="s">
        <v>9</v>
      </c>
      <c r="C189" s="179">
        <v>2019</v>
      </c>
      <c r="D189" s="146">
        <v>13401500</v>
      </c>
      <c r="E189" s="102">
        <v>1005112.5</v>
      </c>
      <c r="F189" s="102">
        <f t="shared" si="30"/>
        <v>14406612.5</v>
      </c>
      <c r="G189" s="146">
        <v>535000</v>
      </c>
      <c r="H189" s="146">
        <v>0</v>
      </c>
      <c r="I189" s="102">
        <v>40125</v>
      </c>
      <c r="J189" s="102">
        <f t="shared" si="31"/>
        <v>297461470.52500004</v>
      </c>
      <c r="K189" s="102">
        <f t="shared" si="32"/>
        <v>69235098.115000039</v>
      </c>
    </row>
    <row r="190" spans="1:11" ht="13" x14ac:dyDescent="0.3">
      <c r="A190" s="96">
        <f t="shared" si="29"/>
        <v>138</v>
      </c>
      <c r="B190" s="132" t="s">
        <v>10</v>
      </c>
      <c r="C190" s="179">
        <v>2019</v>
      </c>
      <c r="D190" s="146">
        <v>14221500</v>
      </c>
      <c r="E190" s="102">
        <v>1066612.5</v>
      </c>
      <c r="F190" s="102">
        <f t="shared" si="30"/>
        <v>15288112.5</v>
      </c>
      <c r="G190" s="146">
        <v>535000</v>
      </c>
      <c r="H190" s="146">
        <v>0</v>
      </c>
      <c r="I190" s="102">
        <v>40125</v>
      </c>
      <c r="J190" s="102">
        <f t="shared" si="31"/>
        <v>312174458.02500004</v>
      </c>
      <c r="K190" s="102">
        <f t="shared" si="32"/>
        <v>83948085.615000039</v>
      </c>
    </row>
    <row r="191" spans="1:11" ht="13" x14ac:dyDescent="0.3">
      <c r="A191" s="96">
        <f t="shared" si="29"/>
        <v>139</v>
      </c>
      <c r="B191" s="132" t="s">
        <v>25</v>
      </c>
      <c r="C191" s="179">
        <v>2019</v>
      </c>
      <c r="D191" s="146">
        <v>13236500</v>
      </c>
      <c r="E191" s="102">
        <v>992737.5</v>
      </c>
      <c r="F191" s="102">
        <f t="shared" si="30"/>
        <v>14229237.5</v>
      </c>
      <c r="G191" s="146">
        <v>550000</v>
      </c>
      <c r="H191" s="146">
        <v>0</v>
      </c>
      <c r="I191" s="102">
        <v>41250</v>
      </c>
      <c r="J191" s="102">
        <f t="shared" si="31"/>
        <v>325812445.52500004</v>
      </c>
      <c r="K191" s="102">
        <f t="shared" si="32"/>
        <v>97586073.115000039</v>
      </c>
    </row>
    <row r="192" spans="1:11" ht="13" x14ac:dyDescent="0.3">
      <c r="A192" s="96">
        <f t="shared" si="29"/>
        <v>140</v>
      </c>
      <c r="B192" s="132" t="s">
        <v>11</v>
      </c>
      <c r="C192" s="179">
        <v>2019</v>
      </c>
      <c r="D192" s="146">
        <v>14721500</v>
      </c>
      <c r="E192" s="102">
        <v>1104112.5</v>
      </c>
      <c r="F192" s="102">
        <f t="shared" si="30"/>
        <v>15825612.5</v>
      </c>
      <c r="G192" s="146">
        <v>35000</v>
      </c>
      <c r="H192" s="146">
        <v>0</v>
      </c>
      <c r="I192" s="102">
        <v>2625</v>
      </c>
      <c r="J192" s="102">
        <f t="shared" si="31"/>
        <v>341600433.02500004</v>
      </c>
      <c r="K192" s="102">
        <f t="shared" si="32"/>
        <v>113374060.61500004</v>
      </c>
    </row>
    <row r="193" spans="1:11" ht="13" x14ac:dyDescent="0.3">
      <c r="A193" s="96">
        <f t="shared" si="29"/>
        <v>141</v>
      </c>
      <c r="B193" s="132" t="s">
        <v>12</v>
      </c>
      <c r="C193" s="179">
        <v>2019</v>
      </c>
      <c r="D193" s="146">
        <v>12282055.600000003</v>
      </c>
      <c r="E193" s="102">
        <v>921154.17000000027</v>
      </c>
      <c r="F193" s="102">
        <f t="shared" si="30"/>
        <v>13203209.770000003</v>
      </c>
      <c r="G193" s="146">
        <v>208967.03</v>
      </c>
      <c r="H193" s="146">
        <v>173868.03</v>
      </c>
      <c r="I193" s="102">
        <v>2632.4249999999997</v>
      </c>
      <c r="J193" s="102">
        <f t="shared" si="31"/>
        <v>354592043.34000003</v>
      </c>
      <c r="K193" s="102">
        <f t="shared" si="32"/>
        <v>126365670.93000004</v>
      </c>
    </row>
    <row r="194" spans="1:11" ht="13" x14ac:dyDescent="0.3">
      <c r="A194" s="96">
        <f t="shared" si="29"/>
        <v>142</v>
      </c>
      <c r="B194" s="132" t="s">
        <v>13</v>
      </c>
      <c r="C194" s="179">
        <v>2019</v>
      </c>
      <c r="D194" s="146">
        <v>11351055.600000003</v>
      </c>
      <c r="E194" s="102">
        <v>851329.17000000027</v>
      </c>
      <c r="F194" s="102">
        <f t="shared" si="30"/>
        <v>12202384.770000003</v>
      </c>
      <c r="G194" s="146">
        <v>25000</v>
      </c>
      <c r="H194" s="146">
        <v>0</v>
      </c>
      <c r="I194" s="102">
        <v>1875</v>
      </c>
      <c r="J194" s="102">
        <f t="shared" si="31"/>
        <v>366767553.11000001</v>
      </c>
      <c r="K194" s="102">
        <f t="shared" si="32"/>
        <v>138541180.70000002</v>
      </c>
    </row>
    <row r="195" spans="1:11" ht="13" x14ac:dyDescent="0.3">
      <c r="A195" s="96">
        <f t="shared" si="29"/>
        <v>143</v>
      </c>
      <c r="B195" s="132" t="s">
        <v>15</v>
      </c>
      <c r="C195" s="179">
        <v>2019</v>
      </c>
      <c r="D195" s="146">
        <v>13331555.600000003</v>
      </c>
      <c r="E195" s="102">
        <v>999866.67000000016</v>
      </c>
      <c r="F195" s="102">
        <f t="shared" si="30"/>
        <v>14331422.270000003</v>
      </c>
      <c r="G195" s="146">
        <v>25000</v>
      </c>
      <c r="H195" s="146">
        <v>0</v>
      </c>
      <c r="I195" s="102">
        <v>1875</v>
      </c>
      <c r="J195" s="102">
        <f t="shared" si="31"/>
        <v>381072100.38</v>
      </c>
      <c r="K195" s="102">
        <f t="shared" si="32"/>
        <v>152845727.97</v>
      </c>
    </row>
    <row r="196" spans="1:11" ht="13" x14ac:dyDescent="0.3">
      <c r="A196" s="96">
        <f t="shared" si="29"/>
        <v>144</v>
      </c>
      <c r="B196" s="132" t="s">
        <v>14</v>
      </c>
      <c r="C196" s="179">
        <v>2019</v>
      </c>
      <c r="D196" s="146">
        <v>9304555.6000000034</v>
      </c>
      <c r="E196" s="102">
        <v>697841.67000000027</v>
      </c>
      <c r="F196" s="102">
        <f t="shared" si="30"/>
        <v>10002397.270000003</v>
      </c>
      <c r="G196" s="146">
        <v>25000</v>
      </c>
      <c r="H196" s="146">
        <v>0</v>
      </c>
      <c r="I196" s="102">
        <v>1875</v>
      </c>
      <c r="J196" s="102">
        <f t="shared" si="31"/>
        <v>391047622.64999998</v>
      </c>
      <c r="K196" s="102">
        <f t="shared" si="32"/>
        <v>162821250.23999998</v>
      </c>
    </row>
    <row r="197" spans="1:11" ht="13" x14ac:dyDescent="0.3">
      <c r="A197" s="96">
        <f t="shared" si="29"/>
        <v>145</v>
      </c>
      <c r="B197" s="132" t="s">
        <v>6</v>
      </c>
      <c r="C197" s="179">
        <v>2019</v>
      </c>
      <c r="D197" s="146">
        <v>9030390.6000000034</v>
      </c>
      <c r="E197" s="102">
        <v>677279.29500000027</v>
      </c>
      <c r="F197" s="102">
        <f t="shared" si="30"/>
        <v>9707669.8950000033</v>
      </c>
      <c r="G197" s="146">
        <v>4470421.6800000006</v>
      </c>
      <c r="H197" s="146">
        <v>2676092.6800000002</v>
      </c>
      <c r="I197" s="102">
        <v>134574.67500000002</v>
      </c>
      <c r="J197" s="102">
        <f t="shared" si="31"/>
        <v>396150296.18999994</v>
      </c>
      <c r="K197" s="102">
        <f t="shared" si="32"/>
        <v>167923923.77999994</v>
      </c>
    </row>
    <row r="198" spans="1:11" ht="13" x14ac:dyDescent="0.3">
      <c r="A198" s="96">
        <f t="shared" si="29"/>
        <v>146</v>
      </c>
      <c r="B198" s="132" t="s">
        <v>7</v>
      </c>
      <c r="C198" s="179">
        <v>2020</v>
      </c>
      <c r="D198" s="146">
        <v>9680000</v>
      </c>
      <c r="E198" s="102">
        <v>726000</v>
      </c>
      <c r="F198" s="102">
        <f t="shared" si="30"/>
        <v>10406000</v>
      </c>
      <c r="G198" s="146">
        <v>80000</v>
      </c>
      <c r="H198" s="146">
        <v>0</v>
      </c>
      <c r="I198" s="102">
        <v>6000</v>
      </c>
      <c r="J198" s="102">
        <f t="shared" si="31"/>
        <v>406470296.18999994</v>
      </c>
      <c r="K198" s="102">
        <f t="shared" si="32"/>
        <v>178243923.77999994</v>
      </c>
    </row>
    <row r="199" spans="1:11" ht="13" x14ac:dyDescent="0.3">
      <c r="A199" s="96">
        <f t="shared" si="29"/>
        <v>147</v>
      </c>
      <c r="B199" s="132" t="s">
        <v>8</v>
      </c>
      <c r="C199" s="179">
        <v>2020</v>
      </c>
      <c r="D199" s="146">
        <v>13180000</v>
      </c>
      <c r="E199" s="102">
        <v>988500</v>
      </c>
      <c r="F199" s="102">
        <f t="shared" si="30"/>
        <v>14168500</v>
      </c>
      <c r="G199" s="146">
        <v>80000</v>
      </c>
      <c r="H199" s="146">
        <v>0</v>
      </c>
      <c r="I199" s="102">
        <v>6000</v>
      </c>
      <c r="J199" s="102">
        <f t="shared" si="31"/>
        <v>420552796.18999994</v>
      </c>
      <c r="K199" s="102">
        <f t="shared" si="32"/>
        <v>192326423.77999994</v>
      </c>
    </row>
    <row r="200" spans="1:11" ht="13" x14ac:dyDescent="0.3">
      <c r="A200" s="96">
        <f t="shared" si="29"/>
        <v>148</v>
      </c>
      <c r="B200" s="132" t="s">
        <v>18</v>
      </c>
      <c r="C200" s="179">
        <v>2020</v>
      </c>
      <c r="D200" s="146">
        <v>14785000</v>
      </c>
      <c r="E200" s="102">
        <v>1108875</v>
      </c>
      <c r="F200" s="102">
        <f t="shared" si="30"/>
        <v>15893875</v>
      </c>
      <c r="G200" s="146">
        <v>140000</v>
      </c>
      <c r="H200" s="146">
        <v>0</v>
      </c>
      <c r="I200" s="102">
        <v>10500</v>
      </c>
      <c r="J200" s="102">
        <f t="shared" si="31"/>
        <v>436296171.18999994</v>
      </c>
      <c r="K200" s="102">
        <f t="shared" si="32"/>
        <v>208069798.77999994</v>
      </c>
    </row>
    <row r="201" spans="1:11" ht="13" x14ac:dyDescent="0.3">
      <c r="A201" s="96">
        <f t="shared" si="29"/>
        <v>149</v>
      </c>
      <c r="B201" s="132" t="s">
        <v>9</v>
      </c>
      <c r="C201" s="179">
        <v>2020</v>
      </c>
      <c r="D201" s="146">
        <v>13420000</v>
      </c>
      <c r="E201" s="102">
        <v>1006500</v>
      </c>
      <c r="F201" s="102">
        <f t="shared" si="30"/>
        <v>14426500</v>
      </c>
      <c r="G201" s="146">
        <v>230000</v>
      </c>
      <c r="H201" s="146">
        <v>0</v>
      </c>
      <c r="I201" s="102">
        <v>17250</v>
      </c>
      <c r="J201" s="102">
        <f t="shared" si="31"/>
        <v>450475421.18999994</v>
      </c>
      <c r="K201" s="102">
        <f t="shared" si="32"/>
        <v>222249048.77999994</v>
      </c>
    </row>
    <row r="202" spans="1:11" ht="13" x14ac:dyDescent="0.3">
      <c r="A202" s="96">
        <f t="shared" si="29"/>
        <v>150</v>
      </c>
      <c r="B202" s="132" t="s">
        <v>10</v>
      </c>
      <c r="C202" s="179">
        <v>2020</v>
      </c>
      <c r="D202" s="146">
        <v>13920000</v>
      </c>
      <c r="E202" s="102">
        <v>1044000</v>
      </c>
      <c r="F202" s="102">
        <f t="shared" si="30"/>
        <v>14964000</v>
      </c>
      <c r="G202" s="146">
        <v>230000</v>
      </c>
      <c r="H202" s="146">
        <v>0</v>
      </c>
      <c r="I202" s="102">
        <v>17250</v>
      </c>
      <c r="J202" s="102">
        <f t="shared" si="31"/>
        <v>465192171.18999994</v>
      </c>
      <c r="K202" s="102">
        <f t="shared" si="32"/>
        <v>236965798.77999994</v>
      </c>
    </row>
    <row r="203" spans="1:11" ht="13" x14ac:dyDescent="0.3">
      <c r="A203" s="96">
        <f t="shared" si="29"/>
        <v>151</v>
      </c>
      <c r="B203" s="132" t="s">
        <v>25</v>
      </c>
      <c r="C203" s="179">
        <v>2020</v>
      </c>
      <c r="D203" s="146">
        <v>11180000</v>
      </c>
      <c r="E203" s="102">
        <v>838500</v>
      </c>
      <c r="F203" s="102">
        <f t="shared" si="30"/>
        <v>12018500</v>
      </c>
      <c r="G203" s="146">
        <v>80000</v>
      </c>
      <c r="H203" s="146">
        <v>0</v>
      </c>
      <c r="I203" s="102">
        <v>6000</v>
      </c>
      <c r="J203" s="102">
        <f t="shared" si="31"/>
        <v>477124671.18999994</v>
      </c>
      <c r="K203" s="102">
        <f t="shared" si="32"/>
        <v>248898298.77999994</v>
      </c>
    </row>
    <row r="204" spans="1:11" ht="13" x14ac:dyDescent="0.3">
      <c r="A204" s="96">
        <f t="shared" si="29"/>
        <v>152</v>
      </c>
      <c r="B204" s="132" t="s">
        <v>11</v>
      </c>
      <c r="C204" s="179">
        <v>2020</v>
      </c>
      <c r="D204" s="146">
        <v>12680000</v>
      </c>
      <c r="E204" s="102">
        <v>951000</v>
      </c>
      <c r="F204" s="102">
        <f t="shared" si="30"/>
        <v>13631000</v>
      </c>
      <c r="G204" s="146">
        <v>80000</v>
      </c>
      <c r="H204" s="146">
        <v>0</v>
      </c>
      <c r="I204" s="102">
        <v>6000</v>
      </c>
      <c r="J204" s="102">
        <f t="shared" si="31"/>
        <v>490669671.18999994</v>
      </c>
      <c r="K204" s="102">
        <f t="shared" si="32"/>
        <v>262443298.77999994</v>
      </c>
    </row>
    <row r="205" spans="1:11" ht="13" x14ac:dyDescent="0.3">
      <c r="A205" s="96">
        <f t="shared" si="29"/>
        <v>153</v>
      </c>
      <c r="B205" s="132" t="s">
        <v>12</v>
      </c>
      <c r="C205" s="179">
        <v>2020</v>
      </c>
      <c r="D205" s="146">
        <v>14680000</v>
      </c>
      <c r="E205" s="102">
        <v>1101000</v>
      </c>
      <c r="F205" s="102">
        <f t="shared" si="30"/>
        <v>15781000</v>
      </c>
      <c r="G205" s="146">
        <v>80000</v>
      </c>
      <c r="H205" s="146">
        <v>0</v>
      </c>
      <c r="I205" s="102">
        <v>6000</v>
      </c>
      <c r="J205" s="102">
        <f t="shared" si="31"/>
        <v>506364671.18999994</v>
      </c>
      <c r="K205" s="102">
        <f t="shared" si="32"/>
        <v>278138298.77999997</v>
      </c>
    </row>
    <row r="206" spans="1:11" ht="13" x14ac:dyDescent="0.3">
      <c r="A206" s="96">
        <f t="shared" si="29"/>
        <v>154</v>
      </c>
      <c r="B206" s="132" t="s">
        <v>13</v>
      </c>
      <c r="C206" s="179">
        <v>2020</v>
      </c>
      <c r="D206" s="146">
        <v>14690000</v>
      </c>
      <c r="E206" s="102">
        <v>1101750</v>
      </c>
      <c r="F206" s="102">
        <f t="shared" si="30"/>
        <v>15791750</v>
      </c>
      <c r="G206" s="146">
        <v>90000</v>
      </c>
      <c r="H206" s="146">
        <v>0</v>
      </c>
      <c r="I206" s="102">
        <v>6750</v>
      </c>
      <c r="J206" s="102">
        <f t="shared" si="31"/>
        <v>522059671.18999994</v>
      </c>
      <c r="K206" s="102">
        <f t="shared" si="32"/>
        <v>293833298.77999997</v>
      </c>
    </row>
    <row r="207" spans="1:11" ht="13" x14ac:dyDescent="0.3">
      <c r="A207" s="96">
        <f t="shared" si="29"/>
        <v>155</v>
      </c>
      <c r="B207" s="132" t="s">
        <v>15</v>
      </c>
      <c r="C207" s="179">
        <v>2020</v>
      </c>
      <c r="D207" s="146">
        <v>14699230</v>
      </c>
      <c r="E207" s="102">
        <v>1102442.25</v>
      </c>
      <c r="F207" s="102">
        <f t="shared" si="30"/>
        <v>15801672.25</v>
      </c>
      <c r="G207" s="146">
        <v>90000</v>
      </c>
      <c r="H207" s="146">
        <v>0</v>
      </c>
      <c r="I207" s="102">
        <v>6750</v>
      </c>
      <c r="J207" s="102">
        <f t="shared" si="31"/>
        <v>537764593.43999994</v>
      </c>
      <c r="K207" s="102">
        <f t="shared" si="32"/>
        <v>309538221.02999997</v>
      </c>
    </row>
    <row r="208" spans="1:11" ht="13" x14ac:dyDescent="0.3">
      <c r="A208" s="96">
        <f t="shared" si="29"/>
        <v>156</v>
      </c>
      <c r="B208" s="132" t="s">
        <v>14</v>
      </c>
      <c r="C208" s="179">
        <v>2020</v>
      </c>
      <c r="D208" s="146">
        <v>9928100</v>
      </c>
      <c r="E208" s="102">
        <v>744607.5</v>
      </c>
      <c r="F208" s="102">
        <f t="shared" si="30"/>
        <v>10672707.5</v>
      </c>
      <c r="G208" s="146">
        <v>190000</v>
      </c>
      <c r="H208" s="146">
        <v>0</v>
      </c>
      <c r="I208" s="102">
        <v>14250</v>
      </c>
      <c r="J208" s="102">
        <f t="shared" si="31"/>
        <v>548233050.93999994</v>
      </c>
      <c r="K208" s="102">
        <f t="shared" si="32"/>
        <v>320006678.52999997</v>
      </c>
    </row>
    <row r="209" spans="1:11" ht="13" x14ac:dyDescent="0.3">
      <c r="A209" s="96">
        <f t="shared" si="29"/>
        <v>157</v>
      </c>
      <c r="B209" s="132" t="s">
        <v>6</v>
      </c>
      <c r="C209" s="179">
        <v>2020</v>
      </c>
      <c r="D209" s="146">
        <v>7930724</v>
      </c>
      <c r="E209" s="102">
        <v>594804.29999999993</v>
      </c>
      <c r="F209" s="102">
        <f t="shared" si="30"/>
        <v>8525528.3000000007</v>
      </c>
      <c r="G209" s="146">
        <v>230000</v>
      </c>
      <c r="H209" s="146">
        <v>0</v>
      </c>
      <c r="I209" s="102">
        <v>17250</v>
      </c>
      <c r="J209" s="102">
        <f t="shared" si="31"/>
        <v>556511329.23999989</v>
      </c>
      <c r="K209" s="108">
        <f t="shared" si="32"/>
        <v>328284956.82999992</v>
      </c>
    </row>
    <row r="210" spans="1:11" ht="13" x14ac:dyDescent="0.3">
      <c r="A210" s="96">
        <f t="shared" si="29"/>
        <v>158</v>
      </c>
      <c r="C210" s="240" t="s">
        <v>380</v>
      </c>
      <c r="K210" s="241">
        <f>AVERAGE(K197:K209)</f>
        <v>249763228.39923066</v>
      </c>
    </row>
    <row r="211" spans="1:11" ht="13" x14ac:dyDescent="0.3">
      <c r="A211" s="96"/>
      <c r="C211" s="240"/>
      <c r="K211" s="241"/>
    </row>
    <row r="212" spans="1:11" ht="13" x14ac:dyDescent="0.3">
      <c r="B212" s="242" t="s">
        <v>394</v>
      </c>
      <c r="D212" s="300" t="s">
        <v>342</v>
      </c>
      <c r="E212" s="300"/>
    </row>
    <row r="213" spans="1:11" ht="13" x14ac:dyDescent="0.3">
      <c r="D213" s="136"/>
      <c r="E213" s="136"/>
      <c r="F213" s="136"/>
      <c r="G213" s="96" t="str">
        <f>G51</f>
        <v>Unloaded</v>
      </c>
      <c r="H213" s="136"/>
      <c r="I213" s="136"/>
    </row>
    <row r="214" spans="1:11" ht="13" x14ac:dyDescent="0.3">
      <c r="A214" s="96"/>
      <c r="B214" s="96"/>
      <c r="C214" s="96"/>
      <c r="D214" s="96" t="str">
        <f>D$52</f>
        <v>Forecast</v>
      </c>
      <c r="E214" s="96" t="str">
        <f t="shared" ref="E214:J214" si="33">E$52</f>
        <v>Corporate</v>
      </c>
      <c r="F214" s="96" t="str">
        <f t="shared" si="33"/>
        <v xml:space="preserve">Total </v>
      </c>
      <c r="G214" s="96" t="str">
        <f>G52</f>
        <v>Total</v>
      </c>
      <c r="H214" s="96" t="str">
        <f t="shared" si="33"/>
        <v>Prior Period</v>
      </c>
      <c r="I214" s="96" t="str">
        <f t="shared" si="33"/>
        <v>Over Heads</v>
      </c>
      <c r="J214" s="96" t="str">
        <f t="shared" si="33"/>
        <v>Forecast</v>
      </c>
      <c r="K214" s="96" t="str">
        <f>K$52</f>
        <v>Forecast Period</v>
      </c>
    </row>
    <row r="215" spans="1:11" ht="13" x14ac:dyDescent="0.3">
      <c r="A215" s="99" t="s">
        <v>336</v>
      </c>
      <c r="B215" s="134" t="s">
        <v>16</v>
      </c>
      <c r="C215" s="134" t="s">
        <v>17</v>
      </c>
      <c r="D215" s="100" t="str">
        <f>D$53</f>
        <v>Expenditures</v>
      </c>
      <c r="E215" s="100" t="str">
        <f t="shared" ref="E215:J215" si="34">E$53</f>
        <v>Overheads</v>
      </c>
      <c r="F215" s="100" t="str">
        <f t="shared" si="34"/>
        <v>CWIP Exp</v>
      </c>
      <c r="G215" s="100" t="str">
        <f>G53</f>
        <v>Plant Adds</v>
      </c>
      <c r="H215" s="100" t="str">
        <f t="shared" si="34"/>
        <v>CWIP Closed</v>
      </c>
      <c r="I215" s="100" t="str">
        <f t="shared" si="34"/>
        <v>Closed to PIS</v>
      </c>
      <c r="J215" s="100" t="str">
        <f t="shared" si="34"/>
        <v>Period CWIP</v>
      </c>
      <c r="K215" s="100" t="str">
        <f>K$53</f>
        <v>Incremental CWIP</v>
      </c>
    </row>
    <row r="216" spans="1:11" ht="13" x14ac:dyDescent="0.3">
      <c r="A216" s="96">
        <f>A210+1</f>
        <v>159</v>
      </c>
      <c r="B216" s="132" t="s">
        <v>6</v>
      </c>
      <c r="C216" s="179">
        <v>2018</v>
      </c>
      <c r="D216" s="128" t="s">
        <v>361</v>
      </c>
      <c r="E216" s="128" t="s">
        <v>361</v>
      </c>
      <c r="F216" s="128" t="s">
        <v>361</v>
      </c>
      <c r="G216" s="128" t="s">
        <v>361</v>
      </c>
      <c r="H216" s="128" t="s">
        <v>361</v>
      </c>
      <c r="I216" s="128" t="s">
        <v>361</v>
      </c>
      <c r="J216" s="102">
        <f>I25</f>
        <v>0</v>
      </c>
      <c r="K216" s="128" t="s">
        <v>361</v>
      </c>
    </row>
    <row r="217" spans="1:11" ht="13" x14ac:dyDescent="0.3">
      <c r="A217" s="96">
        <f>A216+1</f>
        <v>160</v>
      </c>
      <c r="B217" s="132" t="s">
        <v>7</v>
      </c>
      <c r="C217" s="179">
        <v>2019</v>
      </c>
      <c r="D217" s="146">
        <v>0</v>
      </c>
      <c r="E217" s="102">
        <v>0</v>
      </c>
      <c r="F217" s="102">
        <f>E217+D217</f>
        <v>0</v>
      </c>
      <c r="G217" s="146">
        <v>0</v>
      </c>
      <c r="H217" s="146">
        <v>0</v>
      </c>
      <c r="I217" s="102">
        <v>0</v>
      </c>
      <c r="J217" s="102">
        <f>J216+F217-G217-I217</f>
        <v>0</v>
      </c>
      <c r="K217" s="102">
        <f>J217-$J$216</f>
        <v>0</v>
      </c>
    </row>
    <row r="218" spans="1:11" ht="13" x14ac:dyDescent="0.3">
      <c r="A218" s="96">
        <f t="shared" ref="A218:A241" si="35">A217+1</f>
        <v>161</v>
      </c>
      <c r="B218" s="132" t="s">
        <v>8</v>
      </c>
      <c r="C218" s="179">
        <v>2019</v>
      </c>
      <c r="D218" s="146">
        <v>0</v>
      </c>
      <c r="E218" s="102">
        <v>0</v>
      </c>
      <c r="F218" s="102">
        <f t="shared" ref="F218:F240" si="36">E218+D218</f>
        <v>0</v>
      </c>
      <c r="G218" s="146">
        <v>0</v>
      </c>
      <c r="H218" s="146">
        <v>0</v>
      </c>
      <c r="I218" s="102">
        <v>0</v>
      </c>
      <c r="J218" s="102">
        <f t="shared" ref="J218:J240" si="37">J217+F218-G218-I218</f>
        <v>0</v>
      </c>
      <c r="K218" s="102">
        <f t="shared" ref="K218:K240" si="38">J218-$J$216</f>
        <v>0</v>
      </c>
    </row>
    <row r="219" spans="1:11" ht="13" x14ac:dyDescent="0.3">
      <c r="A219" s="96">
        <f t="shared" si="35"/>
        <v>162</v>
      </c>
      <c r="B219" s="132" t="s">
        <v>18</v>
      </c>
      <c r="C219" s="179">
        <v>2019</v>
      </c>
      <c r="D219" s="146">
        <v>0</v>
      </c>
      <c r="E219" s="102">
        <v>0</v>
      </c>
      <c r="F219" s="102">
        <f t="shared" si="36"/>
        <v>0</v>
      </c>
      <c r="G219" s="146">
        <v>0</v>
      </c>
      <c r="H219" s="146">
        <v>0</v>
      </c>
      <c r="I219" s="102">
        <v>0</v>
      </c>
      <c r="J219" s="102">
        <f t="shared" si="37"/>
        <v>0</v>
      </c>
      <c r="K219" s="102">
        <f t="shared" si="38"/>
        <v>0</v>
      </c>
    </row>
    <row r="220" spans="1:11" ht="13" x14ac:dyDescent="0.3">
      <c r="A220" s="96">
        <f t="shared" si="35"/>
        <v>163</v>
      </c>
      <c r="B220" s="132" t="s">
        <v>9</v>
      </c>
      <c r="C220" s="179">
        <v>2019</v>
      </c>
      <c r="D220" s="146">
        <v>0</v>
      </c>
      <c r="E220" s="102">
        <v>0</v>
      </c>
      <c r="F220" s="102">
        <f t="shared" si="36"/>
        <v>0</v>
      </c>
      <c r="G220" s="146">
        <v>0</v>
      </c>
      <c r="H220" s="146">
        <v>0</v>
      </c>
      <c r="I220" s="102">
        <v>0</v>
      </c>
      <c r="J220" s="102">
        <f t="shared" si="37"/>
        <v>0</v>
      </c>
      <c r="K220" s="102">
        <f t="shared" si="38"/>
        <v>0</v>
      </c>
    </row>
    <row r="221" spans="1:11" ht="13" x14ac:dyDescent="0.3">
      <c r="A221" s="96">
        <f t="shared" si="35"/>
        <v>164</v>
      </c>
      <c r="B221" s="132" t="s">
        <v>10</v>
      </c>
      <c r="C221" s="179">
        <v>2019</v>
      </c>
      <c r="D221" s="146">
        <v>0</v>
      </c>
      <c r="E221" s="102">
        <v>0</v>
      </c>
      <c r="F221" s="102">
        <f t="shared" si="36"/>
        <v>0</v>
      </c>
      <c r="G221" s="146">
        <v>0</v>
      </c>
      <c r="H221" s="146">
        <v>0</v>
      </c>
      <c r="I221" s="102">
        <v>0</v>
      </c>
      <c r="J221" s="102">
        <f t="shared" si="37"/>
        <v>0</v>
      </c>
      <c r="K221" s="102">
        <f t="shared" si="38"/>
        <v>0</v>
      </c>
    </row>
    <row r="222" spans="1:11" ht="13" x14ac:dyDescent="0.3">
      <c r="A222" s="96">
        <f t="shared" si="35"/>
        <v>165</v>
      </c>
      <c r="B222" s="132" t="s">
        <v>25</v>
      </c>
      <c r="C222" s="179">
        <v>2019</v>
      </c>
      <c r="D222" s="146">
        <v>0</v>
      </c>
      <c r="E222" s="102">
        <v>0</v>
      </c>
      <c r="F222" s="102">
        <f t="shared" si="36"/>
        <v>0</v>
      </c>
      <c r="G222" s="146">
        <v>0</v>
      </c>
      <c r="H222" s="146">
        <v>0</v>
      </c>
      <c r="I222" s="102">
        <v>0</v>
      </c>
      <c r="J222" s="102">
        <f t="shared" si="37"/>
        <v>0</v>
      </c>
      <c r="K222" s="102">
        <f t="shared" si="38"/>
        <v>0</v>
      </c>
    </row>
    <row r="223" spans="1:11" ht="13" x14ac:dyDescent="0.3">
      <c r="A223" s="96">
        <f t="shared" si="35"/>
        <v>166</v>
      </c>
      <c r="B223" s="132" t="s">
        <v>11</v>
      </c>
      <c r="C223" s="179">
        <v>2019</v>
      </c>
      <c r="D223" s="146">
        <v>0</v>
      </c>
      <c r="E223" s="102">
        <v>0</v>
      </c>
      <c r="F223" s="102">
        <f t="shared" si="36"/>
        <v>0</v>
      </c>
      <c r="G223" s="146">
        <v>0</v>
      </c>
      <c r="H223" s="146">
        <v>0</v>
      </c>
      <c r="I223" s="102">
        <v>0</v>
      </c>
      <c r="J223" s="102">
        <f t="shared" si="37"/>
        <v>0</v>
      </c>
      <c r="K223" s="102">
        <f t="shared" si="38"/>
        <v>0</v>
      </c>
    </row>
    <row r="224" spans="1:11" ht="13" x14ac:dyDescent="0.3">
      <c r="A224" s="96">
        <f t="shared" si="35"/>
        <v>167</v>
      </c>
      <c r="B224" s="132" t="s">
        <v>12</v>
      </c>
      <c r="C224" s="179">
        <v>2019</v>
      </c>
      <c r="D224" s="146">
        <v>0</v>
      </c>
      <c r="E224" s="102">
        <v>0</v>
      </c>
      <c r="F224" s="102">
        <f t="shared" si="36"/>
        <v>0</v>
      </c>
      <c r="G224" s="146">
        <v>0</v>
      </c>
      <c r="H224" s="146">
        <v>0</v>
      </c>
      <c r="I224" s="102">
        <v>0</v>
      </c>
      <c r="J224" s="102">
        <f t="shared" si="37"/>
        <v>0</v>
      </c>
      <c r="K224" s="102">
        <f t="shared" si="38"/>
        <v>0</v>
      </c>
    </row>
    <row r="225" spans="1:11" ht="13" x14ac:dyDescent="0.3">
      <c r="A225" s="96">
        <f t="shared" si="35"/>
        <v>168</v>
      </c>
      <c r="B225" s="132" t="s">
        <v>13</v>
      </c>
      <c r="C225" s="179">
        <v>2019</v>
      </c>
      <c r="D225" s="146">
        <v>0</v>
      </c>
      <c r="E225" s="102">
        <v>0</v>
      </c>
      <c r="F225" s="102">
        <f t="shared" si="36"/>
        <v>0</v>
      </c>
      <c r="G225" s="146">
        <v>0</v>
      </c>
      <c r="H225" s="146">
        <v>0</v>
      </c>
      <c r="I225" s="102">
        <v>0</v>
      </c>
      <c r="J225" s="102">
        <f t="shared" si="37"/>
        <v>0</v>
      </c>
      <c r="K225" s="102">
        <f t="shared" si="38"/>
        <v>0</v>
      </c>
    </row>
    <row r="226" spans="1:11" ht="13" x14ac:dyDescent="0.3">
      <c r="A226" s="96">
        <f t="shared" si="35"/>
        <v>169</v>
      </c>
      <c r="B226" s="132" t="s">
        <v>15</v>
      </c>
      <c r="C226" s="179">
        <v>2019</v>
      </c>
      <c r="D226" s="146">
        <v>0</v>
      </c>
      <c r="E226" s="102">
        <v>0</v>
      </c>
      <c r="F226" s="102">
        <f t="shared" si="36"/>
        <v>0</v>
      </c>
      <c r="G226" s="146">
        <v>0</v>
      </c>
      <c r="H226" s="146">
        <v>0</v>
      </c>
      <c r="I226" s="102">
        <v>0</v>
      </c>
      <c r="J226" s="102">
        <f t="shared" si="37"/>
        <v>0</v>
      </c>
      <c r="K226" s="102">
        <f t="shared" si="38"/>
        <v>0</v>
      </c>
    </row>
    <row r="227" spans="1:11" ht="13" x14ac:dyDescent="0.3">
      <c r="A227" s="96">
        <f t="shared" si="35"/>
        <v>170</v>
      </c>
      <c r="B227" s="132" t="s">
        <v>14</v>
      </c>
      <c r="C227" s="179">
        <v>2019</v>
      </c>
      <c r="D227" s="146">
        <v>0</v>
      </c>
      <c r="E227" s="102">
        <v>0</v>
      </c>
      <c r="F227" s="102">
        <f t="shared" si="36"/>
        <v>0</v>
      </c>
      <c r="G227" s="146">
        <v>0</v>
      </c>
      <c r="H227" s="146">
        <v>0</v>
      </c>
      <c r="I227" s="102">
        <v>0</v>
      </c>
      <c r="J227" s="102">
        <f t="shared" si="37"/>
        <v>0</v>
      </c>
      <c r="K227" s="102">
        <f t="shared" si="38"/>
        <v>0</v>
      </c>
    </row>
    <row r="228" spans="1:11" ht="13" x14ac:dyDescent="0.3">
      <c r="A228" s="96">
        <f t="shared" si="35"/>
        <v>171</v>
      </c>
      <c r="B228" s="132" t="s">
        <v>6</v>
      </c>
      <c r="C228" s="179">
        <v>2019</v>
      </c>
      <c r="D228" s="146">
        <v>0</v>
      </c>
      <c r="E228" s="102">
        <v>0</v>
      </c>
      <c r="F228" s="102">
        <f t="shared" si="36"/>
        <v>0</v>
      </c>
      <c r="G228" s="146">
        <v>0</v>
      </c>
      <c r="H228" s="146">
        <v>0</v>
      </c>
      <c r="I228" s="102">
        <v>0</v>
      </c>
      <c r="J228" s="102">
        <f t="shared" si="37"/>
        <v>0</v>
      </c>
      <c r="K228" s="102">
        <f t="shared" si="38"/>
        <v>0</v>
      </c>
    </row>
    <row r="229" spans="1:11" ht="13" x14ac:dyDescent="0.3">
      <c r="A229" s="96">
        <f t="shared" si="35"/>
        <v>172</v>
      </c>
      <c r="B229" s="132" t="s">
        <v>7</v>
      </c>
      <c r="C229" s="179">
        <v>2020</v>
      </c>
      <c r="D229" s="146">
        <v>0</v>
      </c>
      <c r="E229" s="102">
        <v>0</v>
      </c>
      <c r="F229" s="102">
        <f t="shared" si="36"/>
        <v>0</v>
      </c>
      <c r="G229" s="146">
        <v>0</v>
      </c>
      <c r="H229" s="146">
        <v>0</v>
      </c>
      <c r="I229" s="102">
        <v>0</v>
      </c>
      <c r="J229" s="102">
        <f t="shared" si="37"/>
        <v>0</v>
      </c>
      <c r="K229" s="102">
        <f t="shared" si="38"/>
        <v>0</v>
      </c>
    </row>
    <row r="230" spans="1:11" ht="13" x14ac:dyDescent="0.3">
      <c r="A230" s="96">
        <f t="shared" si="35"/>
        <v>173</v>
      </c>
      <c r="B230" s="132" t="s">
        <v>8</v>
      </c>
      <c r="C230" s="179">
        <v>2020</v>
      </c>
      <c r="D230" s="146">
        <v>0</v>
      </c>
      <c r="E230" s="102">
        <v>0</v>
      </c>
      <c r="F230" s="102">
        <f t="shared" si="36"/>
        <v>0</v>
      </c>
      <c r="G230" s="146">
        <v>0</v>
      </c>
      <c r="H230" s="146">
        <v>0</v>
      </c>
      <c r="I230" s="102">
        <v>0</v>
      </c>
      <c r="J230" s="102">
        <f t="shared" si="37"/>
        <v>0</v>
      </c>
      <c r="K230" s="102">
        <f t="shared" si="38"/>
        <v>0</v>
      </c>
    </row>
    <row r="231" spans="1:11" ht="13" x14ac:dyDescent="0.3">
      <c r="A231" s="96">
        <f t="shared" si="35"/>
        <v>174</v>
      </c>
      <c r="B231" s="132" t="s">
        <v>18</v>
      </c>
      <c r="C231" s="179">
        <v>2020</v>
      </c>
      <c r="D231" s="146">
        <v>0</v>
      </c>
      <c r="E231" s="102">
        <v>0</v>
      </c>
      <c r="F231" s="102">
        <f t="shared" si="36"/>
        <v>0</v>
      </c>
      <c r="G231" s="146">
        <v>0</v>
      </c>
      <c r="H231" s="146">
        <v>0</v>
      </c>
      <c r="I231" s="102">
        <v>0</v>
      </c>
      <c r="J231" s="102">
        <f t="shared" si="37"/>
        <v>0</v>
      </c>
      <c r="K231" s="102">
        <f t="shared" si="38"/>
        <v>0</v>
      </c>
    </row>
    <row r="232" spans="1:11" ht="13" x14ac:dyDescent="0.3">
      <c r="A232" s="96">
        <f t="shared" si="35"/>
        <v>175</v>
      </c>
      <c r="B232" s="132" t="s">
        <v>9</v>
      </c>
      <c r="C232" s="179">
        <v>2020</v>
      </c>
      <c r="D232" s="146">
        <v>0</v>
      </c>
      <c r="E232" s="102">
        <v>0</v>
      </c>
      <c r="F232" s="102">
        <f t="shared" si="36"/>
        <v>0</v>
      </c>
      <c r="G232" s="146">
        <v>0</v>
      </c>
      <c r="H232" s="146">
        <v>0</v>
      </c>
      <c r="I232" s="102">
        <v>0</v>
      </c>
      <c r="J232" s="102">
        <f t="shared" si="37"/>
        <v>0</v>
      </c>
      <c r="K232" s="102">
        <f t="shared" si="38"/>
        <v>0</v>
      </c>
    </row>
    <row r="233" spans="1:11" ht="13" x14ac:dyDescent="0.3">
      <c r="A233" s="96">
        <f t="shared" si="35"/>
        <v>176</v>
      </c>
      <c r="B233" s="132" t="s">
        <v>10</v>
      </c>
      <c r="C233" s="179">
        <v>2020</v>
      </c>
      <c r="D233" s="146">
        <v>0</v>
      </c>
      <c r="E233" s="102">
        <v>0</v>
      </c>
      <c r="F233" s="102">
        <f t="shared" si="36"/>
        <v>0</v>
      </c>
      <c r="G233" s="146">
        <v>0</v>
      </c>
      <c r="H233" s="146">
        <v>0</v>
      </c>
      <c r="I233" s="102">
        <v>0</v>
      </c>
      <c r="J233" s="102">
        <f t="shared" si="37"/>
        <v>0</v>
      </c>
      <c r="K233" s="102">
        <f t="shared" si="38"/>
        <v>0</v>
      </c>
    </row>
    <row r="234" spans="1:11" ht="13" x14ac:dyDescent="0.3">
      <c r="A234" s="96">
        <f t="shared" si="35"/>
        <v>177</v>
      </c>
      <c r="B234" s="132" t="s">
        <v>25</v>
      </c>
      <c r="C234" s="179">
        <v>2020</v>
      </c>
      <c r="D234" s="146">
        <v>0</v>
      </c>
      <c r="E234" s="102">
        <v>0</v>
      </c>
      <c r="F234" s="102">
        <f t="shared" si="36"/>
        <v>0</v>
      </c>
      <c r="G234" s="146">
        <v>0</v>
      </c>
      <c r="H234" s="146">
        <v>0</v>
      </c>
      <c r="I234" s="102">
        <v>0</v>
      </c>
      <c r="J234" s="102">
        <f t="shared" si="37"/>
        <v>0</v>
      </c>
      <c r="K234" s="102">
        <f t="shared" si="38"/>
        <v>0</v>
      </c>
    </row>
    <row r="235" spans="1:11" ht="13" x14ac:dyDescent="0.3">
      <c r="A235" s="96">
        <f t="shared" si="35"/>
        <v>178</v>
      </c>
      <c r="B235" s="132" t="s">
        <v>11</v>
      </c>
      <c r="C235" s="179">
        <v>2020</v>
      </c>
      <c r="D235" s="146">
        <v>0</v>
      </c>
      <c r="E235" s="102">
        <v>0</v>
      </c>
      <c r="F235" s="102">
        <f t="shared" si="36"/>
        <v>0</v>
      </c>
      <c r="G235" s="146">
        <v>0</v>
      </c>
      <c r="H235" s="146">
        <v>0</v>
      </c>
      <c r="I235" s="102">
        <v>0</v>
      </c>
      <c r="J235" s="102">
        <f t="shared" si="37"/>
        <v>0</v>
      </c>
      <c r="K235" s="102">
        <f t="shared" si="38"/>
        <v>0</v>
      </c>
    </row>
    <row r="236" spans="1:11" ht="13" x14ac:dyDescent="0.3">
      <c r="A236" s="96">
        <f t="shared" si="35"/>
        <v>179</v>
      </c>
      <c r="B236" s="132" t="s">
        <v>12</v>
      </c>
      <c r="C236" s="179">
        <v>2020</v>
      </c>
      <c r="D236" s="146">
        <v>0</v>
      </c>
      <c r="E236" s="102">
        <v>0</v>
      </c>
      <c r="F236" s="102">
        <f t="shared" si="36"/>
        <v>0</v>
      </c>
      <c r="G236" s="146">
        <v>0</v>
      </c>
      <c r="H236" s="146">
        <v>0</v>
      </c>
      <c r="I236" s="102">
        <v>0</v>
      </c>
      <c r="J236" s="102">
        <f t="shared" si="37"/>
        <v>0</v>
      </c>
      <c r="K236" s="102">
        <f t="shared" si="38"/>
        <v>0</v>
      </c>
    </row>
    <row r="237" spans="1:11" ht="13" x14ac:dyDescent="0.3">
      <c r="A237" s="96">
        <f t="shared" si="35"/>
        <v>180</v>
      </c>
      <c r="B237" s="132" t="s">
        <v>13</v>
      </c>
      <c r="C237" s="179">
        <v>2020</v>
      </c>
      <c r="D237" s="146">
        <v>0</v>
      </c>
      <c r="E237" s="102">
        <v>0</v>
      </c>
      <c r="F237" s="102">
        <f t="shared" si="36"/>
        <v>0</v>
      </c>
      <c r="G237" s="146">
        <v>0</v>
      </c>
      <c r="H237" s="146">
        <v>0</v>
      </c>
      <c r="I237" s="102">
        <v>0</v>
      </c>
      <c r="J237" s="102">
        <f t="shared" si="37"/>
        <v>0</v>
      </c>
      <c r="K237" s="102">
        <f t="shared" si="38"/>
        <v>0</v>
      </c>
    </row>
    <row r="238" spans="1:11" ht="13" x14ac:dyDescent="0.3">
      <c r="A238" s="96">
        <f t="shared" si="35"/>
        <v>181</v>
      </c>
      <c r="B238" s="132" t="s">
        <v>15</v>
      </c>
      <c r="C238" s="179">
        <v>2020</v>
      </c>
      <c r="D238" s="146">
        <v>0</v>
      </c>
      <c r="E238" s="102">
        <v>0</v>
      </c>
      <c r="F238" s="102">
        <f t="shared" si="36"/>
        <v>0</v>
      </c>
      <c r="G238" s="146">
        <v>0</v>
      </c>
      <c r="H238" s="146">
        <v>0</v>
      </c>
      <c r="I238" s="102">
        <v>0</v>
      </c>
      <c r="J238" s="102">
        <f t="shared" si="37"/>
        <v>0</v>
      </c>
      <c r="K238" s="102">
        <f t="shared" si="38"/>
        <v>0</v>
      </c>
    </row>
    <row r="239" spans="1:11" ht="13" x14ac:dyDescent="0.3">
      <c r="A239" s="96">
        <f t="shared" si="35"/>
        <v>182</v>
      </c>
      <c r="B239" s="132" t="s">
        <v>14</v>
      </c>
      <c r="C239" s="179">
        <v>2020</v>
      </c>
      <c r="D239" s="146">
        <v>0</v>
      </c>
      <c r="E239" s="102">
        <v>0</v>
      </c>
      <c r="F239" s="102">
        <f t="shared" si="36"/>
        <v>0</v>
      </c>
      <c r="G239" s="146">
        <v>0</v>
      </c>
      <c r="H239" s="146">
        <v>0</v>
      </c>
      <c r="I239" s="102">
        <v>0</v>
      </c>
      <c r="J239" s="102">
        <f t="shared" si="37"/>
        <v>0</v>
      </c>
      <c r="K239" s="102">
        <f t="shared" si="38"/>
        <v>0</v>
      </c>
    </row>
    <row r="240" spans="1:11" ht="13" x14ac:dyDescent="0.3">
      <c r="A240" s="96">
        <f t="shared" si="35"/>
        <v>183</v>
      </c>
      <c r="B240" s="132" t="s">
        <v>6</v>
      </c>
      <c r="C240" s="179">
        <v>2020</v>
      </c>
      <c r="D240" s="146">
        <v>0</v>
      </c>
      <c r="E240" s="102">
        <v>0</v>
      </c>
      <c r="F240" s="102">
        <f t="shared" si="36"/>
        <v>0</v>
      </c>
      <c r="G240" s="146">
        <v>0</v>
      </c>
      <c r="H240" s="146">
        <v>0</v>
      </c>
      <c r="I240" s="102">
        <v>0</v>
      </c>
      <c r="J240" s="102">
        <f t="shared" si="37"/>
        <v>0</v>
      </c>
      <c r="K240" s="108">
        <f t="shared" si="38"/>
        <v>0</v>
      </c>
    </row>
    <row r="241" spans="1:11" ht="13" x14ac:dyDescent="0.3">
      <c r="A241" s="96">
        <f t="shared" si="35"/>
        <v>184</v>
      </c>
      <c r="C241" s="240" t="s">
        <v>380</v>
      </c>
      <c r="K241" s="241">
        <f>AVERAGE(K228:K240)</f>
        <v>0</v>
      </c>
    </row>
    <row r="242" spans="1:11" ht="13" x14ac:dyDescent="0.3">
      <c r="A242" s="96"/>
      <c r="C242" s="240"/>
      <c r="K242" s="241"/>
    </row>
    <row r="243" spans="1:11" ht="13" x14ac:dyDescent="0.3">
      <c r="B243" s="242" t="s">
        <v>395</v>
      </c>
      <c r="D243" s="300" t="s">
        <v>396</v>
      </c>
      <c r="E243" s="300"/>
    </row>
    <row r="244" spans="1:11" ht="13" x14ac:dyDescent="0.3">
      <c r="A244" s="100"/>
      <c r="B244" s="100"/>
      <c r="C244" s="100"/>
      <c r="D244" s="100" t="s">
        <v>148</v>
      </c>
      <c r="E244" s="100" t="s">
        <v>149</v>
      </c>
      <c r="F244" s="100" t="s">
        <v>150</v>
      </c>
      <c r="G244" s="100" t="s">
        <v>151</v>
      </c>
      <c r="H244" s="100" t="s">
        <v>329</v>
      </c>
      <c r="I244" s="100" t="s">
        <v>330</v>
      </c>
      <c r="J244" s="100" t="s">
        <v>346</v>
      </c>
      <c r="K244" s="100" t="s">
        <v>347</v>
      </c>
    </row>
    <row r="245" spans="1:11" ht="25.5" x14ac:dyDescent="0.3">
      <c r="D245" s="136"/>
      <c r="E245" s="243" t="s">
        <v>383</v>
      </c>
      <c r="F245" s="128" t="s">
        <v>384</v>
      </c>
      <c r="G245" s="128"/>
      <c r="H245" s="136"/>
      <c r="I245" s="243" t="s">
        <v>385</v>
      </c>
      <c r="J245" s="243" t="s">
        <v>386</v>
      </c>
      <c r="K245" s="243" t="s">
        <v>387</v>
      </c>
    </row>
    <row r="246" spans="1:11" ht="13" x14ac:dyDescent="0.3">
      <c r="D246" s="136"/>
      <c r="E246" s="136"/>
      <c r="F246" s="136"/>
      <c r="G246" s="96" t="s">
        <v>397</v>
      </c>
      <c r="H246" s="136"/>
      <c r="I246" s="136"/>
    </row>
    <row r="247" spans="1:11" ht="13" x14ac:dyDescent="0.3">
      <c r="A247" s="96"/>
      <c r="B247" s="96"/>
      <c r="C247" s="96"/>
      <c r="D247" s="96" t="str">
        <f>D$52</f>
        <v>Forecast</v>
      </c>
      <c r="E247" s="96" t="str">
        <f t="shared" ref="E247:J247" si="39">E$52</f>
        <v>Corporate</v>
      </c>
      <c r="F247" s="96" t="str">
        <f t="shared" si="39"/>
        <v xml:space="preserve">Total </v>
      </c>
      <c r="G247" s="96" t="s">
        <v>368</v>
      </c>
      <c r="H247" s="96" t="str">
        <f t="shared" si="39"/>
        <v>Prior Period</v>
      </c>
      <c r="I247" s="96" t="str">
        <f t="shared" si="39"/>
        <v>Over Heads</v>
      </c>
      <c r="J247" s="96" t="str">
        <f t="shared" si="39"/>
        <v>Forecast</v>
      </c>
      <c r="K247" s="96" t="str">
        <f>K$52</f>
        <v>Forecast Period</v>
      </c>
    </row>
    <row r="248" spans="1:11" ht="13" x14ac:dyDescent="0.3">
      <c r="A248" s="99" t="s">
        <v>336</v>
      </c>
      <c r="B248" s="134" t="s">
        <v>16</v>
      </c>
      <c r="C248" s="134" t="s">
        <v>17</v>
      </c>
      <c r="D248" s="100" t="str">
        <f>D$53</f>
        <v>Expenditures</v>
      </c>
      <c r="E248" s="100" t="str">
        <f t="shared" ref="E248:J248" si="40">E$53</f>
        <v>Overheads</v>
      </c>
      <c r="F248" s="100" t="str">
        <f t="shared" si="40"/>
        <v>CWIP Exp</v>
      </c>
      <c r="G248" s="100" t="s">
        <v>375</v>
      </c>
      <c r="H248" s="100" t="str">
        <f t="shared" si="40"/>
        <v>CWIP Closed</v>
      </c>
      <c r="I248" s="100" t="str">
        <f t="shared" si="40"/>
        <v>Closed to PIS</v>
      </c>
      <c r="J248" s="100" t="str">
        <f t="shared" si="40"/>
        <v>Period CWIP</v>
      </c>
      <c r="K248" s="100" t="str">
        <f>K$53</f>
        <v>Incremental CWIP</v>
      </c>
    </row>
    <row r="249" spans="1:11" ht="13" x14ac:dyDescent="0.3">
      <c r="A249" s="96">
        <f>A241+1</f>
        <v>185</v>
      </c>
      <c r="B249" s="132" t="s">
        <v>6</v>
      </c>
      <c r="C249" s="179">
        <v>2018</v>
      </c>
      <c r="D249" s="128" t="s">
        <v>361</v>
      </c>
      <c r="E249" s="128" t="s">
        <v>361</v>
      </c>
      <c r="F249" s="128" t="s">
        <v>361</v>
      </c>
      <c r="G249" s="128" t="s">
        <v>361</v>
      </c>
      <c r="H249" s="128" t="s">
        <v>361</v>
      </c>
      <c r="I249" s="128" t="s">
        <v>361</v>
      </c>
      <c r="J249" s="102">
        <f>D45</f>
        <v>0</v>
      </c>
      <c r="K249" s="128" t="s">
        <v>361</v>
      </c>
    </row>
    <row r="250" spans="1:11" ht="13" x14ac:dyDescent="0.3">
      <c r="A250" s="96">
        <f>A249+1</f>
        <v>186</v>
      </c>
      <c r="B250" s="132" t="s">
        <v>7</v>
      </c>
      <c r="C250" s="179">
        <v>2019</v>
      </c>
      <c r="D250" s="146">
        <v>1819</v>
      </c>
      <c r="E250" s="102">
        <v>136.42499999999998</v>
      </c>
      <c r="F250" s="102">
        <f>E250+D250</f>
        <v>1955.425</v>
      </c>
      <c r="G250" s="146">
        <v>1819</v>
      </c>
      <c r="H250" s="146">
        <v>0</v>
      </c>
      <c r="I250" s="102">
        <v>136.42499999999998</v>
      </c>
      <c r="J250" s="102">
        <f>J249+F250-G250-I250</f>
        <v>0</v>
      </c>
      <c r="K250" s="102">
        <f>J250-$J$249</f>
        <v>0</v>
      </c>
    </row>
    <row r="251" spans="1:11" ht="13" x14ac:dyDescent="0.3">
      <c r="A251" s="96">
        <f t="shared" ref="A251:A274" si="41">A250+1</f>
        <v>187</v>
      </c>
      <c r="B251" s="132" t="s">
        <v>8</v>
      </c>
      <c r="C251" s="179">
        <v>2019</v>
      </c>
      <c r="D251" s="146">
        <v>2660</v>
      </c>
      <c r="E251" s="102">
        <v>199.5</v>
      </c>
      <c r="F251" s="102">
        <f t="shared" ref="F251:F273" si="42">E251+D251</f>
        <v>2859.5</v>
      </c>
      <c r="G251" s="146">
        <v>2660</v>
      </c>
      <c r="H251" s="146">
        <v>0</v>
      </c>
      <c r="I251" s="102">
        <v>199.5</v>
      </c>
      <c r="J251" s="102">
        <f t="shared" ref="J251:J273" si="43">J250+F251-G251-I251</f>
        <v>0</v>
      </c>
      <c r="K251" s="102">
        <f t="shared" ref="K251:K273" si="44">J251-$J$249</f>
        <v>0</v>
      </c>
    </row>
    <row r="252" spans="1:11" ht="13" x14ac:dyDescent="0.3">
      <c r="A252" s="96">
        <f t="shared" si="41"/>
        <v>188</v>
      </c>
      <c r="B252" s="132" t="s">
        <v>18</v>
      </c>
      <c r="C252" s="179">
        <v>2019</v>
      </c>
      <c r="D252" s="146">
        <v>2620</v>
      </c>
      <c r="E252" s="102">
        <v>196.5</v>
      </c>
      <c r="F252" s="102">
        <f t="shared" si="42"/>
        <v>2816.5</v>
      </c>
      <c r="G252" s="146">
        <v>2620</v>
      </c>
      <c r="H252" s="146">
        <v>0</v>
      </c>
      <c r="I252" s="102">
        <v>196.5</v>
      </c>
      <c r="J252" s="102">
        <f t="shared" si="43"/>
        <v>0</v>
      </c>
      <c r="K252" s="102">
        <f t="shared" si="44"/>
        <v>0</v>
      </c>
    </row>
    <row r="253" spans="1:11" ht="13" x14ac:dyDescent="0.3">
      <c r="A253" s="96">
        <f t="shared" si="41"/>
        <v>189</v>
      </c>
      <c r="B253" s="132" t="s">
        <v>9</v>
      </c>
      <c r="C253" s="179">
        <v>2019</v>
      </c>
      <c r="D253" s="146">
        <v>30</v>
      </c>
      <c r="E253" s="102">
        <v>2.25</v>
      </c>
      <c r="F253" s="102">
        <f t="shared" si="42"/>
        <v>32.25</v>
      </c>
      <c r="G253" s="146">
        <v>30</v>
      </c>
      <c r="H253" s="146">
        <v>0</v>
      </c>
      <c r="I253" s="102">
        <v>2.25</v>
      </c>
      <c r="J253" s="102">
        <f t="shared" si="43"/>
        <v>0</v>
      </c>
      <c r="K253" s="102">
        <f t="shared" si="44"/>
        <v>0</v>
      </c>
    </row>
    <row r="254" spans="1:11" ht="13" x14ac:dyDescent="0.3">
      <c r="A254" s="96">
        <f t="shared" si="41"/>
        <v>190</v>
      </c>
      <c r="B254" s="132" t="s">
        <v>10</v>
      </c>
      <c r="C254" s="179">
        <v>2019</v>
      </c>
      <c r="D254" s="146">
        <v>0</v>
      </c>
      <c r="E254" s="102">
        <v>0</v>
      </c>
      <c r="F254" s="102">
        <f t="shared" si="42"/>
        <v>0</v>
      </c>
      <c r="G254" s="146">
        <v>0</v>
      </c>
      <c r="H254" s="146">
        <v>0</v>
      </c>
      <c r="I254" s="102">
        <v>0</v>
      </c>
      <c r="J254" s="102">
        <f t="shared" si="43"/>
        <v>0</v>
      </c>
      <c r="K254" s="102">
        <f t="shared" si="44"/>
        <v>0</v>
      </c>
    </row>
    <row r="255" spans="1:11" ht="13" x14ac:dyDescent="0.3">
      <c r="A255" s="96">
        <f t="shared" si="41"/>
        <v>191</v>
      </c>
      <c r="B255" s="132" t="s">
        <v>25</v>
      </c>
      <c r="C255" s="179">
        <v>2019</v>
      </c>
      <c r="D255" s="146">
        <v>0</v>
      </c>
      <c r="E255" s="102">
        <v>0</v>
      </c>
      <c r="F255" s="102">
        <f t="shared" si="42"/>
        <v>0</v>
      </c>
      <c r="G255" s="146">
        <v>0</v>
      </c>
      <c r="H255" s="146">
        <v>0</v>
      </c>
      <c r="I255" s="102">
        <v>0</v>
      </c>
      <c r="J255" s="102">
        <f t="shared" si="43"/>
        <v>0</v>
      </c>
      <c r="K255" s="102">
        <f t="shared" si="44"/>
        <v>0</v>
      </c>
    </row>
    <row r="256" spans="1:11" ht="13" x14ac:dyDescent="0.3">
      <c r="A256" s="96">
        <f t="shared" si="41"/>
        <v>192</v>
      </c>
      <c r="B256" s="132" t="s">
        <v>11</v>
      </c>
      <c r="C256" s="179">
        <v>2019</v>
      </c>
      <c r="D256" s="146">
        <v>0</v>
      </c>
      <c r="E256" s="102">
        <v>0</v>
      </c>
      <c r="F256" s="102">
        <f t="shared" si="42"/>
        <v>0</v>
      </c>
      <c r="G256" s="146">
        <v>0</v>
      </c>
      <c r="H256" s="146">
        <v>0</v>
      </c>
      <c r="I256" s="102">
        <v>0</v>
      </c>
      <c r="J256" s="102">
        <f t="shared" si="43"/>
        <v>0</v>
      </c>
      <c r="K256" s="102">
        <f t="shared" si="44"/>
        <v>0</v>
      </c>
    </row>
    <row r="257" spans="1:11" ht="13" x14ac:dyDescent="0.3">
      <c r="A257" s="96">
        <f t="shared" si="41"/>
        <v>193</v>
      </c>
      <c r="B257" s="132" t="s">
        <v>12</v>
      </c>
      <c r="C257" s="179">
        <v>2019</v>
      </c>
      <c r="D257" s="146">
        <v>0</v>
      </c>
      <c r="E257" s="102">
        <v>0</v>
      </c>
      <c r="F257" s="102">
        <f t="shared" si="42"/>
        <v>0</v>
      </c>
      <c r="G257" s="146">
        <v>0</v>
      </c>
      <c r="H257" s="146">
        <v>0</v>
      </c>
      <c r="I257" s="102">
        <v>0</v>
      </c>
      <c r="J257" s="102">
        <f t="shared" si="43"/>
        <v>0</v>
      </c>
      <c r="K257" s="102">
        <f t="shared" si="44"/>
        <v>0</v>
      </c>
    </row>
    <row r="258" spans="1:11" ht="13" x14ac:dyDescent="0.3">
      <c r="A258" s="96">
        <f t="shared" si="41"/>
        <v>194</v>
      </c>
      <c r="B258" s="132" t="s">
        <v>13</v>
      </c>
      <c r="C258" s="179">
        <v>2019</v>
      </c>
      <c r="D258" s="146">
        <v>0</v>
      </c>
      <c r="E258" s="102">
        <v>0</v>
      </c>
      <c r="F258" s="102">
        <f t="shared" si="42"/>
        <v>0</v>
      </c>
      <c r="G258" s="146">
        <v>0</v>
      </c>
      <c r="H258" s="146">
        <v>0</v>
      </c>
      <c r="I258" s="102">
        <v>0</v>
      </c>
      <c r="J258" s="102">
        <f t="shared" si="43"/>
        <v>0</v>
      </c>
      <c r="K258" s="102">
        <f t="shared" si="44"/>
        <v>0</v>
      </c>
    </row>
    <row r="259" spans="1:11" ht="13" x14ac:dyDescent="0.3">
      <c r="A259" s="96">
        <f t="shared" si="41"/>
        <v>195</v>
      </c>
      <c r="B259" s="132" t="s">
        <v>15</v>
      </c>
      <c r="C259" s="179">
        <v>2019</v>
      </c>
      <c r="D259" s="146">
        <v>0</v>
      </c>
      <c r="E259" s="102">
        <v>0</v>
      </c>
      <c r="F259" s="102">
        <f t="shared" si="42"/>
        <v>0</v>
      </c>
      <c r="G259" s="146">
        <v>0</v>
      </c>
      <c r="H259" s="146">
        <v>0</v>
      </c>
      <c r="I259" s="102">
        <v>0</v>
      </c>
      <c r="J259" s="102">
        <f t="shared" si="43"/>
        <v>0</v>
      </c>
      <c r="K259" s="102">
        <f t="shared" si="44"/>
        <v>0</v>
      </c>
    </row>
    <row r="260" spans="1:11" ht="13" x14ac:dyDescent="0.3">
      <c r="A260" s="96">
        <f t="shared" si="41"/>
        <v>196</v>
      </c>
      <c r="B260" s="132" t="s">
        <v>14</v>
      </c>
      <c r="C260" s="179">
        <v>2019</v>
      </c>
      <c r="D260" s="146">
        <v>0</v>
      </c>
      <c r="E260" s="102">
        <v>0</v>
      </c>
      <c r="F260" s="102">
        <f t="shared" si="42"/>
        <v>0</v>
      </c>
      <c r="G260" s="146">
        <v>0</v>
      </c>
      <c r="H260" s="146">
        <v>0</v>
      </c>
      <c r="I260" s="102">
        <v>0</v>
      </c>
      <c r="J260" s="102">
        <f t="shared" si="43"/>
        <v>0</v>
      </c>
      <c r="K260" s="102">
        <f t="shared" si="44"/>
        <v>0</v>
      </c>
    </row>
    <row r="261" spans="1:11" ht="13" x14ac:dyDescent="0.3">
      <c r="A261" s="96">
        <f t="shared" si="41"/>
        <v>197</v>
      </c>
      <c r="B261" s="132" t="s">
        <v>6</v>
      </c>
      <c r="C261" s="179">
        <v>2019</v>
      </c>
      <c r="D261" s="146">
        <v>0</v>
      </c>
      <c r="E261" s="102">
        <v>0</v>
      </c>
      <c r="F261" s="102">
        <f t="shared" si="42"/>
        <v>0</v>
      </c>
      <c r="G261" s="146">
        <v>0</v>
      </c>
      <c r="H261" s="146">
        <v>0</v>
      </c>
      <c r="I261" s="102">
        <v>0</v>
      </c>
      <c r="J261" s="102">
        <f t="shared" si="43"/>
        <v>0</v>
      </c>
      <c r="K261" s="102">
        <f t="shared" si="44"/>
        <v>0</v>
      </c>
    </row>
    <row r="262" spans="1:11" ht="13" x14ac:dyDescent="0.3">
      <c r="A262" s="96">
        <f t="shared" si="41"/>
        <v>198</v>
      </c>
      <c r="B262" s="132" t="s">
        <v>7</v>
      </c>
      <c r="C262" s="179">
        <v>2020</v>
      </c>
      <c r="D262" s="146">
        <v>0</v>
      </c>
      <c r="E262" s="102">
        <v>0</v>
      </c>
      <c r="F262" s="102">
        <f t="shared" si="42"/>
        <v>0</v>
      </c>
      <c r="G262" s="146">
        <v>0</v>
      </c>
      <c r="H262" s="146">
        <v>0</v>
      </c>
      <c r="I262" s="102">
        <v>0</v>
      </c>
      <c r="J262" s="102">
        <f t="shared" si="43"/>
        <v>0</v>
      </c>
      <c r="K262" s="102">
        <f t="shared" si="44"/>
        <v>0</v>
      </c>
    </row>
    <row r="263" spans="1:11" ht="13" x14ac:dyDescent="0.3">
      <c r="A263" s="96">
        <f t="shared" si="41"/>
        <v>199</v>
      </c>
      <c r="B263" s="132" t="s">
        <v>8</v>
      </c>
      <c r="C263" s="179">
        <v>2020</v>
      </c>
      <c r="D263" s="146">
        <v>0</v>
      </c>
      <c r="E263" s="102">
        <v>0</v>
      </c>
      <c r="F263" s="102">
        <f t="shared" si="42"/>
        <v>0</v>
      </c>
      <c r="G263" s="146">
        <v>0</v>
      </c>
      <c r="H263" s="146">
        <v>0</v>
      </c>
      <c r="I263" s="102">
        <v>0</v>
      </c>
      <c r="J263" s="102">
        <f t="shared" si="43"/>
        <v>0</v>
      </c>
      <c r="K263" s="102">
        <f t="shared" si="44"/>
        <v>0</v>
      </c>
    </row>
    <row r="264" spans="1:11" ht="13" x14ac:dyDescent="0.3">
      <c r="A264" s="96">
        <f t="shared" si="41"/>
        <v>200</v>
      </c>
      <c r="B264" s="132" t="s">
        <v>18</v>
      </c>
      <c r="C264" s="179">
        <v>2020</v>
      </c>
      <c r="D264" s="146">
        <v>0</v>
      </c>
      <c r="E264" s="102">
        <v>0</v>
      </c>
      <c r="F264" s="102">
        <f t="shared" si="42"/>
        <v>0</v>
      </c>
      <c r="G264" s="146">
        <v>0</v>
      </c>
      <c r="H264" s="146">
        <v>0</v>
      </c>
      <c r="I264" s="102">
        <v>0</v>
      </c>
      <c r="J264" s="102">
        <f t="shared" si="43"/>
        <v>0</v>
      </c>
      <c r="K264" s="102">
        <f t="shared" si="44"/>
        <v>0</v>
      </c>
    </row>
    <row r="265" spans="1:11" ht="13" x14ac:dyDescent="0.3">
      <c r="A265" s="96">
        <f t="shared" si="41"/>
        <v>201</v>
      </c>
      <c r="B265" s="132" t="s">
        <v>9</v>
      </c>
      <c r="C265" s="179">
        <v>2020</v>
      </c>
      <c r="D265" s="146">
        <v>0</v>
      </c>
      <c r="E265" s="102">
        <v>0</v>
      </c>
      <c r="F265" s="102">
        <f t="shared" si="42"/>
        <v>0</v>
      </c>
      <c r="G265" s="146">
        <v>0</v>
      </c>
      <c r="H265" s="146">
        <v>0</v>
      </c>
      <c r="I265" s="102">
        <v>0</v>
      </c>
      <c r="J265" s="102">
        <f t="shared" si="43"/>
        <v>0</v>
      </c>
      <c r="K265" s="102">
        <f t="shared" si="44"/>
        <v>0</v>
      </c>
    </row>
    <row r="266" spans="1:11" ht="13" x14ac:dyDescent="0.3">
      <c r="A266" s="96">
        <f t="shared" si="41"/>
        <v>202</v>
      </c>
      <c r="B266" s="132" t="s">
        <v>10</v>
      </c>
      <c r="C266" s="179">
        <v>2020</v>
      </c>
      <c r="D266" s="146">
        <v>0</v>
      </c>
      <c r="E266" s="102">
        <v>0</v>
      </c>
      <c r="F266" s="102">
        <f t="shared" si="42"/>
        <v>0</v>
      </c>
      <c r="G266" s="146">
        <v>0</v>
      </c>
      <c r="H266" s="146">
        <v>0</v>
      </c>
      <c r="I266" s="102">
        <v>0</v>
      </c>
      <c r="J266" s="102">
        <f t="shared" si="43"/>
        <v>0</v>
      </c>
      <c r="K266" s="102">
        <f t="shared" si="44"/>
        <v>0</v>
      </c>
    </row>
    <row r="267" spans="1:11" ht="13" x14ac:dyDescent="0.3">
      <c r="A267" s="96">
        <f t="shared" si="41"/>
        <v>203</v>
      </c>
      <c r="B267" s="132" t="s">
        <v>25</v>
      </c>
      <c r="C267" s="179">
        <v>2020</v>
      </c>
      <c r="D267" s="146">
        <v>0</v>
      </c>
      <c r="E267" s="102">
        <v>0</v>
      </c>
      <c r="F267" s="102">
        <f t="shared" si="42"/>
        <v>0</v>
      </c>
      <c r="G267" s="146">
        <v>0</v>
      </c>
      <c r="H267" s="146">
        <v>0</v>
      </c>
      <c r="I267" s="102">
        <v>0</v>
      </c>
      <c r="J267" s="102">
        <f t="shared" si="43"/>
        <v>0</v>
      </c>
      <c r="K267" s="102">
        <f t="shared" si="44"/>
        <v>0</v>
      </c>
    </row>
    <row r="268" spans="1:11" ht="13" x14ac:dyDescent="0.3">
      <c r="A268" s="96">
        <f t="shared" si="41"/>
        <v>204</v>
      </c>
      <c r="B268" s="132" t="s">
        <v>11</v>
      </c>
      <c r="C268" s="179">
        <v>2020</v>
      </c>
      <c r="D268" s="146">
        <v>0</v>
      </c>
      <c r="E268" s="102">
        <v>0</v>
      </c>
      <c r="F268" s="102">
        <f t="shared" si="42"/>
        <v>0</v>
      </c>
      <c r="G268" s="146">
        <v>0</v>
      </c>
      <c r="H268" s="146">
        <v>0</v>
      </c>
      <c r="I268" s="102">
        <v>0</v>
      </c>
      <c r="J268" s="102">
        <f t="shared" si="43"/>
        <v>0</v>
      </c>
      <c r="K268" s="102">
        <f t="shared" si="44"/>
        <v>0</v>
      </c>
    </row>
    <row r="269" spans="1:11" ht="13" x14ac:dyDescent="0.3">
      <c r="A269" s="96">
        <f t="shared" si="41"/>
        <v>205</v>
      </c>
      <c r="B269" s="132" t="s">
        <v>12</v>
      </c>
      <c r="C269" s="179">
        <v>2020</v>
      </c>
      <c r="D269" s="146">
        <v>0</v>
      </c>
      <c r="E269" s="102">
        <v>0</v>
      </c>
      <c r="F269" s="102">
        <f t="shared" si="42"/>
        <v>0</v>
      </c>
      <c r="G269" s="146">
        <v>0</v>
      </c>
      <c r="H269" s="146">
        <v>0</v>
      </c>
      <c r="I269" s="102">
        <v>0</v>
      </c>
      <c r="J269" s="102">
        <f t="shared" si="43"/>
        <v>0</v>
      </c>
      <c r="K269" s="102">
        <f t="shared" si="44"/>
        <v>0</v>
      </c>
    </row>
    <row r="270" spans="1:11" ht="13" x14ac:dyDescent="0.3">
      <c r="A270" s="96">
        <f t="shared" si="41"/>
        <v>206</v>
      </c>
      <c r="B270" s="132" t="s">
        <v>13</v>
      </c>
      <c r="C270" s="179">
        <v>2020</v>
      </c>
      <c r="D270" s="146">
        <v>0</v>
      </c>
      <c r="E270" s="102">
        <v>0</v>
      </c>
      <c r="F270" s="102">
        <f t="shared" si="42"/>
        <v>0</v>
      </c>
      <c r="G270" s="146">
        <v>0</v>
      </c>
      <c r="H270" s="146">
        <v>0</v>
      </c>
      <c r="I270" s="102">
        <v>0</v>
      </c>
      <c r="J270" s="102">
        <f t="shared" si="43"/>
        <v>0</v>
      </c>
      <c r="K270" s="102">
        <f t="shared" si="44"/>
        <v>0</v>
      </c>
    </row>
    <row r="271" spans="1:11" ht="13" x14ac:dyDescent="0.3">
      <c r="A271" s="96">
        <f t="shared" si="41"/>
        <v>207</v>
      </c>
      <c r="B271" s="132" t="s">
        <v>15</v>
      </c>
      <c r="C271" s="179">
        <v>2020</v>
      </c>
      <c r="D271" s="146">
        <v>0</v>
      </c>
      <c r="E271" s="102">
        <v>0</v>
      </c>
      <c r="F271" s="102">
        <f t="shared" si="42"/>
        <v>0</v>
      </c>
      <c r="G271" s="146">
        <v>0</v>
      </c>
      <c r="H271" s="146">
        <v>0</v>
      </c>
      <c r="I271" s="102">
        <v>0</v>
      </c>
      <c r="J271" s="102">
        <f t="shared" si="43"/>
        <v>0</v>
      </c>
      <c r="K271" s="102">
        <f t="shared" si="44"/>
        <v>0</v>
      </c>
    </row>
    <row r="272" spans="1:11" ht="13" x14ac:dyDescent="0.3">
      <c r="A272" s="96">
        <f t="shared" si="41"/>
        <v>208</v>
      </c>
      <c r="B272" s="132" t="s">
        <v>14</v>
      </c>
      <c r="C272" s="179">
        <v>2020</v>
      </c>
      <c r="D272" s="146">
        <v>0</v>
      </c>
      <c r="E272" s="102">
        <v>0</v>
      </c>
      <c r="F272" s="102">
        <f t="shared" si="42"/>
        <v>0</v>
      </c>
      <c r="G272" s="146">
        <v>0</v>
      </c>
      <c r="H272" s="146">
        <v>0</v>
      </c>
      <c r="I272" s="102">
        <v>0</v>
      </c>
      <c r="J272" s="102">
        <f t="shared" si="43"/>
        <v>0</v>
      </c>
      <c r="K272" s="102">
        <f t="shared" si="44"/>
        <v>0</v>
      </c>
    </row>
    <row r="273" spans="1:13" ht="13" x14ac:dyDescent="0.3">
      <c r="A273" s="96">
        <f t="shared" si="41"/>
        <v>209</v>
      </c>
      <c r="B273" s="132" t="s">
        <v>6</v>
      </c>
      <c r="C273" s="179">
        <v>2020</v>
      </c>
      <c r="D273" s="146">
        <v>0</v>
      </c>
      <c r="E273" s="102">
        <v>0</v>
      </c>
      <c r="F273" s="102">
        <f t="shared" si="42"/>
        <v>0</v>
      </c>
      <c r="G273" s="146">
        <v>0</v>
      </c>
      <c r="H273" s="146">
        <v>0</v>
      </c>
      <c r="I273" s="102">
        <v>0</v>
      </c>
      <c r="J273" s="102">
        <f t="shared" si="43"/>
        <v>0</v>
      </c>
      <c r="K273" s="108">
        <f t="shared" si="44"/>
        <v>0</v>
      </c>
    </row>
    <row r="274" spans="1:13" ht="13" x14ac:dyDescent="0.3">
      <c r="A274" s="96">
        <f t="shared" si="41"/>
        <v>210</v>
      </c>
      <c r="C274" s="240" t="s">
        <v>380</v>
      </c>
      <c r="K274" s="241">
        <f>AVERAGE(K261:K273)</f>
        <v>0</v>
      </c>
    </row>
    <row r="275" spans="1:13" ht="12.75" customHeight="1" x14ac:dyDescent="0.3">
      <c r="A275" s="96"/>
      <c r="C275" s="240"/>
      <c r="K275" s="241"/>
    </row>
    <row r="276" spans="1:13" ht="13" x14ac:dyDescent="0.3">
      <c r="B276" s="242" t="s">
        <v>398</v>
      </c>
      <c r="D276" s="300" t="s">
        <v>399</v>
      </c>
      <c r="E276" s="300"/>
    </row>
    <row r="277" spans="1:13" ht="13" x14ac:dyDescent="0.3">
      <c r="D277" s="136"/>
      <c r="E277" s="243"/>
      <c r="F277" s="128"/>
      <c r="G277" s="96" t="str">
        <f>G51</f>
        <v>Unloaded</v>
      </c>
      <c r="H277" s="136"/>
      <c r="I277" s="243"/>
      <c r="J277" s="243"/>
      <c r="K277" s="243"/>
    </row>
    <row r="278" spans="1:13" ht="13" x14ac:dyDescent="0.3">
      <c r="A278" s="96"/>
      <c r="B278" s="96"/>
      <c r="C278" s="96"/>
      <c r="D278" s="96" t="str">
        <f>D$52</f>
        <v>Forecast</v>
      </c>
      <c r="E278" s="96" t="str">
        <f t="shared" ref="E278:J278" si="45">E$52</f>
        <v>Corporate</v>
      </c>
      <c r="F278" s="96" t="str">
        <f t="shared" si="45"/>
        <v xml:space="preserve">Total </v>
      </c>
      <c r="G278" s="96" t="str">
        <f>G52</f>
        <v>Total</v>
      </c>
      <c r="H278" s="96" t="str">
        <f t="shared" si="45"/>
        <v>Prior Period</v>
      </c>
      <c r="I278" s="96" t="str">
        <f t="shared" si="45"/>
        <v>Over Heads</v>
      </c>
      <c r="J278" s="96" t="str">
        <f t="shared" si="45"/>
        <v>Forecast</v>
      </c>
      <c r="K278" s="96" t="str">
        <f>K$52</f>
        <v>Forecast Period</v>
      </c>
    </row>
    <row r="279" spans="1:13" ht="13" x14ac:dyDescent="0.3">
      <c r="A279" s="99" t="s">
        <v>336</v>
      </c>
      <c r="B279" s="134" t="s">
        <v>16</v>
      </c>
      <c r="C279" s="134" t="s">
        <v>17</v>
      </c>
      <c r="D279" s="100" t="str">
        <f>D$53</f>
        <v>Expenditures</v>
      </c>
      <c r="E279" s="100" t="str">
        <f t="shared" ref="E279:J279" si="46">E$53</f>
        <v>Overheads</v>
      </c>
      <c r="F279" s="100" t="str">
        <f t="shared" si="46"/>
        <v>CWIP Exp</v>
      </c>
      <c r="G279" s="100" t="str">
        <f>G53</f>
        <v>Plant Adds</v>
      </c>
      <c r="H279" s="100" t="str">
        <f t="shared" si="46"/>
        <v>CWIP Closed</v>
      </c>
      <c r="I279" s="100" t="str">
        <f t="shared" si="46"/>
        <v>Closed to PIS</v>
      </c>
      <c r="J279" s="100" t="str">
        <f t="shared" si="46"/>
        <v>Period CWIP</v>
      </c>
      <c r="K279" s="100" t="str">
        <f>K$53</f>
        <v>Incremental CWIP</v>
      </c>
    </row>
    <row r="280" spans="1:13" ht="13" x14ac:dyDescent="0.3">
      <c r="A280" s="96">
        <f>A274+1</f>
        <v>211</v>
      </c>
      <c r="B280" s="132" t="s">
        <v>6</v>
      </c>
      <c r="C280" s="179">
        <v>2018</v>
      </c>
      <c r="D280" s="128" t="s">
        <v>361</v>
      </c>
      <c r="E280" s="128" t="s">
        <v>361</v>
      </c>
      <c r="F280" s="128" t="s">
        <v>361</v>
      </c>
      <c r="G280" s="128" t="s">
        <v>361</v>
      </c>
      <c r="H280" s="128" t="s">
        <v>361</v>
      </c>
      <c r="I280" s="128" t="s">
        <v>361</v>
      </c>
      <c r="J280" s="102">
        <f>E45</f>
        <v>0</v>
      </c>
      <c r="K280" s="128" t="s">
        <v>361</v>
      </c>
    </row>
    <row r="281" spans="1:13" ht="13" x14ac:dyDescent="0.3">
      <c r="A281" s="96">
        <f>A280+1</f>
        <v>212</v>
      </c>
      <c r="B281" s="132" t="s">
        <v>7</v>
      </c>
      <c r="C281" s="179">
        <v>2019</v>
      </c>
      <c r="D281" s="146">
        <v>2068.5600000000004</v>
      </c>
      <c r="E281" s="102">
        <v>155.14200000000002</v>
      </c>
      <c r="F281" s="102">
        <f>E281+D281</f>
        <v>2223.7020000000002</v>
      </c>
      <c r="G281" s="146">
        <v>0</v>
      </c>
      <c r="H281" s="146">
        <v>0</v>
      </c>
      <c r="I281" s="102">
        <v>0</v>
      </c>
      <c r="J281" s="102">
        <f>J280+F281-G281-I281</f>
        <v>2223.7020000000002</v>
      </c>
      <c r="K281" s="102">
        <f>J281-$J$280</f>
        <v>2223.7020000000002</v>
      </c>
    </row>
    <row r="282" spans="1:13" ht="13" x14ac:dyDescent="0.3">
      <c r="A282" s="96">
        <f t="shared" ref="A282:A305" si="47">A281+1</f>
        <v>213</v>
      </c>
      <c r="B282" s="132" t="s">
        <v>8</v>
      </c>
      <c r="C282" s="179">
        <v>2019</v>
      </c>
      <c r="D282" s="146">
        <v>1119</v>
      </c>
      <c r="E282" s="102">
        <v>83.924999999999997</v>
      </c>
      <c r="F282" s="102">
        <f t="shared" ref="F282:F304" si="48">E282+D282</f>
        <v>1202.925</v>
      </c>
      <c r="G282" s="146">
        <v>0</v>
      </c>
      <c r="H282" s="146">
        <v>0</v>
      </c>
      <c r="I282" s="102">
        <v>0</v>
      </c>
      <c r="J282" s="102">
        <f t="shared" ref="J282:J304" si="49">J281+F282-G282-I282</f>
        <v>3426.6270000000004</v>
      </c>
      <c r="K282" s="102">
        <f t="shared" ref="K282:K304" si="50">J282-$J$280</f>
        <v>3426.6270000000004</v>
      </c>
    </row>
    <row r="283" spans="1:13" ht="13" x14ac:dyDescent="0.3">
      <c r="A283" s="96">
        <f t="shared" si="47"/>
        <v>214</v>
      </c>
      <c r="B283" s="132" t="s">
        <v>18</v>
      </c>
      <c r="C283" s="179">
        <v>2019</v>
      </c>
      <c r="D283" s="146">
        <v>3700.32</v>
      </c>
      <c r="E283" s="102">
        <v>277.524</v>
      </c>
      <c r="F283" s="102">
        <f t="shared" si="48"/>
        <v>3977.8440000000001</v>
      </c>
      <c r="G283" s="146">
        <v>0</v>
      </c>
      <c r="H283" s="146">
        <v>0</v>
      </c>
      <c r="I283" s="102">
        <v>0</v>
      </c>
      <c r="J283" s="102">
        <f t="shared" si="49"/>
        <v>7404.4710000000005</v>
      </c>
      <c r="K283" s="102">
        <f t="shared" si="50"/>
        <v>7404.4710000000005</v>
      </c>
    </row>
    <row r="284" spans="1:13" ht="13" x14ac:dyDescent="0.3">
      <c r="A284" s="96">
        <f t="shared" si="47"/>
        <v>215</v>
      </c>
      <c r="B284" s="132" t="s">
        <v>9</v>
      </c>
      <c r="C284" s="179">
        <v>2019</v>
      </c>
      <c r="D284" s="146">
        <v>43679.124444444446</v>
      </c>
      <c r="E284" s="102">
        <v>3275.9343333333331</v>
      </c>
      <c r="F284" s="102">
        <f t="shared" si="48"/>
        <v>46955.058777777776</v>
      </c>
      <c r="G284" s="146">
        <v>0</v>
      </c>
      <c r="H284" s="146">
        <v>0</v>
      </c>
      <c r="I284" s="102">
        <v>0</v>
      </c>
      <c r="J284" s="102">
        <f t="shared" si="49"/>
        <v>54359.529777777774</v>
      </c>
      <c r="K284" s="102">
        <f t="shared" si="50"/>
        <v>54359.529777777774</v>
      </c>
    </row>
    <row r="285" spans="1:13" ht="13" x14ac:dyDescent="0.3">
      <c r="A285" s="96">
        <f t="shared" si="47"/>
        <v>216</v>
      </c>
      <c r="B285" s="132" t="s">
        <v>10</v>
      </c>
      <c r="C285" s="179">
        <v>2019</v>
      </c>
      <c r="D285" s="146">
        <v>43679.124444444446</v>
      </c>
      <c r="E285" s="102">
        <v>3275.9343333333331</v>
      </c>
      <c r="F285" s="102">
        <f t="shared" si="48"/>
        <v>46955.058777777776</v>
      </c>
      <c r="G285" s="146">
        <v>0</v>
      </c>
      <c r="H285" s="146">
        <v>0</v>
      </c>
      <c r="I285" s="102">
        <v>0</v>
      </c>
      <c r="J285" s="102">
        <f t="shared" si="49"/>
        <v>101314.58855555556</v>
      </c>
      <c r="K285" s="102">
        <f t="shared" si="50"/>
        <v>101314.58855555556</v>
      </c>
      <c r="L285" s="96"/>
      <c r="M285" s="96"/>
    </row>
    <row r="286" spans="1:13" ht="13" x14ac:dyDescent="0.3">
      <c r="A286" s="96">
        <f t="shared" si="47"/>
        <v>217</v>
      </c>
      <c r="B286" s="132" t="s">
        <v>25</v>
      </c>
      <c r="C286" s="179">
        <v>2019</v>
      </c>
      <c r="D286" s="146">
        <v>43679.124444444446</v>
      </c>
      <c r="E286" s="102">
        <v>3275.9343333333331</v>
      </c>
      <c r="F286" s="102">
        <f t="shared" si="48"/>
        <v>46955.058777777776</v>
      </c>
      <c r="G286" s="146">
        <v>0</v>
      </c>
      <c r="H286" s="146">
        <v>0</v>
      </c>
      <c r="I286" s="102">
        <v>0</v>
      </c>
      <c r="J286" s="102">
        <f t="shared" si="49"/>
        <v>148269.64733333333</v>
      </c>
      <c r="K286" s="102">
        <f t="shared" si="50"/>
        <v>148269.64733333333</v>
      </c>
      <c r="L286" s="100"/>
      <c r="M286" s="100"/>
    </row>
    <row r="287" spans="1:13" ht="13" x14ac:dyDescent="0.3">
      <c r="A287" s="96">
        <f t="shared" si="47"/>
        <v>218</v>
      </c>
      <c r="B287" s="132" t="s">
        <v>11</v>
      </c>
      <c r="C287" s="179">
        <v>2019</v>
      </c>
      <c r="D287" s="146">
        <v>43679.124444444446</v>
      </c>
      <c r="E287" s="102">
        <v>3275.9343333333331</v>
      </c>
      <c r="F287" s="102">
        <f t="shared" si="48"/>
        <v>46955.058777777776</v>
      </c>
      <c r="G287" s="146">
        <v>0</v>
      </c>
      <c r="H287" s="146">
        <v>0</v>
      </c>
      <c r="I287" s="102">
        <v>0</v>
      </c>
      <c r="J287" s="102">
        <f t="shared" si="49"/>
        <v>195224.7061111111</v>
      </c>
      <c r="K287" s="102">
        <f t="shared" si="50"/>
        <v>195224.7061111111</v>
      </c>
    </row>
    <row r="288" spans="1:13" ht="13" x14ac:dyDescent="0.3">
      <c r="A288" s="96">
        <f t="shared" si="47"/>
        <v>219</v>
      </c>
      <c r="B288" s="132" t="s">
        <v>12</v>
      </c>
      <c r="C288" s="179">
        <v>2019</v>
      </c>
      <c r="D288" s="146">
        <v>43679.124444444446</v>
      </c>
      <c r="E288" s="102">
        <v>3275.9343333333331</v>
      </c>
      <c r="F288" s="102">
        <f t="shared" si="48"/>
        <v>46955.058777777776</v>
      </c>
      <c r="G288" s="146">
        <v>0</v>
      </c>
      <c r="H288" s="146">
        <v>0</v>
      </c>
      <c r="I288" s="102">
        <v>0</v>
      </c>
      <c r="J288" s="102">
        <f t="shared" si="49"/>
        <v>242179.76488888887</v>
      </c>
      <c r="K288" s="102">
        <f t="shared" si="50"/>
        <v>242179.76488888887</v>
      </c>
    </row>
    <row r="289" spans="1:11" ht="13" x14ac:dyDescent="0.3">
      <c r="A289" s="96">
        <f t="shared" si="47"/>
        <v>220</v>
      </c>
      <c r="B289" s="132" t="s">
        <v>13</v>
      </c>
      <c r="C289" s="179">
        <v>2019</v>
      </c>
      <c r="D289" s="146">
        <v>43679.124444444446</v>
      </c>
      <c r="E289" s="102">
        <v>3275.9343333333331</v>
      </c>
      <c r="F289" s="102">
        <f t="shared" si="48"/>
        <v>46955.058777777776</v>
      </c>
      <c r="G289" s="146">
        <v>0</v>
      </c>
      <c r="H289" s="146">
        <v>0</v>
      </c>
      <c r="I289" s="102">
        <v>0</v>
      </c>
      <c r="J289" s="102">
        <f t="shared" si="49"/>
        <v>289134.82366666663</v>
      </c>
      <c r="K289" s="102">
        <f t="shared" si="50"/>
        <v>289134.82366666663</v>
      </c>
    </row>
    <row r="290" spans="1:11" ht="13" x14ac:dyDescent="0.3">
      <c r="A290" s="96">
        <f t="shared" si="47"/>
        <v>221</v>
      </c>
      <c r="B290" s="132" t="s">
        <v>15</v>
      </c>
      <c r="C290" s="179">
        <v>2019</v>
      </c>
      <c r="D290" s="146">
        <v>43679.124444444446</v>
      </c>
      <c r="E290" s="102">
        <v>3275.9343333333331</v>
      </c>
      <c r="F290" s="102">
        <f t="shared" si="48"/>
        <v>46955.058777777776</v>
      </c>
      <c r="G290" s="146">
        <v>0</v>
      </c>
      <c r="H290" s="146">
        <v>0</v>
      </c>
      <c r="I290" s="102">
        <v>0</v>
      </c>
      <c r="J290" s="102">
        <f t="shared" si="49"/>
        <v>336089.8824444444</v>
      </c>
      <c r="K290" s="102">
        <f t="shared" si="50"/>
        <v>336089.8824444444</v>
      </c>
    </row>
    <row r="291" spans="1:11" ht="13" x14ac:dyDescent="0.3">
      <c r="A291" s="96">
        <f t="shared" si="47"/>
        <v>222</v>
      </c>
      <c r="B291" s="132" t="s">
        <v>14</v>
      </c>
      <c r="C291" s="179">
        <v>2019</v>
      </c>
      <c r="D291" s="146">
        <v>43679.124444444446</v>
      </c>
      <c r="E291" s="102">
        <v>3275.9343333333331</v>
      </c>
      <c r="F291" s="102">
        <f t="shared" si="48"/>
        <v>46955.058777777776</v>
      </c>
      <c r="G291" s="146">
        <v>0</v>
      </c>
      <c r="H291" s="146">
        <v>0</v>
      </c>
      <c r="I291" s="102">
        <v>0</v>
      </c>
      <c r="J291" s="102">
        <f t="shared" si="49"/>
        <v>383044.94122222217</v>
      </c>
      <c r="K291" s="102">
        <f t="shared" si="50"/>
        <v>383044.94122222217</v>
      </c>
    </row>
    <row r="292" spans="1:11" ht="13" x14ac:dyDescent="0.3">
      <c r="A292" s="96">
        <f t="shared" si="47"/>
        <v>223</v>
      </c>
      <c r="B292" s="132" t="s">
        <v>6</v>
      </c>
      <c r="C292" s="179">
        <v>2019</v>
      </c>
      <c r="D292" s="146">
        <v>43679.124444444446</v>
      </c>
      <c r="E292" s="102">
        <v>3275.9343333333331</v>
      </c>
      <c r="F292" s="102">
        <f t="shared" si="48"/>
        <v>46955.058777777776</v>
      </c>
      <c r="G292" s="146">
        <v>0</v>
      </c>
      <c r="H292" s="146">
        <v>0</v>
      </c>
      <c r="I292" s="102">
        <v>0</v>
      </c>
      <c r="J292" s="102">
        <f t="shared" si="49"/>
        <v>429999.99999999994</v>
      </c>
      <c r="K292" s="102">
        <f t="shared" si="50"/>
        <v>429999.99999999994</v>
      </c>
    </row>
    <row r="293" spans="1:11" ht="13" x14ac:dyDescent="0.3">
      <c r="A293" s="96">
        <f t="shared" si="47"/>
        <v>224</v>
      </c>
      <c r="B293" s="132" t="s">
        <v>7</v>
      </c>
      <c r="C293" s="179">
        <v>2020</v>
      </c>
      <c r="D293" s="146">
        <v>1326373.75</v>
      </c>
      <c r="E293" s="102">
        <v>99478.03125</v>
      </c>
      <c r="F293" s="102">
        <f t="shared" si="48"/>
        <v>1425851.78125</v>
      </c>
      <c r="G293" s="146">
        <v>0</v>
      </c>
      <c r="H293" s="146">
        <v>0</v>
      </c>
      <c r="I293" s="102">
        <v>0</v>
      </c>
      <c r="J293" s="102">
        <f t="shared" si="49"/>
        <v>1855851.78125</v>
      </c>
      <c r="K293" s="102">
        <f t="shared" si="50"/>
        <v>1855851.78125</v>
      </c>
    </row>
    <row r="294" spans="1:11" ht="13" x14ac:dyDescent="0.3">
      <c r="A294" s="96">
        <f t="shared" si="47"/>
        <v>225</v>
      </c>
      <c r="B294" s="132" t="s">
        <v>8</v>
      </c>
      <c r="C294" s="179">
        <v>2020</v>
      </c>
      <c r="D294" s="146">
        <v>1326373.75</v>
      </c>
      <c r="E294" s="102">
        <v>99478.03125</v>
      </c>
      <c r="F294" s="102">
        <f t="shared" si="48"/>
        <v>1425851.78125</v>
      </c>
      <c r="G294" s="146">
        <v>0</v>
      </c>
      <c r="H294" s="146">
        <v>0</v>
      </c>
      <c r="I294" s="102">
        <v>0</v>
      </c>
      <c r="J294" s="102">
        <f t="shared" si="49"/>
        <v>3281703.5625</v>
      </c>
      <c r="K294" s="102">
        <f t="shared" si="50"/>
        <v>3281703.5625</v>
      </c>
    </row>
    <row r="295" spans="1:11" ht="13" x14ac:dyDescent="0.3">
      <c r="A295" s="96">
        <f t="shared" si="47"/>
        <v>226</v>
      </c>
      <c r="B295" s="132" t="s">
        <v>18</v>
      </c>
      <c r="C295" s="179">
        <v>2020</v>
      </c>
      <c r="D295" s="146">
        <v>1326373.75</v>
      </c>
      <c r="E295" s="102">
        <v>99478.03125</v>
      </c>
      <c r="F295" s="102">
        <f t="shared" si="48"/>
        <v>1425851.78125</v>
      </c>
      <c r="G295" s="146">
        <v>0</v>
      </c>
      <c r="H295" s="146">
        <v>0</v>
      </c>
      <c r="I295" s="102">
        <v>0</v>
      </c>
      <c r="J295" s="102">
        <f t="shared" si="49"/>
        <v>4707555.34375</v>
      </c>
      <c r="K295" s="102">
        <f t="shared" si="50"/>
        <v>4707555.34375</v>
      </c>
    </row>
    <row r="296" spans="1:11" ht="13" x14ac:dyDescent="0.3">
      <c r="A296" s="96">
        <f t="shared" si="47"/>
        <v>227</v>
      </c>
      <c r="B296" s="132" t="s">
        <v>9</v>
      </c>
      <c r="C296" s="179">
        <v>2020</v>
      </c>
      <c r="D296" s="146">
        <v>1326373.75</v>
      </c>
      <c r="E296" s="102">
        <v>99478.03125</v>
      </c>
      <c r="F296" s="102">
        <f t="shared" si="48"/>
        <v>1425851.78125</v>
      </c>
      <c r="G296" s="146">
        <v>0</v>
      </c>
      <c r="H296" s="146">
        <v>0</v>
      </c>
      <c r="I296" s="102">
        <v>0</v>
      </c>
      <c r="J296" s="102">
        <f t="shared" si="49"/>
        <v>6133407.125</v>
      </c>
      <c r="K296" s="102">
        <f t="shared" si="50"/>
        <v>6133407.125</v>
      </c>
    </row>
    <row r="297" spans="1:11" ht="13" x14ac:dyDescent="0.3">
      <c r="A297" s="96">
        <f t="shared" si="47"/>
        <v>228</v>
      </c>
      <c r="B297" s="132" t="s">
        <v>10</v>
      </c>
      <c r="C297" s="179">
        <v>2020</v>
      </c>
      <c r="D297" s="146">
        <v>1326373.75</v>
      </c>
      <c r="E297" s="102">
        <v>99478.03125</v>
      </c>
      <c r="F297" s="102">
        <f t="shared" si="48"/>
        <v>1425851.78125</v>
      </c>
      <c r="G297" s="146">
        <v>0</v>
      </c>
      <c r="H297" s="146">
        <v>0</v>
      </c>
      <c r="I297" s="102">
        <v>0</v>
      </c>
      <c r="J297" s="102">
        <f t="shared" si="49"/>
        <v>7559258.90625</v>
      </c>
      <c r="K297" s="102">
        <f t="shared" si="50"/>
        <v>7559258.90625</v>
      </c>
    </row>
    <row r="298" spans="1:11" ht="13" x14ac:dyDescent="0.3">
      <c r="A298" s="96">
        <f t="shared" si="47"/>
        <v>229</v>
      </c>
      <c r="B298" s="132" t="s">
        <v>25</v>
      </c>
      <c r="C298" s="179">
        <v>2020</v>
      </c>
      <c r="D298" s="146">
        <v>1326373.75</v>
      </c>
      <c r="E298" s="102">
        <v>99478.03125</v>
      </c>
      <c r="F298" s="102">
        <f t="shared" si="48"/>
        <v>1425851.78125</v>
      </c>
      <c r="G298" s="146">
        <v>0</v>
      </c>
      <c r="H298" s="146">
        <v>0</v>
      </c>
      <c r="I298" s="102">
        <v>0</v>
      </c>
      <c r="J298" s="102">
        <f t="shared" si="49"/>
        <v>8985110.6875</v>
      </c>
      <c r="K298" s="102">
        <f t="shared" si="50"/>
        <v>8985110.6875</v>
      </c>
    </row>
    <row r="299" spans="1:11" ht="13" x14ac:dyDescent="0.3">
      <c r="A299" s="96">
        <f t="shared" si="47"/>
        <v>230</v>
      </c>
      <c r="B299" s="132" t="s">
        <v>11</v>
      </c>
      <c r="C299" s="179">
        <v>2020</v>
      </c>
      <c r="D299" s="146">
        <v>1326373.75</v>
      </c>
      <c r="E299" s="102">
        <v>99478.03125</v>
      </c>
      <c r="F299" s="102">
        <f t="shared" si="48"/>
        <v>1425851.78125</v>
      </c>
      <c r="G299" s="146">
        <v>0</v>
      </c>
      <c r="H299" s="146">
        <v>0</v>
      </c>
      <c r="I299" s="102">
        <v>0</v>
      </c>
      <c r="J299" s="102">
        <f t="shared" si="49"/>
        <v>10410962.46875</v>
      </c>
      <c r="K299" s="102">
        <f t="shared" si="50"/>
        <v>10410962.46875</v>
      </c>
    </row>
    <row r="300" spans="1:11" ht="13" x14ac:dyDescent="0.3">
      <c r="A300" s="96">
        <f t="shared" si="47"/>
        <v>231</v>
      </c>
      <c r="B300" s="132" t="s">
        <v>12</v>
      </c>
      <c r="C300" s="179">
        <v>2020</v>
      </c>
      <c r="D300" s="146">
        <v>1326373.75</v>
      </c>
      <c r="E300" s="102">
        <v>99478.03125</v>
      </c>
      <c r="F300" s="102">
        <f t="shared" si="48"/>
        <v>1425851.78125</v>
      </c>
      <c r="G300" s="146">
        <v>0</v>
      </c>
      <c r="H300" s="146">
        <v>0</v>
      </c>
      <c r="I300" s="102">
        <v>0</v>
      </c>
      <c r="J300" s="102">
        <f t="shared" si="49"/>
        <v>11836814.25</v>
      </c>
      <c r="K300" s="102">
        <f t="shared" si="50"/>
        <v>11836814.25</v>
      </c>
    </row>
    <row r="301" spans="1:11" ht="13" x14ac:dyDescent="0.3">
      <c r="A301" s="96">
        <f t="shared" si="47"/>
        <v>232</v>
      </c>
      <c r="B301" s="132" t="s">
        <v>13</v>
      </c>
      <c r="C301" s="179">
        <v>2020</v>
      </c>
      <c r="D301" s="146">
        <v>1326373.75</v>
      </c>
      <c r="E301" s="102">
        <v>99478.03125</v>
      </c>
      <c r="F301" s="102">
        <f t="shared" si="48"/>
        <v>1425851.78125</v>
      </c>
      <c r="G301" s="146">
        <v>0</v>
      </c>
      <c r="H301" s="146">
        <v>0</v>
      </c>
      <c r="I301" s="102">
        <v>0</v>
      </c>
      <c r="J301" s="102">
        <f t="shared" si="49"/>
        <v>13262666.03125</v>
      </c>
      <c r="K301" s="102">
        <f t="shared" si="50"/>
        <v>13262666.03125</v>
      </c>
    </row>
    <row r="302" spans="1:11" ht="13" x14ac:dyDescent="0.3">
      <c r="A302" s="96">
        <f t="shared" si="47"/>
        <v>233</v>
      </c>
      <c r="B302" s="132" t="s">
        <v>15</v>
      </c>
      <c r="C302" s="179">
        <v>2020</v>
      </c>
      <c r="D302" s="146">
        <v>1326373.75</v>
      </c>
      <c r="E302" s="102">
        <v>99478.03125</v>
      </c>
      <c r="F302" s="102">
        <f t="shared" si="48"/>
        <v>1425851.78125</v>
      </c>
      <c r="G302" s="146">
        <v>0</v>
      </c>
      <c r="H302" s="146">
        <v>0</v>
      </c>
      <c r="I302" s="102">
        <v>0</v>
      </c>
      <c r="J302" s="102">
        <f t="shared" si="49"/>
        <v>14688517.8125</v>
      </c>
      <c r="K302" s="102">
        <f t="shared" si="50"/>
        <v>14688517.8125</v>
      </c>
    </row>
    <row r="303" spans="1:11" ht="13" x14ac:dyDescent="0.3">
      <c r="A303" s="96">
        <f t="shared" si="47"/>
        <v>234</v>
      </c>
      <c r="B303" s="132" t="s">
        <v>14</v>
      </c>
      <c r="C303" s="179">
        <v>2020</v>
      </c>
      <c r="D303" s="146">
        <v>1326373.75</v>
      </c>
      <c r="E303" s="102">
        <v>99478.03125</v>
      </c>
      <c r="F303" s="102">
        <f t="shared" si="48"/>
        <v>1425851.78125</v>
      </c>
      <c r="G303" s="146">
        <v>0</v>
      </c>
      <c r="H303" s="146">
        <v>0</v>
      </c>
      <c r="I303" s="102">
        <v>0</v>
      </c>
      <c r="J303" s="102">
        <f t="shared" si="49"/>
        <v>16114369.59375</v>
      </c>
      <c r="K303" s="102">
        <f t="shared" si="50"/>
        <v>16114369.59375</v>
      </c>
    </row>
    <row r="304" spans="1:11" ht="13" x14ac:dyDescent="0.3">
      <c r="A304" s="96">
        <f t="shared" si="47"/>
        <v>235</v>
      </c>
      <c r="B304" s="132" t="s">
        <v>6</v>
      </c>
      <c r="C304" s="179">
        <v>2020</v>
      </c>
      <c r="D304" s="146">
        <v>1326373.75</v>
      </c>
      <c r="E304" s="102">
        <v>99478.03125</v>
      </c>
      <c r="F304" s="102">
        <f t="shared" si="48"/>
        <v>1425851.78125</v>
      </c>
      <c r="G304" s="146">
        <v>0</v>
      </c>
      <c r="H304" s="146">
        <v>0</v>
      </c>
      <c r="I304" s="102">
        <v>0</v>
      </c>
      <c r="J304" s="102">
        <f t="shared" si="49"/>
        <v>17540221.375</v>
      </c>
      <c r="K304" s="108">
        <f t="shared" si="50"/>
        <v>17540221.375</v>
      </c>
    </row>
    <row r="305" spans="1:12" ht="13" x14ac:dyDescent="0.3">
      <c r="A305" s="96">
        <f t="shared" si="47"/>
        <v>236</v>
      </c>
      <c r="C305" s="240" t="s">
        <v>380</v>
      </c>
      <c r="K305" s="241">
        <f>AVERAGE(K292:K304)</f>
        <v>8985110.6875</v>
      </c>
    </row>
    <row r="306" spans="1:12" ht="13" x14ac:dyDescent="0.3">
      <c r="A306" s="96"/>
      <c r="C306" s="240"/>
      <c r="K306" s="241"/>
    </row>
    <row r="307" spans="1:12" ht="13" x14ac:dyDescent="0.3">
      <c r="B307" s="242" t="s">
        <v>400</v>
      </c>
      <c r="D307" s="300" t="s">
        <v>358</v>
      </c>
      <c r="E307" s="300"/>
    </row>
    <row r="308" spans="1:12" ht="13" x14ac:dyDescent="0.3">
      <c r="A308" s="100"/>
      <c r="B308" s="100"/>
      <c r="C308" s="100"/>
      <c r="D308" s="100" t="s">
        <v>148</v>
      </c>
      <c r="E308" s="100" t="s">
        <v>149</v>
      </c>
      <c r="F308" s="100" t="s">
        <v>150</v>
      </c>
      <c r="G308" s="100" t="s">
        <v>151</v>
      </c>
      <c r="H308" s="100" t="s">
        <v>329</v>
      </c>
      <c r="I308" s="100" t="s">
        <v>330</v>
      </c>
      <c r="J308" s="100" t="s">
        <v>346</v>
      </c>
      <c r="K308" s="100" t="s">
        <v>347</v>
      </c>
    </row>
    <row r="309" spans="1:12" ht="25.5" x14ac:dyDescent="0.3">
      <c r="D309" s="136"/>
      <c r="E309" s="243" t="s">
        <v>383</v>
      </c>
      <c r="F309" s="128" t="s">
        <v>384</v>
      </c>
      <c r="G309" s="128"/>
      <c r="H309" s="136"/>
      <c r="I309" s="243" t="s">
        <v>385</v>
      </c>
      <c r="J309" s="243" t="s">
        <v>386</v>
      </c>
      <c r="K309" s="243" t="s">
        <v>387</v>
      </c>
    </row>
    <row r="310" spans="1:12" ht="13" x14ac:dyDescent="0.3">
      <c r="D310" s="136"/>
      <c r="E310" s="136"/>
      <c r="F310" s="136"/>
      <c r="G310" s="96" t="str">
        <f>G51</f>
        <v>Unloaded</v>
      </c>
      <c r="H310" s="136"/>
      <c r="I310" s="136"/>
    </row>
    <row r="311" spans="1:12" ht="13" x14ac:dyDescent="0.3">
      <c r="A311" s="96"/>
      <c r="B311" s="96"/>
      <c r="C311" s="96"/>
      <c r="D311" s="96" t="str">
        <f>D$52</f>
        <v>Forecast</v>
      </c>
      <c r="E311" s="96" t="str">
        <f t="shared" ref="E311:J311" si="51">E$52</f>
        <v>Corporate</v>
      </c>
      <c r="F311" s="96" t="str">
        <f t="shared" si="51"/>
        <v xml:space="preserve">Total </v>
      </c>
      <c r="G311" s="96" t="str">
        <f>G52</f>
        <v>Total</v>
      </c>
      <c r="H311" s="96" t="str">
        <f t="shared" si="51"/>
        <v>Prior Period</v>
      </c>
      <c r="I311" s="96" t="str">
        <f t="shared" si="51"/>
        <v>Over Heads</v>
      </c>
      <c r="J311" s="96" t="str">
        <f t="shared" si="51"/>
        <v>Forecast</v>
      </c>
      <c r="K311" s="96" t="str">
        <f>K$52</f>
        <v>Forecast Period</v>
      </c>
    </row>
    <row r="312" spans="1:12" ht="13" x14ac:dyDescent="0.3">
      <c r="A312" s="99" t="s">
        <v>336</v>
      </c>
      <c r="B312" s="134" t="s">
        <v>16</v>
      </c>
      <c r="C312" s="134" t="s">
        <v>17</v>
      </c>
      <c r="D312" s="100" t="str">
        <f>D$53</f>
        <v>Expenditures</v>
      </c>
      <c r="E312" s="100" t="str">
        <f t="shared" ref="E312:J312" si="52">E$53</f>
        <v>Overheads</v>
      </c>
      <c r="F312" s="100" t="str">
        <f t="shared" si="52"/>
        <v>CWIP Exp</v>
      </c>
      <c r="G312" s="100" t="str">
        <f>G53</f>
        <v>Plant Adds</v>
      </c>
      <c r="H312" s="100" t="str">
        <f t="shared" si="52"/>
        <v>CWIP Closed</v>
      </c>
      <c r="I312" s="100" t="str">
        <f t="shared" si="52"/>
        <v>Closed to PIS</v>
      </c>
      <c r="J312" s="100" t="str">
        <f t="shared" si="52"/>
        <v>Period CWIP</v>
      </c>
      <c r="K312" s="100" t="str">
        <f>K$53</f>
        <v>Incremental CWIP</v>
      </c>
    </row>
    <row r="313" spans="1:12" ht="13" x14ac:dyDescent="0.3">
      <c r="A313" s="96">
        <f>A305+1</f>
        <v>237</v>
      </c>
      <c r="B313" s="132" t="s">
        <v>6</v>
      </c>
      <c r="C313" s="179">
        <v>2018</v>
      </c>
      <c r="D313" s="128" t="s">
        <v>361</v>
      </c>
      <c r="E313" s="128" t="s">
        <v>361</v>
      </c>
      <c r="F313" s="128" t="s">
        <v>361</v>
      </c>
      <c r="G313" s="128" t="s">
        <v>361</v>
      </c>
      <c r="H313" s="128" t="s">
        <v>361</v>
      </c>
      <c r="I313" s="128" t="s">
        <v>361</v>
      </c>
      <c r="J313" s="102">
        <f>F45</f>
        <v>123664744.703538</v>
      </c>
      <c r="K313" s="128" t="s">
        <v>361</v>
      </c>
    </row>
    <row r="314" spans="1:12" ht="13" x14ac:dyDescent="0.3">
      <c r="A314" s="96">
        <f>A313+1</f>
        <v>238</v>
      </c>
      <c r="B314" s="132" t="s">
        <v>7</v>
      </c>
      <c r="C314" s="179">
        <v>2019</v>
      </c>
      <c r="D314" s="146">
        <v>4789816.4470000006</v>
      </c>
      <c r="E314" s="102">
        <v>359236.23352500005</v>
      </c>
      <c r="F314" s="102">
        <f>E314+D314</f>
        <v>5149052.6805250011</v>
      </c>
      <c r="G314" s="146">
        <v>0</v>
      </c>
      <c r="H314" s="146">
        <v>0</v>
      </c>
      <c r="I314" s="102">
        <v>0</v>
      </c>
      <c r="J314" s="102">
        <f>J313+F314-G314-I314</f>
        <v>128813797.38406301</v>
      </c>
      <c r="K314" s="102">
        <f>J314-$J$313</f>
        <v>5149052.6805250049</v>
      </c>
      <c r="L314" s="96"/>
    </row>
    <row r="315" spans="1:12" ht="13" x14ac:dyDescent="0.3">
      <c r="A315" s="96">
        <f t="shared" ref="A315:A338" si="53">A314+1</f>
        <v>239</v>
      </c>
      <c r="B315" s="132" t="s">
        <v>8</v>
      </c>
      <c r="C315" s="179">
        <v>2019</v>
      </c>
      <c r="D315" s="146">
        <v>234953.34640000056</v>
      </c>
      <c r="E315" s="102">
        <v>17621.500980000041</v>
      </c>
      <c r="F315" s="102">
        <f t="shared" ref="F315:F337" si="54">E315+D315</f>
        <v>252574.8473800006</v>
      </c>
      <c r="G315" s="146">
        <v>0</v>
      </c>
      <c r="H315" s="146">
        <v>0</v>
      </c>
      <c r="I315" s="102">
        <v>0</v>
      </c>
      <c r="J315" s="102">
        <f t="shared" ref="J315:J337" si="55">J314+F315-G315-I315</f>
        <v>129066372.231443</v>
      </c>
      <c r="K315" s="102">
        <f t="shared" ref="K315:K337" si="56">J315-$J$313</f>
        <v>5401627.5279050022</v>
      </c>
      <c r="L315" s="96"/>
    </row>
    <row r="316" spans="1:12" ht="13" x14ac:dyDescent="0.3">
      <c r="A316" s="96">
        <f t="shared" si="53"/>
        <v>240</v>
      </c>
      <c r="B316" s="132" t="s">
        <v>18</v>
      </c>
      <c r="C316" s="179">
        <v>2019</v>
      </c>
      <c r="D316" s="146">
        <v>-106248.17420000005</v>
      </c>
      <c r="E316" s="102">
        <v>-7968.6130650000032</v>
      </c>
      <c r="F316" s="102">
        <f t="shared" si="54"/>
        <v>-114216.78726500005</v>
      </c>
      <c r="G316" s="146">
        <v>0</v>
      </c>
      <c r="H316" s="146">
        <v>0</v>
      </c>
      <c r="I316" s="102">
        <v>0</v>
      </c>
      <c r="J316" s="102">
        <f t="shared" si="55"/>
        <v>128952155.444178</v>
      </c>
      <c r="K316" s="102">
        <f t="shared" si="56"/>
        <v>5287410.7406399995</v>
      </c>
      <c r="L316" s="96"/>
    </row>
    <row r="317" spans="1:12" ht="13" x14ac:dyDescent="0.3">
      <c r="A317" s="96">
        <f t="shared" si="53"/>
        <v>241</v>
      </c>
      <c r="B317" s="132" t="s">
        <v>9</v>
      </c>
      <c r="C317" s="179">
        <v>2019</v>
      </c>
      <c r="D317" s="146">
        <v>6590834.3905999996</v>
      </c>
      <c r="E317" s="102">
        <v>494312.57929499994</v>
      </c>
      <c r="F317" s="102">
        <f t="shared" si="54"/>
        <v>7085146.9698949996</v>
      </c>
      <c r="G317" s="146">
        <v>0</v>
      </c>
      <c r="H317" s="146">
        <v>0</v>
      </c>
      <c r="I317" s="102">
        <v>0</v>
      </c>
      <c r="J317" s="102">
        <f t="shared" si="55"/>
        <v>136037302.41407299</v>
      </c>
      <c r="K317" s="102">
        <f t="shared" si="56"/>
        <v>12372557.71053499</v>
      </c>
      <c r="L317" s="100"/>
    </row>
    <row r="318" spans="1:12" ht="13" x14ac:dyDescent="0.3">
      <c r="A318" s="96">
        <f t="shared" si="53"/>
        <v>242</v>
      </c>
      <c r="B318" s="132" t="s">
        <v>10</v>
      </c>
      <c r="C318" s="179">
        <v>2019</v>
      </c>
      <c r="D318" s="146">
        <v>7486034.3475999981</v>
      </c>
      <c r="E318" s="102">
        <v>561452.57606999984</v>
      </c>
      <c r="F318" s="102">
        <f t="shared" si="54"/>
        <v>8047486.9236699976</v>
      </c>
      <c r="G318" s="146">
        <v>0</v>
      </c>
      <c r="H318" s="146">
        <v>0</v>
      </c>
      <c r="I318" s="102">
        <v>0</v>
      </c>
      <c r="J318" s="102">
        <f t="shared" si="55"/>
        <v>144084789.33774298</v>
      </c>
      <c r="K318" s="102">
        <f t="shared" si="56"/>
        <v>20420044.634204984</v>
      </c>
    </row>
    <row r="319" spans="1:12" ht="13" x14ac:dyDescent="0.3">
      <c r="A319" s="96">
        <f t="shared" si="53"/>
        <v>243</v>
      </c>
      <c r="B319" s="132" t="s">
        <v>25</v>
      </c>
      <c r="C319" s="179">
        <v>2019</v>
      </c>
      <c r="D319" s="146">
        <v>4489600.061999999</v>
      </c>
      <c r="E319" s="102">
        <v>336720.0046499999</v>
      </c>
      <c r="F319" s="102">
        <f t="shared" si="54"/>
        <v>4826320.0666499985</v>
      </c>
      <c r="G319" s="146">
        <v>1207494.17</v>
      </c>
      <c r="H319" s="146">
        <v>691910.17</v>
      </c>
      <c r="I319" s="102">
        <v>38668.799999999988</v>
      </c>
      <c r="J319" s="102">
        <f t="shared" si="55"/>
        <v>147664946.43439299</v>
      </c>
      <c r="K319" s="102">
        <f t="shared" si="56"/>
        <v>24000201.730854988</v>
      </c>
    </row>
    <row r="320" spans="1:12" ht="13" x14ac:dyDescent="0.3">
      <c r="A320" s="96">
        <f t="shared" si="53"/>
        <v>244</v>
      </c>
      <c r="B320" s="132" t="s">
        <v>11</v>
      </c>
      <c r="C320" s="179">
        <v>2019</v>
      </c>
      <c r="D320" s="146">
        <v>10179603.577799998</v>
      </c>
      <c r="E320" s="102">
        <v>763470.2683349998</v>
      </c>
      <c r="F320" s="102">
        <f t="shared" si="54"/>
        <v>10943073.846134998</v>
      </c>
      <c r="G320" s="146">
        <v>342</v>
      </c>
      <c r="H320" s="146">
        <v>0</v>
      </c>
      <c r="I320" s="102">
        <v>25.65</v>
      </c>
      <c r="J320" s="102">
        <f t="shared" si="55"/>
        <v>158607652.63052797</v>
      </c>
      <c r="K320" s="102">
        <f t="shared" si="56"/>
        <v>34942907.926989973</v>
      </c>
    </row>
    <row r="321" spans="1:11" ht="13" x14ac:dyDescent="0.3">
      <c r="A321" s="96">
        <f t="shared" si="53"/>
        <v>245</v>
      </c>
      <c r="B321" s="132" t="s">
        <v>12</v>
      </c>
      <c r="C321" s="179">
        <v>2019</v>
      </c>
      <c r="D321" s="146">
        <v>3856108.7118000016</v>
      </c>
      <c r="E321" s="102">
        <v>289208.15338500013</v>
      </c>
      <c r="F321" s="102">
        <f t="shared" si="54"/>
        <v>4145316.8651850019</v>
      </c>
      <c r="G321" s="146">
        <v>342</v>
      </c>
      <c r="H321" s="146">
        <v>0</v>
      </c>
      <c r="I321" s="102">
        <v>25.65</v>
      </c>
      <c r="J321" s="102">
        <f t="shared" si="55"/>
        <v>162752601.84571296</v>
      </c>
      <c r="K321" s="102">
        <f t="shared" si="56"/>
        <v>39087857.142174959</v>
      </c>
    </row>
    <row r="322" spans="1:11" ht="13" x14ac:dyDescent="0.3">
      <c r="A322" s="96">
        <f t="shared" si="53"/>
        <v>246</v>
      </c>
      <c r="B322" s="132" t="s">
        <v>13</v>
      </c>
      <c r="C322" s="179">
        <v>2019</v>
      </c>
      <c r="D322" s="146">
        <v>14565954.171800001</v>
      </c>
      <c r="E322" s="102">
        <v>1092446.5628849999</v>
      </c>
      <c r="F322" s="102">
        <f t="shared" si="54"/>
        <v>15658400.734685</v>
      </c>
      <c r="G322" s="146">
        <v>342</v>
      </c>
      <c r="H322" s="146">
        <v>0</v>
      </c>
      <c r="I322" s="102">
        <v>25.65</v>
      </c>
      <c r="J322" s="102">
        <f t="shared" si="55"/>
        <v>178410634.93039796</v>
      </c>
      <c r="K322" s="102">
        <f t="shared" si="56"/>
        <v>54745890.226859957</v>
      </c>
    </row>
    <row r="323" spans="1:11" ht="13" x14ac:dyDescent="0.3">
      <c r="A323" s="96">
        <f t="shared" si="53"/>
        <v>247</v>
      </c>
      <c r="B323" s="132" t="s">
        <v>15</v>
      </c>
      <c r="C323" s="179">
        <v>2019</v>
      </c>
      <c r="D323" s="146">
        <v>4199628.1717999997</v>
      </c>
      <c r="E323" s="102">
        <v>314972.11288499995</v>
      </c>
      <c r="F323" s="102">
        <f t="shared" si="54"/>
        <v>4514600.2846849998</v>
      </c>
      <c r="G323" s="146">
        <v>342</v>
      </c>
      <c r="H323" s="146">
        <v>0</v>
      </c>
      <c r="I323" s="102">
        <v>25.65</v>
      </c>
      <c r="J323" s="102">
        <f t="shared" si="55"/>
        <v>182924867.56508294</v>
      </c>
      <c r="K323" s="102">
        <f t="shared" si="56"/>
        <v>59260122.861544937</v>
      </c>
    </row>
    <row r="324" spans="1:11" ht="13" x14ac:dyDescent="0.3">
      <c r="A324" s="96">
        <f t="shared" si="53"/>
        <v>248</v>
      </c>
      <c r="B324" s="132" t="s">
        <v>14</v>
      </c>
      <c r="C324" s="179">
        <v>2019</v>
      </c>
      <c r="D324" s="146">
        <v>7137826.1718000006</v>
      </c>
      <c r="E324" s="102">
        <v>535336.96288500004</v>
      </c>
      <c r="F324" s="102">
        <f t="shared" si="54"/>
        <v>7673163.1346850004</v>
      </c>
      <c r="G324" s="146">
        <v>248571.78000000003</v>
      </c>
      <c r="H324" s="146">
        <v>212598.78</v>
      </c>
      <c r="I324" s="102">
        <v>2697.9750000000022</v>
      </c>
      <c r="J324" s="102">
        <f t="shared" si="55"/>
        <v>190346760.94476795</v>
      </c>
      <c r="K324" s="102">
        <f t="shared" si="56"/>
        <v>66682016.241229951</v>
      </c>
    </row>
    <row r="325" spans="1:11" ht="13" x14ac:dyDescent="0.3">
      <c r="A325" s="96">
        <f t="shared" si="53"/>
        <v>249</v>
      </c>
      <c r="B325" s="132" t="s">
        <v>6</v>
      </c>
      <c r="C325" s="179">
        <v>2019</v>
      </c>
      <c r="D325" s="146">
        <v>19618568.390200008</v>
      </c>
      <c r="E325" s="102">
        <v>1471392.6292650006</v>
      </c>
      <c r="F325" s="102">
        <f t="shared" si="54"/>
        <v>21089961.019465007</v>
      </c>
      <c r="G325" s="146">
        <v>3613229.8699999996</v>
      </c>
      <c r="H325" s="146">
        <v>2937988.8699999996</v>
      </c>
      <c r="I325" s="102">
        <v>50643.074999999997</v>
      </c>
      <c r="J325" s="102">
        <f t="shared" si="55"/>
        <v>207772849.01923296</v>
      </c>
      <c r="K325" s="102">
        <f t="shared" si="56"/>
        <v>84108104.315694958</v>
      </c>
    </row>
    <row r="326" spans="1:11" ht="13" x14ac:dyDescent="0.3">
      <c r="A326" s="96">
        <f t="shared" si="53"/>
        <v>250</v>
      </c>
      <c r="B326" s="132" t="s">
        <v>7</v>
      </c>
      <c r="C326" s="179">
        <v>2020</v>
      </c>
      <c r="D326" s="146">
        <v>9643548.9910000004</v>
      </c>
      <c r="E326" s="102">
        <v>723266.17432500003</v>
      </c>
      <c r="F326" s="102">
        <f t="shared" si="54"/>
        <v>10366815.165325001</v>
      </c>
      <c r="G326" s="146">
        <v>529</v>
      </c>
      <c r="H326" s="146">
        <v>0</v>
      </c>
      <c r="I326" s="102">
        <v>39.674999999999997</v>
      </c>
      <c r="J326" s="102">
        <f t="shared" si="55"/>
        <v>218139095.50955796</v>
      </c>
      <c r="K326" s="102">
        <f t="shared" si="56"/>
        <v>94474350.806019962</v>
      </c>
    </row>
    <row r="327" spans="1:11" ht="13" x14ac:dyDescent="0.3">
      <c r="A327" s="96">
        <f t="shared" si="53"/>
        <v>251</v>
      </c>
      <c r="B327" s="132" t="s">
        <v>8</v>
      </c>
      <c r="C327" s="179">
        <v>2020</v>
      </c>
      <c r="D327" s="146">
        <v>9643548.9910000004</v>
      </c>
      <c r="E327" s="102">
        <v>723266.17432500003</v>
      </c>
      <c r="F327" s="102">
        <f t="shared" si="54"/>
        <v>10366815.165325001</v>
      </c>
      <c r="G327" s="146">
        <v>529</v>
      </c>
      <c r="H327" s="146">
        <v>0</v>
      </c>
      <c r="I327" s="102">
        <v>39.674999999999997</v>
      </c>
      <c r="J327" s="102">
        <f t="shared" si="55"/>
        <v>228505341.99988294</v>
      </c>
      <c r="K327" s="102">
        <f t="shared" si="56"/>
        <v>104840597.29634494</v>
      </c>
    </row>
    <row r="328" spans="1:11" ht="13" x14ac:dyDescent="0.3">
      <c r="A328" s="96">
        <f t="shared" si="53"/>
        <v>252</v>
      </c>
      <c r="B328" s="132" t="s">
        <v>18</v>
      </c>
      <c r="C328" s="179">
        <v>2020</v>
      </c>
      <c r="D328" s="146">
        <v>9643548.9910000004</v>
      </c>
      <c r="E328" s="102">
        <v>723266.17432500003</v>
      </c>
      <c r="F328" s="102">
        <f t="shared" si="54"/>
        <v>10366815.165325001</v>
      </c>
      <c r="G328" s="146">
        <v>529</v>
      </c>
      <c r="H328" s="146">
        <v>0</v>
      </c>
      <c r="I328" s="102">
        <v>39.674999999999997</v>
      </c>
      <c r="J328" s="102">
        <f t="shared" si="55"/>
        <v>238871588.49020791</v>
      </c>
      <c r="K328" s="102">
        <f t="shared" si="56"/>
        <v>115206843.78666991</v>
      </c>
    </row>
    <row r="329" spans="1:11" ht="13" x14ac:dyDescent="0.3">
      <c r="A329" s="96">
        <f t="shared" si="53"/>
        <v>253</v>
      </c>
      <c r="B329" s="132" t="s">
        <v>9</v>
      </c>
      <c r="C329" s="179">
        <v>2020</v>
      </c>
      <c r="D329" s="146">
        <v>9643548.9910000004</v>
      </c>
      <c r="E329" s="102">
        <v>723266.17432500003</v>
      </c>
      <c r="F329" s="102">
        <f t="shared" si="54"/>
        <v>10366815.165325001</v>
      </c>
      <c r="G329" s="146">
        <v>529</v>
      </c>
      <c r="H329" s="146">
        <v>0</v>
      </c>
      <c r="I329" s="102">
        <v>39.674999999999997</v>
      </c>
      <c r="J329" s="102">
        <f t="shared" si="55"/>
        <v>249237834.98053288</v>
      </c>
      <c r="K329" s="102">
        <f t="shared" si="56"/>
        <v>125573090.27699488</v>
      </c>
    </row>
    <row r="330" spans="1:11" ht="13" x14ac:dyDescent="0.3">
      <c r="A330" s="96">
        <f t="shared" si="53"/>
        <v>254</v>
      </c>
      <c r="B330" s="132" t="s">
        <v>10</v>
      </c>
      <c r="C330" s="179">
        <v>2020</v>
      </c>
      <c r="D330" s="146">
        <v>9643548.9910000004</v>
      </c>
      <c r="E330" s="102">
        <v>723266.17432500003</v>
      </c>
      <c r="F330" s="102">
        <f t="shared" si="54"/>
        <v>10366815.165325001</v>
      </c>
      <c r="G330" s="146">
        <v>529</v>
      </c>
      <c r="H330" s="146">
        <v>0</v>
      </c>
      <c r="I330" s="102">
        <v>39.674999999999997</v>
      </c>
      <c r="J330" s="102">
        <f t="shared" si="55"/>
        <v>259604081.47085786</v>
      </c>
      <c r="K330" s="102">
        <f t="shared" si="56"/>
        <v>135939336.76731986</v>
      </c>
    </row>
    <row r="331" spans="1:11" ht="13" x14ac:dyDescent="0.3">
      <c r="A331" s="96">
        <f t="shared" si="53"/>
        <v>255</v>
      </c>
      <c r="B331" s="132" t="s">
        <v>25</v>
      </c>
      <c r="C331" s="179">
        <v>2020</v>
      </c>
      <c r="D331" s="146">
        <v>9643548.9910000004</v>
      </c>
      <c r="E331" s="102">
        <v>723266.17432500003</v>
      </c>
      <c r="F331" s="102">
        <f t="shared" si="54"/>
        <v>10366815.165325001</v>
      </c>
      <c r="G331" s="146">
        <v>529</v>
      </c>
      <c r="H331" s="146">
        <v>0</v>
      </c>
      <c r="I331" s="102">
        <v>39.674999999999997</v>
      </c>
      <c r="J331" s="102">
        <f t="shared" si="55"/>
        <v>269970327.96118283</v>
      </c>
      <c r="K331" s="102">
        <f t="shared" si="56"/>
        <v>146305583.25764483</v>
      </c>
    </row>
    <row r="332" spans="1:11" ht="13" x14ac:dyDescent="0.3">
      <c r="A332" s="96">
        <f t="shared" si="53"/>
        <v>256</v>
      </c>
      <c r="B332" s="132" t="s">
        <v>11</v>
      </c>
      <c r="C332" s="179">
        <v>2020</v>
      </c>
      <c r="D332" s="146">
        <v>9643548.9910000004</v>
      </c>
      <c r="E332" s="102">
        <v>723266.17432500003</v>
      </c>
      <c r="F332" s="102">
        <f t="shared" si="54"/>
        <v>10366815.165325001</v>
      </c>
      <c r="G332" s="146">
        <v>529</v>
      </c>
      <c r="H332" s="146">
        <v>0</v>
      </c>
      <c r="I332" s="102">
        <v>39.674999999999997</v>
      </c>
      <c r="J332" s="102">
        <f t="shared" si="55"/>
        <v>280336574.45150781</v>
      </c>
      <c r="K332" s="102">
        <f t="shared" si="56"/>
        <v>156671829.74796981</v>
      </c>
    </row>
    <row r="333" spans="1:11" ht="13" x14ac:dyDescent="0.3">
      <c r="A333" s="96">
        <f t="shared" si="53"/>
        <v>257</v>
      </c>
      <c r="B333" s="132" t="s">
        <v>12</v>
      </c>
      <c r="C333" s="179">
        <v>2020</v>
      </c>
      <c r="D333" s="146">
        <v>9643548.9910000004</v>
      </c>
      <c r="E333" s="102">
        <v>723266.17432500003</v>
      </c>
      <c r="F333" s="102">
        <f t="shared" si="54"/>
        <v>10366815.165325001</v>
      </c>
      <c r="G333" s="146">
        <v>529</v>
      </c>
      <c r="H333" s="146">
        <v>0</v>
      </c>
      <c r="I333" s="102">
        <v>39.674999999999997</v>
      </c>
      <c r="J333" s="102">
        <f t="shared" si="55"/>
        <v>290702820.94183278</v>
      </c>
      <c r="K333" s="102">
        <f t="shared" si="56"/>
        <v>167038076.23829478</v>
      </c>
    </row>
    <row r="334" spans="1:11" ht="13" x14ac:dyDescent="0.3">
      <c r="A334" s="96">
        <f t="shared" si="53"/>
        <v>258</v>
      </c>
      <c r="B334" s="132" t="s">
        <v>13</v>
      </c>
      <c r="C334" s="179">
        <v>2020</v>
      </c>
      <c r="D334" s="146">
        <v>9643548.9910000004</v>
      </c>
      <c r="E334" s="102">
        <v>723266.17432500003</v>
      </c>
      <c r="F334" s="102">
        <f t="shared" si="54"/>
        <v>10366815.165325001</v>
      </c>
      <c r="G334" s="146">
        <v>529</v>
      </c>
      <c r="H334" s="146">
        <v>0</v>
      </c>
      <c r="I334" s="102">
        <v>39.674999999999997</v>
      </c>
      <c r="J334" s="102">
        <f t="shared" si="55"/>
        <v>301069067.43215775</v>
      </c>
      <c r="K334" s="102">
        <f t="shared" si="56"/>
        <v>177404322.72861975</v>
      </c>
    </row>
    <row r="335" spans="1:11" ht="13" x14ac:dyDescent="0.3">
      <c r="A335" s="96">
        <f t="shared" si="53"/>
        <v>259</v>
      </c>
      <c r="B335" s="132" t="s">
        <v>15</v>
      </c>
      <c r="C335" s="179">
        <v>2020</v>
      </c>
      <c r="D335" s="146">
        <v>9643548.9910000004</v>
      </c>
      <c r="E335" s="102">
        <v>723266.17432500003</v>
      </c>
      <c r="F335" s="102">
        <f t="shared" si="54"/>
        <v>10366815.165325001</v>
      </c>
      <c r="G335" s="146">
        <v>529</v>
      </c>
      <c r="H335" s="146">
        <v>0</v>
      </c>
      <c r="I335" s="102">
        <v>39.674999999999997</v>
      </c>
      <c r="J335" s="102">
        <f t="shared" si="55"/>
        <v>311435313.92248273</v>
      </c>
      <c r="K335" s="102">
        <f t="shared" si="56"/>
        <v>187770569.21894473</v>
      </c>
    </row>
    <row r="336" spans="1:11" ht="13" x14ac:dyDescent="0.3">
      <c r="A336" s="96">
        <f t="shared" si="53"/>
        <v>260</v>
      </c>
      <c r="B336" s="132" t="s">
        <v>14</v>
      </c>
      <c r="C336" s="179">
        <v>2020</v>
      </c>
      <c r="D336" s="146">
        <v>9643548.9910000004</v>
      </c>
      <c r="E336" s="102">
        <v>723266.17432500003</v>
      </c>
      <c r="F336" s="102">
        <f t="shared" si="54"/>
        <v>10366815.165325001</v>
      </c>
      <c r="G336" s="146">
        <v>529</v>
      </c>
      <c r="H336" s="146">
        <v>0</v>
      </c>
      <c r="I336" s="102">
        <v>39.674999999999997</v>
      </c>
      <c r="J336" s="102">
        <f t="shared" si="55"/>
        <v>321801560.4128077</v>
      </c>
      <c r="K336" s="102">
        <f t="shared" si="56"/>
        <v>198136815.7092697</v>
      </c>
    </row>
    <row r="337" spans="1:11" ht="13" x14ac:dyDescent="0.3">
      <c r="A337" s="96">
        <f t="shared" si="53"/>
        <v>261</v>
      </c>
      <c r="B337" s="132" t="s">
        <v>6</v>
      </c>
      <c r="C337" s="179">
        <v>2020</v>
      </c>
      <c r="D337" s="146">
        <v>12302833.991</v>
      </c>
      <c r="E337" s="102">
        <v>922712.54932500003</v>
      </c>
      <c r="F337" s="102">
        <f t="shared" si="54"/>
        <v>13225546.540325001</v>
      </c>
      <c r="G337" s="146">
        <v>42910404.120000005</v>
      </c>
      <c r="H337" s="146">
        <v>16523166.119999997</v>
      </c>
      <c r="I337" s="102">
        <v>1979042.8500000006</v>
      </c>
      <c r="J337" s="102">
        <f t="shared" si="55"/>
        <v>290137659.98313266</v>
      </c>
      <c r="K337" s="108">
        <f t="shared" si="56"/>
        <v>166472915.27959466</v>
      </c>
    </row>
    <row r="338" spans="1:11" ht="13" x14ac:dyDescent="0.3">
      <c r="A338" s="96">
        <f t="shared" si="53"/>
        <v>262</v>
      </c>
      <c r="C338" s="240" t="s">
        <v>380</v>
      </c>
      <c r="K338" s="241">
        <f>AVERAGE(K325:K337)</f>
        <v>143072495.03302947</v>
      </c>
    </row>
    <row r="339" spans="1:11" ht="13" x14ac:dyDescent="0.3">
      <c r="A339" s="96"/>
      <c r="C339" s="240"/>
      <c r="K339" s="241"/>
    </row>
    <row r="340" spans="1:11" ht="13" x14ac:dyDescent="0.3">
      <c r="B340" s="242" t="s">
        <v>401</v>
      </c>
      <c r="D340" s="300" t="s">
        <v>359</v>
      </c>
      <c r="E340" s="300"/>
    </row>
    <row r="341" spans="1:11" ht="13" x14ac:dyDescent="0.3">
      <c r="D341" s="136"/>
      <c r="E341" s="136"/>
      <c r="F341" s="136"/>
      <c r="G341" s="96" t="str">
        <f>G51</f>
        <v>Unloaded</v>
      </c>
      <c r="H341" s="136"/>
      <c r="I341" s="136"/>
    </row>
    <row r="342" spans="1:11" ht="13" x14ac:dyDescent="0.3">
      <c r="A342" s="96"/>
      <c r="B342" s="96"/>
      <c r="C342" s="96"/>
      <c r="D342" s="96" t="str">
        <f>D$52</f>
        <v>Forecast</v>
      </c>
      <c r="E342" s="96" t="str">
        <f t="shared" ref="E342:J342" si="57">E$52</f>
        <v>Corporate</v>
      </c>
      <c r="F342" s="96" t="str">
        <f t="shared" si="57"/>
        <v xml:space="preserve">Total </v>
      </c>
      <c r="G342" s="96" t="str">
        <f>G52</f>
        <v>Total</v>
      </c>
      <c r="H342" s="96" t="str">
        <f t="shared" si="57"/>
        <v>Prior Period</v>
      </c>
      <c r="I342" s="96" t="str">
        <f t="shared" si="57"/>
        <v>Over Heads</v>
      </c>
      <c r="J342" s="96" t="str">
        <f t="shared" si="57"/>
        <v>Forecast</v>
      </c>
      <c r="K342" s="96" t="str">
        <f>K$52</f>
        <v>Forecast Period</v>
      </c>
    </row>
    <row r="343" spans="1:11" ht="13" x14ac:dyDescent="0.3">
      <c r="A343" s="99" t="s">
        <v>336</v>
      </c>
      <c r="B343" s="134" t="s">
        <v>16</v>
      </c>
      <c r="C343" s="134" t="s">
        <v>17</v>
      </c>
      <c r="D343" s="100" t="str">
        <f>D$53</f>
        <v>Expenditures</v>
      </c>
      <c r="E343" s="100" t="str">
        <f t="shared" ref="E343:J343" si="58">E$53</f>
        <v>Overheads</v>
      </c>
      <c r="F343" s="100" t="str">
        <f t="shared" si="58"/>
        <v>CWIP Exp</v>
      </c>
      <c r="G343" s="100" t="str">
        <f>G53</f>
        <v>Plant Adds</v>
      </c>
      <c r="H343" s="100" t="str">
        <f t="shared" si="58"/>
        <v>CWIP Closed</v>
      </c>
      <c r="I343" s="100" t="str">
        <f t="shared" si="58"/>
        <v>Closed to PIS</v>
      </c>
      <c r="J343" s="100" t="str">
        <f t="shared" si="58"/>
        <v>Period CWIP</v>
      </c>
      <c r="K343" s="100" t="str">
        <f>K$53</f>
        <v>Incremental CWIP</v>
      </c>
    </row>
    <row r="344" spans="1:11" ht="13" x14ac:dyDescent="0.3">
      <c r="A344" s="96">
        <f>A338+1</f>
        <v>263</v>
      </c>
      <c r="B344" s="132" t="s">
        <v>6</v>
      </c>
      <c r="C344" s="179">
        <v>2018</v>
      </c>
      <c r="D344" s="128" t="s">
        <v>361</v>
      </c>
      <c r="E344" s="128" t="s">
        <v>361</v>
      </c>
      <c r="F344" s="128" t="s">
        <v>361</v>
      </c>
      <c r="G344" s="128" t="s">
        <v>361</v>
      </c>
      <c r="H344" s="128" t="s">
        <v>361</v>
      </c>
      <c r="I344" s="128" t="s">
        <v>361</v>
      </c>
      <c r="J344" s="102">
        <f>G45</f>
        <v>20339746.510866623</v>
      </c>
      <c r="K344" s="128" t="s">
        <v>361</v>
      </c>
    </row>
    <row r="345" spans="1:11" ht="13" x14ac:dyDescent="0.3">
      <c r="A345" s="96">
        <f>A344+1</f>
        <v>264</v>
      </c>
      <c r="B345" s="132" t="s">
        <v>7</v>
      </c>
      <c r="C345" s="179">
        <v>2019</v>
      </c>
      <c r="D345" s="146">
        <v>104966.632</v>
      </c>
      <c r="E345" s="102">
        <v>7872.4973999999993</v>
      </c>
      <c r="F345" s="102">
        <f>E345+D345</f>
        <v>112839.12939999999</v>
      </c>
      <c r="G345" s="146">
        <v>0</v>
      </c>
      <c r="H345" s="146">
        <v>0</v>
      </c>
      <c r="I345" s="102">
        <v>0</v>
      </c>
      <c r="J345" s="102">
        <f>J344+F345-G345-I345</f>
        <v>20452585.640266623</v>
      </c>
      <c r="K345" s="102">
        <f>J345-$J$344</f>
        <v>112839.12939999998</v>
      </c>
    </row>
    <row r="346" spans="1:11" ht="13" x14ac:dyDescent="0.3">
      <c r="A346" s="96">
        <f t="shared" ref="A346:A369" si="59">A345+1</f>
        <v>265</v>
      </c>
      <c r="B346" s="132" t="s">
        <v>8</v>
      </c>
      <c r="C346" s="179">
        <v>2019</v>
      </c>
      <c r="D346" s="146">
        <v>62895.72</v>
      </c>
      <c r="E346" s="102">
        <v>4717.1790000000001</v>
      </c>
      <c r="F346" s="102">
        <f t="shared" ref="F346:F368" si="60">E346+D346</f>
        <v>67612.899000000005</v>
      </c>
      <c r="G346" s="146">
        <v>0</v>
      </c>
      <c r="H346" s="146">
        <v>0</v>
      </c>
      <c r="I346" s="102">
        <v>0</v>
      </c>
      <c r="J346" s="102">
        <f t="shared" ref="J346:J368" si="61">J345+F346-G346-I346</f>
        <v>20520198.539266624</v>
      </c>
      <c r="K346" s="102">
        <f t="shared" ref="K346:K368" si="62">J346-$J$344</f>
        <v>180452.02840000018</v>
      </c>
    </row>
    <row r="347" spans="1:11" ht="13" x14ac:dyDescent="0.3">
      <c r="A347" s="96">
        <f t="shared" si="59"/>
        <v>266</v>
      </c>
      <c r="B347" s="132" t="s">
        <v>18</v>
      </c>
      <c r="C347" s="179">
        <v>2019</v>
      </c>
      <c r="D347" s="146">
        <v>33044.487999999998</v>
      </c>
      <c r="E347" s="102">
        <v>2478.3365999999996</v>
      </c>
      <c r="F347" s="102">
        <f t="shared" si="60"/>
        <v>35522.8246</v>
      </c>
      <c r="G347" s="146">
        <v>0</v>
      </c>
      <c r="H347" s="146">
        <v>0</v>
      </c>
      <c r="I347" s="102">
        <v>0</v>
      </c>
      <c r="J347" s="102">
        <f t="shared" si="61"/>
        <v>20555721.363866623</v>
      </c>
      <c r="K347" s="102">
        <f t="shared" si="62"/>
        <v>215974.85300000012</v>
      </c>
    </row>
    <row r="348" spans="1:11" ht="13" x14ac:dyDescent="0.3">
      <c r="A348" s="96">
        <f t="shared" si="59"/>
        <v>267</v>
      </c>
      <c r="B348" s="132" t="s">
        <v>9</v>
      </c>
      <c r="C348" s="179">
        <v>2019</v>
      </c>
      <c r="D348" s="146">
        <v>103038.31200000001</v>
      </c>
      <c r="E348" s="102">
        <v>7727.8734000000004</v>
      </c>
      <c r="F348" s="102">
        <f t="shared" si="60"/>
        <v>110766.1854</v>
      </c>
      <c r="G348" s="146">
        <v>0</v>
      </c>
      <c r="H348" s="146">
        <v>0</v>
      </c>
      <c r="I348" s="102">
        <v>0</v>
      </c>
      <c r="J348" s="102">
        <f t="shared" si="61"/>
        <v>20666487.549266625</v>
      </c>
      <c r="K348" s="102">
        <f t="shared" si="62"/>
        <v>326741.03840000182</v>
      </c>
    </row>
    <row r="349" spans="1:11" ht="13" x14ac:dyDescent="0.3">
      <c r="A349" s="96">
        <f t="shared" si="59"/>
        <v>268</v>
      </c>
      <c r="B349" s="132" t="s">
        <v>10</v>
      </c>
      <c r="C349" s="179">
        <v>2019</v>
      </c>
      <c r="D349" s="146">
        <v>67947.08</v>
      </c>
      <c r="E349" s="102">
        <v>5096.0309999999999</v>
      </c>
      <c r="F349" s="102">
        <f t="shared" si="60"/>
        <v>73043.111000000004</v>
      </c>
      <c r="G349" s="146">
        <v>0</v>
      </c>
      <c r="H349" s="146">
        <v>0</v>
      </c>
      <c r="I349" s="102">
        <v>0</v>
      </c>
      <c r="J349" s="102">
        <f t="shared" si="61"/>
        <v>20739530.660266627</v>
      </c>
      <c r="K349" s="102">
        <f t="shared" si="62"/>
        <v>399784.14940000325</v>
      </c>
    </row>
    <row r="350" spans="1:11" ht="13" x14ac:dyDescent="0.3">
      <c r="A350" s="96">
        <f t="shared" si="59"/>
        <v>269</v>
      </c>
      <c r="B350" s="132" t="s">
        <v>25</v>
      </c>
      <c r="C350" s="179">
        <v>2019</v>
      </c>
      <c r="D350" s="146">
        <v>70661.399999999994</v>
      </c>
      <c r="E350" s="102">
        <v>5299.6049999999996</v>
      </c>
      <c r="F350" s="102">
        <f t="shared" si="60"/>
        <v>75961.00499999999</v>
      </c>
      <c r="G350" s="146">
        <v>0</v>
      </c>
      <c r="H350" s="146">
        <v>0</v>
      </c>
      <c r="I350" s="102">
        <v>0</v>
      </c>
      <c r="J350" s="102">
        <f t="shared" si="61"/>
        <v>20815491.665266626</v>
      </c>
      <c r="K350" s="102">
        <f t="shared" si="62"/>
        <v>475745.15440000221</v>
      </c>
    </row>
    <row r="351" spans="1:11" ht="13" x14ac:dyDescent="0.3">
      <c r="A351" s="96">
        <f t="shared" si="59"/>
        <v>270</v>
      </c>
      <c r="B351" s="132" t="s">
        <v>11</v>
      </c>
      <c r="C351" s="179">
        <v>2019</v>
      </c>
      <c r="D351" s="146">
        <v>65421.400000000009</v>
      </c>
      <c r="E351" s="102">
        <v>4906.6050000000005</v>
      </c>
      <c r="F351" s="102">
        <f t="shared" si="60"/>
        <v>70328.005000000005</v>
      </c>
      <c r="G351" s="146">
        <v>0</v>
      </c>
      <c r="H351" s="146">
        <v>0</v>
      </c>
      <c r="I351" s="102">
        <v>0</v>
      </c>
      <c r="J351" s="102">
        <f t="shared" si="61"/>
        <v>20885819.670266625</v>
      </c>
      <c r="K351" s="102">
        <f t="shared" si="62"/>
        <v>546073.15940000117</v>
      </c>
    </row>
    <row r="352" spans="1:11" ht="13" x14ac:dyDescent="0.3">
      <c r="A352" s="96">
        <f t="shared" si="59"/>
        <v>271</v>
      </c>
      <c r="B352" s="132" t="s">
        <v>12</v>
      </c>
      <c r="C352" s="179">
        <v>2019</v>
      </c>
      <c r="D352" s="146">
        <v>70661.399999999994</v>
      </c>
      <c r="E352" s="102">
        <v>5299.6049999999996</v>
      </c>
      <c r="F352" s="102">
        <f t="shared" si="60"/>
        <v>75961.00499999999</v>
      </c>
      <c r="G352" s="146">
        <v>0</v>
      </c>
      <c r="H352" s="146">
        <v>0</v>
      </c>
      <c r="I352" s="102">
        <v>0</v>
      </c>
      <c r="J352" s="102">
        <f t="shared" si="61"/>
        <v>20961780.675266623</v>
      </c>
      <c r="K352" s="102">
        <f t="shared" si="62"/>
        <v>622034.16440000013</v>
      </c>
    </row>
    <row r="353" spans="1:11" ht="13" x14ac:dyDescent="0.3">
      <c r="A353" s="96">
        <f t="shared" si="59"/>
        <v>272</v>
      </c>
      <c r="B353" s="132" t="s">
        <v>13</v>
      </c>
      <c r="C353" s="179">
        <v>2019</v>
      </c>
      <c r="D353" s="146">
        <v>65421.400000000009</v>
      </c>
      <c r="E353" s="102">
        <v>4906.6050000000005</v>
      </c>
      <c r="F353" s="102">
        <f t="shared" si="60"/>
        <v>70328.005000000005</v>
      </c>
      <c r="G353" s="146">
        <v>0</v>
      </c>
      <c r="H353" s="146">
        <v>0</v>
      </c>
      <c r="I353" s="102">
        <v>0</v>
      </c>
      <c r="J353" s="102">
        <f t="shared" si="61"/>
        <v>21032108.680266622</v>
      </c>
      <c r="K353" s="102">
        <f t="shared" si="62"/>
        <v>692362.16939999908</v>
      </c>
    </row>
    <row r="354" spans="1:11" ht="13" x14ac:dyDescent="0.3">
      <c r="A354" s="96">
        <f t="shared" si="59"/>
        <v>273</v>
      </c>
      <c r="B354" s="132" t="s">
        <v>15</v>
      </c>
      <c r="C354" s="179">
        <v>2019</v>
      </c>
      <c r="D354" s="146">
        <v>70661.399999999994</v>
      </c>
      <c r="E354" s="102">
        <v>5299.6049999999996</v>
      </c>
      <c r="F354" s="102">
        <f t="shared" si="60"/>
        <v>75961.00499999999</v>
      </c>
      <c r="G354" s="146">
        <v>0</v>
      </c>
      <c r="H354" s="146">
        <v>0</v>
      </c>
      <c r="I354" s="102">
        <v>0</v>
      </c>
      <c r="J354" s="102">
        <f t="shared" si="61"/>
        <v>21108069.685266621</v>
      </c>
      <c r="K354" s="102">
        <f t="shared" si="62"/>
        <v>768323.17439999804</v>
      </c>
    </row>
    <row r="355" spans="1:11" ht="13" x14ac:dyDescent="0.3">
      <c r="A355" s="96">
        <f t="shared" si="59"/>
        <v>274</v>
      </c>
      <c r="B355" s="132" t="s">
        <v>14</v>
      </c>
      <c r="C355" s="179">
        <v>2019</v>
      </c>
      <c r="D355" s="146">
        <v>44463.495999999999</v>
      </c>
      <c r="E355" s="102">
        <v>3334.7621999999997</v>
      </c>
      <c r="F355" s="102">
        <f t="shared" si="60"/>
        <v>47798.258199999997</v>
      </c>
      <c r="G355" s="146">
        <v>0</v>
      </c>
      <c r="H355" s="146">
        <v>0</v>
      </c>
      <c r="I355" s="102">
        <v>0</v>
      </c>
      <c r="J355" s="102">
        <f t="shared" si="61"/>
        <v>21155867.943466622</v>
      </c>
      <c r="K355" s="102">
        <f t="shared" si="62"/>
        <v>816121.43259999901</v>
      </c>
    </row>
    <row r="356" spans="1:11" ht="13" x14ac:dyDescent="0.3">
      <c r="A356" s="96">
        <f t="shared" si="59"/>
        <v>275</v>
      </c>
      <c r="B356" s="132" t="s">
        <v>6</v>
      </c>
      <c r="C356" s="179">
        <v>2019</v>
      </c>
      <c r="D356" s="146">
        <v>26042.800000000003</v>
      </c>
      <c r="E356" s="102">
        <v>1953.21</v>
      </c>
      <c r="F356" s="102">
        <f t="shared" si="60"/>
        <v>27996.010000000002</v>
      </c>
      <c r="G356" s="146">
        <v>0</v>
      </c>
      <c r="H356" s="146">
        <v>0</v>
      </c>
      <c r="I356" s="102">
        <v>0</v>
      </c>
      <c r="J356" s="102">
        <f t="shared" si="61"/>
        <v>21183863.953466624</v>
      </c>
      <c r="K356" s="102">
        <f t="shared" si="62"/>
        <v>844117.44260000065</v>
      </c>
    </row>
    <row r="357" spans="1:11" ht="13" x14ac:dyDescent="0.3">
      <c r="A357" s="96">
        <f t="shared" si="59"/>
        <v>276</v>
      </c>
      <c r="B357" s="132" t="s">
        <v>7</v>
      </c>
      <c r="C357" s="179">
        <v>2020</v>
      </c>
      <c r="D357" s="146">
        <v>65423.495999999999</v>
      </c>
      <c r="E357" s="102">
        <v>4906.7622000000001</v>
      </c>
      <c r="F357" s="102">
        <f t="shared" si="60"/>
        <v>70330.258199999997</v>
      </c>
      <c r="G357" s="146">
        <v>0</v>
      </c>
      <c r="H357" s="146">
        <v>0</v>
      </c>
      <c r="I357" s="102">
        <v>0</v>
      </c>
      <c r="J357" s="102">
        <f t="shared" si="61"/>
        <v>21254194.211666625</v>
      </c>
      <c r="K357" s="102">
        <f t="shared" si="62"/>
        <v>914447.70080000162</v>
      </c>
    </row>
    <row r="358" spans="1:11" ht="13" x14ac:dyDescent="0.3">
      <c r="A358" s="96">
        <f t="shared" si="59"/>
        <v>277</v>
      </c>
      <c r="B358" s="132" t="s">
        <v>8</v>
      </c>
      <c r="C358" s="179">
        <v>2020</v>
      </c>
      <c r="D358" s="146">
        <v>65421.400000000009</v>
      </c>
      <c r="E358" s="102">
        <v>4906.6050000000005</v>
      </c>
      <c r="F358" s="102">
        <f t="shared" si="60"/>
        <v>70328.005000000005</v>
      </c>
      <c r="G358" s="146">
        <v>0</v>
      </c>
      <c r="H358" s="146">
        <v>0</v>
      </c>
      <c r="I358" s="102">
        <v>0</v>
      </c>
      <c r="J358" s="102">
        <f t="shared" si="61"/>
        <v>21324522.216666624</v>
      </c>
      <c r="K358" s="102">
        <f t="shared" si="62"/>
        <v>984775.70580000058</v>
      </c>
    </row>
    <row r="359" spans="1:11" ht="13" x14ac:dyDescent="0.3">
      <c r="A359" s="96">
        <f t="shared" si="59"/>
        <v>278</v>
      </c>
      <c r="B359" s="132" t="s">
        <v>18</v>
      </c>
      <c r="C359" s="179">
        <v>2020</v>
      </c>
      <c r="D359" s="146">
        <v>65421.400000000009</v>
      </c>
      <c r="E359" s="102">
        <v>4906.6050000000005</v>
      </c>
      <c r="F359" s="102">
        <f t="shared" si="60"/>
        <v>70328.005000000005</v>
      </c>
      <c r="G359" s="146">
        <v>0</v>
      </c>
      <c r="H359" s="146">
        <v>0</v>
      </c>
      <c r="I359" s="102">
        <v>0</v>
      </c>
      <c r="J359" s="102">
        <f t="shared" si="61"/>
        <v>21394850.221666623</v>
      </c>
      <c r="K359" s="102">
        <f t="shared" si="62"/>
        <v>1055103.7107999995</v>
      </c>
    </row>
    <row r="360" spans="1:11" ht="13" x14ac:dyDescent="0.3">
      <c r="A360" s="96">
        <f t="shared" si="59"/>
        <v>279</v>
      </c>
      <c r="B360" s="132" t="s">
        <v>9</v>
      </c>
      <c r="C360" s="179">
        <v>2020</v>
      </c>
      <c r="D360" s="146">
        <v>65421.400000000009</v>
      </c>
      <c r="E360" s="102">
        <v>4906.6050000000005</v>
      </c>
      <c r="F360" s="102">
        <f t="shared" si="60"/>
        <v>70328.005000000005</v>
      </c>
      <c r="G360" s="146">
        <v>0</v>
      </c>
      <c r="H360" s="146">
        <v>0</v>
      </c>
      <c r="I360" s="102">
        <v>0</v>
      </c>
      <c r="J360" s="102">
        <f t="shared" si="61"/>
        <v>21465178.226666622</v>
      </c>
      <c r="K360" s="102">
        <f t="shared" si="62"/>
        <v>1125431.7157999985</v>
      </c>
    </row>
    <row r="361" spans="1:11" ht="13" x14ac:dyDescent="0.3">
      <c r="A361" s="96">
        <f t="shared" si="59"/>
        <v>280</v>
      </c>
      <c r="B361" s="132" t="s">
        <v>10</v>
      </c>
      <c r="C361" s="179">
        <v>2020</v>
      </c>
      <c r="D361" s="146">
        <v>65421.400000000009</v>
      </c>
      <c r="E361" s="102">
        <v>4906.6050000000005</v>
      </c>
      <c r="F361" s="102">
        <f t="shared" si="60"/>
        <v>70328.005000000005</v>
      </c>
      <c r="G361" s="146">
        <v>0</v>
      </c>
      <c r="H361" s="146">
        <v>0</v>
      </c>
      <c r="I361" s="102">
        <v>0</v>
      </c>
      <c r="J361" s="102">
        <f t="shared" si="61"/>
        <v>21535506.231666621</v>
      </c>
      <c r="K361" s="102">
        <f t="shared" si="62"/>
        <v>1195759.7207999974</v>
      </c>
    </row>
    <row r="362" spans="1:11" ht="13" x14ac:dyDescent="0.3">
      <c r="A362" s="96">
        <f t="shared" si="59"/>
        <v>281</v>
      </c>
      <c r="B362" s="132" t="s">
        <v>25</v>
      </c>
      <c r="C362" s="179">
        <v>2020</v>
      </c>
      <c r="D362" s="146">
        <v>65421.400000000009</v>
      </c>
      <c r="E362" s="102">
        <v>4906.6050000000005</v>
      </c>
      <c r="F362" s="102">
        <f t="shared" si="60"/>
        <v>70328.005000000005</v>
      </c>
      <c r="G362" s="146">
        <v>0</v>
      </c>
      <c r="H362" s="146">
        <v>0</v>
      </c>
      <c r="I362" s="102">
        <v>0</v>
      </c>
      <c r="J362" s="102">
        <f t="shared" si="61"/>
        <v>21605834.23666662</v>
      </c>
      <c r="K362" s="102">
        <f t="shared" si="62"/>
        <v>1266087.7257999964</v>
      </c>
    </row>
    <row r="363" spans="1:11" ht="13" x14ac:dyDescent="0.3">
      <c r="A363" s="96">
        <f t="shared" si="59"/>
        <v>282</v>
      </c>
      <c r="B363" s="132" t="s">
        <v>11</v>
      </c>
      <c r="C363" s="179">
        <v>2020</v>
      </c>
      <c r="D363" s="146">
        <v>65421.400000000009</v>
      </c>
      <c r="E363" s="102">
        <v>4906.6050000000005</v>
      </c>
      <c r="F363" s="102">
        <f t="shared" si="60"/>
        <v>70328.005000000005</v>
      </c>
      <c r="G363" s="146">
        <v>0</v>
      </c>
      <c r="H363" s="146">
        <v>0</v>
      </c>
      <c r="I363" s="102">
        <v>0</v>
      </c>
      <c r="J363" s="102">
        <f t="shared" si="61"/>
        <v>21676162.241666619</v>
      </c>
      <c r="K363" s="102">
        <f t="shared" si="62"/>
        <v>1336415.7307999954</v>
      </c>
    </row>
    <row r="364" spans="1:11" ht="13" x14ac:dyDescent="0.3">
      <c r="A364" s="96">
        <f t="shared" si="59"/>
        <v>283</v>
      </c>
      <c r="B364" s="132" t="s">
        <v>12</v>
      </c>
      <c r="C364" s="179">
        <v>2020</v>
      </c>
      <c r="D364" s="146">
        <v>65421.400000000009</v>
      </c>
      <c r="E364" s="102">
        <v>4906.6050000000005</v>
      </c>
      <c r="F364" s="102">
        <f t="shared" si="60"/>
        <v>70328.005000000005</v>
      </c>
      <c r="G364" s="146">
        <v>0</v>
      </c>
      <c r="H364" s="146">
        <v>0</v>
      </c>
      <c r="I364" s="102">
        <v>0</v>
      </c>
      <c r="J364" s="102">
        <f t="shared" si="61"/>
        <v>21746490.246666618</v>
      </c>
      <c r="K364" s="102">
        <f t="shared" si="62"/>
        <v>1406743.7357999943</v>
      </c>
    </row>
    <row r="365" spans="1:11" ht="13" x14ac:dyDescent="0.3">
      <c r="A365" s="96">
        <f t="shared" si="59"/>
        <v>284</v>
      </c>
      <c r="B365" s="132" t="s">
        <v>13</v>
      </c>
      <c r="C365" s="179">
        <v>2020</v>
      </c>
      <c r="D365" s="146">
        <v>65421.400000000009</v>
      </c>
      <c r="E365" s="102">
        <v>4906.6050000000005</v>
      </c>
      <c r="F365" s="102">
        <f t="shared" si="60"/>
        <v>70328.005000000005</v>
      </c>
      <c r="G365" s="146">
        <v>0</v>
      </c>
      <c r="H365" s="146">
        <v>0</v>
      </c>
      <c r="I365" s="102">
        <v>0</v>
      </c>
      <c r="J365" s="102">
        <f t="shared" si="61"/>
        <v>21816818.251666617</v>
      </c>
      <c r="K365" s="102">
        <f t="shared" si="62"/>
        <v>1477071.7407999933</v>
      </c>
    </row>
    <row r="366" spans="1:11" ht="13" x14ac:dyDescent="0.3">
      <c r="A366" s="96">
        <f t="shared" si="59"/>
        <v>285</v>
      </c>
      <c r="B366" s="132" t="s">
        <v>15</v>
      </c>
      <c r="C366" s="179">
        <v>2020</v>
      </c>
      <c r="D366" s="146">
        <v>65421.400000000009</v>
      </c>
      <c r="E366" s="102">
        <v>4906.6050000000005</v>
      </c>
      <c r="F366" s="102">
        <f t="shared" si="60"/>
        <v>70328.005000000005</v>
      </c>
      <c r="G366" s="146">
        <v>0</v>
      </c>
      <c r="H366" s="146">
        <v>0</v>
      </c>
      <c r="I366" s="102">
        <v>0</v>
      </c>
      <c r="J366" s="102">
        <f t="shared" si="61"/>
        <v>21887146.256666616</v>
      </c>
      <c r="K366" s="102">
        <f t="shared" si="62"/>
        <v>1547399.7457999922</v>
      </c>
    </row>
    <row r="367" spans="1:11" ht="13" x14ac:dyDescent="0.3">
      <c r="A367" s="96">
        <f t="shared" si="59"/>
        <v>286</v>
      </c>
      <c r="B367" s="132" t="s">
        <v>14</v>
      </c>
      <c r="C367" s="179">
        <v>2020</v>
      </c>
      <c r="D367" s="146">
        <v>65421.400000000009</v>
      </c>
      <c r="E367" s="102">
        <v>4906.6050000000005</v>
      </c>
      <c r="F367" s="102">
        <f t="shared" si="60"/>
        <v>70328.005000000005</v>
      </c>
      <c r="G367" s="146">
        <v>0</v>
      </c>
      <c r="H367" s="146">
        <v>0</v>
      </c>
      <c r="I367" s="102">
        <v>0</v>
      </c>
      <c r="J367" s="102">
        <f t="shared" si="61"/>
        <v>21957474.261666615</v>
      </c>
      <c r="K367" s="102">
        <f t="shared" si="62"/>
        <v>1617727.7507999912</v>
      </c>
    </row>
    <row r="368" spans="1:11" ht="13" x14ac:dyDescent="0.3">
      <c r="A368" s="96">
        <f t="shared" si="59"/>
        <v>287</v>
      </c>
      <c r="B368" s="132" t="s">
        <v>6</v>
      </c>
      <c r="C368" s="179">
        <v>2020</v>
      </c>
      <c r="D368" s="146">
        <v>65421.400000000009</v>
      </c>
      <c r="E368" s="102">
        <v>4906.6050000000005</v>
      </c>
      <c r="F368" s="102">
        <f t="shared" si="60"/>
        <v>70328.005000000005</v>
      </c>
      <c r="G368" s="146">
        <v>0</v>
      </c>
      <c r="H368" s="146">
        <v>0</v>
      </c>
      <c r="I368" s="102">
        <v>0</v>
      </c>
      <c r="J368" s="102">
        <f t="shared" si="61"/>
        <v>22027802.266666614</v>
      </c>
      <c r="K368" s="108">
        <f t="shared" si="62"/>
        <v>1688055.7557999901</v>
      </c>
    </row>
    <row r="369" spans="1:11" ht="13" x14ac:dyDescent="0.3">
      <c r="A369" s="96">
        <f t="shared" si="59"/>
        <v>288</v>
      </c>
      <c r="C369" s="240" t="s">
        <v>380</v>
      </c>
      <c r="K369" s="241">
        <f>AVERAGE(K356:K368)</f>
        <v>1266087.5524769193</v>
      </c>
    </row>
    <row r="370" spans="1:11" ht="13" x14ac:dyDescent="0.3">
      <c r="A370" s="96"/>
      <c r="C370" s="240"/>
      <c r="K370" s="241"/>
    </row>
    <row r="371" spans="1:11" ht="13" x14ac:dyDescent="0.3">
      <c r="B371" s="242" t="s">
        <v>402</v>
      </c>
      <c r="D371" s="300" t="s">
        <v>403</v>
      </c>
      <c r="E371" s="300"/>
      <c r="F371" s="301"/>
      <c r="G371" s="301"/>
    </row>
    <row r="372" spans="1:11" ht="13" x14ac:dyDescent="0.3">
      <c r="A372" s="100"/>
      <c r="B372" s="100"/>
      <c r="C372" s="100"/>
      <c r="D372" s="100" t="s">
        <v>148</v>
      </c>
      <c r="E372" s="100" t="s">
        <v>149</v>
      </c>
      <c r="F372" s="100" t="s">
        <v>150</v>
      </c>
      <c r="G372" s="100" t="s">
        <v>151</v>
      </c>
      <c r="H372" s="100" t="s">
        <v>329</v>
      </c>
      <c r="I372" s="100" t="s">
        <v>330</v>
      </c>
      <c r="J372" s="100" t="s">
        <v>346</v>
      </c>
      <c r="K372" s="100" t="s">
        <v>347</v>
      </c>
    </row>
    <row r="373" spans="1:11" ht="25.5" x14ac:dyDescent="0.3">
      <c r="D373" s="136"/>
      <c r="E373" s="243" t="s">
        <v>383</v>
      </c>
      <c r="F373" s="128" t="s">
        <v>384</v>
      </c>
      <c r="G373" s="128"/>
      <c r="H373" s="136"/>
      <c r="I373" s="243" t="s">
        <v>385</v>
      </c>
      <c r="J373" s="243" t="s">
        <v>386</v>
      </c>
      <c r="K373" s="243" t="s">
        <v>387</v>
      </c>
    </row>
    <row r="374" spans="1:11" ht="13" x14ac:dyDescent="0.3">
      <c r="D374" s="136"/>
      <c r="E374" s="243"/>
      <c r="F374" s="128"/>
      <c r="G374" s="121" t="str">
        <f>G51</f>
        <v>Unloaded</v>
      </c>
      <c r="H374" s="136"/>
      <c r="I374" s="243"/>
      <c r="J374" s="243"/>
      <c r="K374" s="243"/>
    </row>
    <row r="375" spans="1:11" ht="13" x14ac:dyDescent="0.3">
      <c r="A375" s="96"/>
      <c r="B375" s="96"/>
      <c r="C375" s="96"/>
      <c r="D375" s="96" t="str">
        <f>D$52</f>
        <v>Forecast</v>
      </c>
      <c r="E375" s="96" t="str">
        <f t="shared" ref="E375:J375" si="63">E$52</f>
        <v>Corporate</v>
      </c>
      <c r="F375" s="96" t="str">
        <f t="shared" si="63"/>
        <v xml:space="preserve">Total </v>
      </c>
      <c r="G375" s="121" t="str">
        <f>G52</f>
        <v>Total</v>
      </c>
      <c r="H375" s="96" t="str">
        <f t="shared" si="63"/>
        <v>Prior Period</v>
      </c>
      <c r="I375" s="96" t="str">
        <f t="shared" si="63"/>
        <v>Over Heads</v>
      </c>
      <c r="J375" s="96" t="str">
        <f t="shared" si="63"/>
        <v>Forecast</v>
      </c>
      <c r="K375" s="96" t="str">
        <f>K$52</f>
        <v>Forecast Period</v>
      </c>
    </row>
    <row r="376" spans="1:11" ht="13" x14ac:dyDescent="0.3">
      <c r="A376" s="99" t="s">
        <v>336</v>
      </c>
      <c r="B376" s="134" t="s">
        <v>16</v>
      </c>
      <c r="C376" s="134" t="s">
        <v>17</v>
      </c>
      <c r="D376" s="100" t="str">
        <f>D$53</f>
        <v>Expenditures</v>
      </c>
      <c r="E376" s="100" t="str">
        <f t="shared" ref="E376:J376" si="64">E$53</f>
        <v>Overheads</v>
      </c>
      <c r="F376" s="100" t="str">
        <f t="shared" si="64"/>
        <v>CWIP Exp</v>
      </c>
      <c r="G376" s="136" t="str">
        <f>G53</f>
        <v>Plant Adds</v>
      </c>
      <c r="H376" s="100" t="str">
        <f t="shared" si="64"/>
        <v>CWIP Closed</v>
      </c>
      <c r="I376" s="100" t="str">
        <f t="shared" si="64"/>
        <v>Closed to PIS</v>
      </c>
      <c r="J376" s="100" t="str">
        <f t="shared" si="64"/>
        <v>Period CWIP</v>
      </c>
      <c r="K376" s="100" t="str">
        <f>K$53</f>
        <v>Incremental CWIP</v>
      </c>
    </row>
    <row r="377" spans="1:11" ht="13" x14ac:dyDescent="0.3">
      <c r="A377" s="96">
        <f>A369+1</f>
        <v>289</v>
      </c>
      <c r="B377" s="132" t="s">
        <v>6</v>
      </c>
      <c r="C377" s="179">
        <v>2018</v>
      </c>
      <c r="D377" s="128" t="s">
        <v>361</v>
      </c>
      <c r="E377" s="128" t="s">
        <v>361</v>
      </c>
      <c r="F377" s="128" t="s">
        <v>361</v>
      </c>
      <c r="G377" s="128" t="s">
        <v>361</v>
      </c>
      <c r="H377" s="128" t="s">
        <v>361</v>
      </c>
      <c r="I377" s="128" t="s">
        <v>361</v>
      </c>
      <c r="J377" s="102">
        <v>0</v>
      </c>
      <c r="K377" s="128" t="s">
        <v>361</v>
      </c>
    </row>
    <row r="378" spans="1:11" ht="13" x14ac:dyDescent="0.3">
      <c r="A378" s="96">
        <f>A377+1</f>
        <v>290</v>
      </c>
      <c r="B378" s="132" t="s">
        <v>7</v>
      </c>
      <c r="C378" s="179">
        <v>2019</v>
      </c>
      <c r="D378" s="146">
        <v>-443999</v>
      </c>
      <c r="E378" s="102">
        <v>-33299.924999999996</v>
      </c>
      <c r="F378" s="102">
        <f>E378+D378</f>
        <v>-477298.92499999999</v>
      </c>
      <c r="G378" s="146">
        <v>0</v>
      </c>
      <c r="H378" s="146">
        <v>0</v>
      </c>
      <c r="I378" s="102">
        <v>0</v>
      </c>
      <c r="J378" s="102">
        <f>J377+F378-G378-I378</f>
        <v>-477298.92499999999</v>
      </c>
      <c r="K378" s="102">
        <f>J378-$J$377</f>
        <v>-477298.92499999999</v>
      </c>
    </row>
    <row r="379" spans="1:11" ht="13" x14ac:dyDescent="0.3">
      <c r="A379" s="96">
        <f t="shared" ref="A379:A402" si="65">A378+1</f>
        <v>291</v>
      </c>
      <c r="B379" s="132" t="s">
        <v>8</v>
      </c>
      <c r="C379" s="179">
        <v>2019</v>
      </c>
      <c r="D379" s="146">
        <v>552103</v>
      </c>
      <c r="E379" s="102">
        <v>41407.724999999999</v>
      </c>
      <c r="F379" s="102">
        <f t="shared" ref="F379:F401" si="66">E379+D379</f>
        <v>593510.72499999998</v>
      </c>
      <c r="G379" s="146">
        <v>0</v>
      </c>
      <c r="H379" s="146">
        <v>0</v>
      </c>
      <c r="I379" s="102">
        <v>0</v>
      </c>
      <c r="J379" s="102">
        <f t="shared" ref="J379:J401" si="67">J378+F379-G379-I379</f>
        <v>116211.79999999999</v>
      </c>
      <c r="K379" s="102">
        <f t="shared" ref="K379:K401" si="68">J379-$J$377</f>
        <v>116211.79999999999</v>
      </c>
    </row>
    <row r="380" spans="1:11" ht="13" x14ac:dyDescent="0.3">
      <c r="A380" s="96">
        <f t="shared" si="65"/>
        <v>292</v>
      </c>
      <c r="B380" s="132" t="s">
        <v>18</v>
      </c>
      <c r="C380" s="179">
        <v>2019</v>
      </c>
      <c r="D380" s="146">
        <v>1526498.9999999998</v>
      </c>
      <c r="E380" s="102">
        <v>114487.42499999997</v>
      </c>
      <c r="F380" s="102">
        <f t="shared" si="66"/>
        <v>1640986.4249999998</v>
      </c>
      <c r="G380" s="146">
        <v>0</v>
      </c>
      <c r="H380" s="146">
        <v>0</v>
      </c>
      <c r="I380" s="102">
        <v>0</v>
      </c>
      <c r="J380" s="102">
        <f t="shared" si="67"/>
        <v>1757198.2249999999</v>
      </c>
      <c r="K380" s="102">
        <f t="shared" si="68"/>
        <v>1757198.2249999999</v>
      </c>
    </row>
    <row r="381" spans="1:11" ht="13" x14ac:dyDescent="0.3">
      <c r="A381" s="96">
        <f t="shared" si="65"/>
        <v>293</v>
      </c>
      <c r="B381" s="132" t="s">
        <v>9</v>
      </c>
      <c r="C381" s="179">
        <v>2019</v>
      </c>
      <c r="D381" s="146">
        <v>433000</v>
      </c>
      <c r="E381" s="102">
        <v>32475</v>
      </c>
      <c r="F381" s="102">
        <f t="shared" si="66"/>
        <v>465475</v>
      </c>
      <c r="G381" s="146">
        <v>0</v>
      </c>
      <c r="H381" s="146">
        <v>0</v>
      </c>
      <c r="I381" s="102">
        <v>0</v>
      </c>
      <c r="J381" s="102">
        <f t="shared" si="67"/>
        <v>2222673.2249999996</v>
      </c>
      <c r="K381" s="102">
        <f t="shared" si="68"/>
        <v>2222673.2249999996</v>
      </c>
    </row>
    <row r="382" spans="1:11" ht="13" x14ac:dyDescent="0.3">
      <c r="A382" s="96">
        <f t="shared" si="65"/>
        <v>294</v>
      </c>
      <c r="B382" s="132" t="s">
        <v>10</v>
      </c>
      <c r="C382" s="179">
        <v>2019</v>
      </c>
      <c r="D382" s="146">
        <v>643000</v>
      </c>
      <c r="E382" s="102">
        <v>48225</v>
      </c>
      <c r="F382" s="102">
        <f t="shared" si="66"/>
        <v>691225</v>
      </c>
      <c r="G382" s="146">
        <v>0</v>
      </c>
      <c r="H382" s="146">
        <v>0</v>
      </c>
      <c r="I382" s="102">
        <v>0</v>
      </c>
      <c r="J382" s="102">
        <f t="shared" si="67"/>
        <v>2913898.2249999996</v>
      </c>
      <c r="K382" s="102">
        <f t="shared" si="68"/>
        <v>2913898.2249999996</v>
      </c>
    </row>
    <row r="383" spans="1:11" ht="13" x14ac:dyDescent="0.3">
      <c r="A383" s="96">
        <f t="shared" si="65"/>
        <v>295</v>
      </c>
      <c r="B383" s="132" t="s">
        <v>25</v>
      </c>
      <c r="C383" s="179">
        <v>2019</v>
      </c>
      <c r="D383" s="146">
        <v>5281916</v>
      </c>
      <c r="E383" s="102">
        <v>396143.7</v>
      </c>
      <c r="F383" s="102">
        <f t="shared" si="66"/>
        <v>5678059.7000000002</v>
      </c>
      <c r="G383" s="146">
        <v>0</v>
      </c>
      <c r="H383" s="146">
        <v>0</v>
      </c>
      <c r="I383" s="102">
        <v>0</v>
      </c>
      <c r="J383" s="102">
        <f t="shared" si="67"/>
        <v>8591957.9250000007</v>
      </c>
      <c r="K383" s="102">
        <f t="shared" si="68"/>
        <v>8591957.9250000007</v>
      </c>
    </row>
    <row r="384" spans="1:11" ht="13" x14ac:dyDescent="0.3">
      <c r="A384" s="96">
        <f t="shared" si="65"/>
        <v>296</v>
      </c>
      <c r="B384" s="132" t="s">
        <v>11</v>
      </c>
      <c r="C384" s="179">
        <v>2019</v>
      </c>
      <c r="D384" s="146">
        <v>1858819</v>
      </c>
      <c r="E384" s="102">
        <v>139411.42499999999</v>
      </c>
      <c r="F384" s="102">
        <f t="shared" si="66"/>
        <v>1998230.425</v>
      </c>
      <c r="G384" s="146">
        <v>0</v>
      </c>
      <c r="H384" s="146">
        <v>0</v>
      </c>
      <c r="I384" s="102">
        <v>0</v>
      </c>
      <c r="J384" s="102">
        <f t="shared" si="67"/>
        <v>10590188.350000001</v>
      </c>
      <c r="K384" s="102">
        <f t="shared" si="68"/>
        <v>10590188.350000001</v>
      </c>
    </row>
    <row r="385" spans="1:11" ht="13" x14ac:dyDescent="0.3">
      <c r="A385" s="96">
        <f t="shared" si="65"/>
        <v>297</v>
      </c>
      <c r="B385" s="132" t="s">
        <v>12</v>
      </c>
      <c r="C385" s="179">
        <v>2019</v>
      </c>
      <c r="D385" s="146">
        <v>12669040</v>
      </c>
      <c r="E385" s="102">
        <v>950178</v>
      </c>
      <c r="F385" s="102">
        <f t="shared" si="66"/>
        <v>13619218</v>
      </c>
      <c r="G385" s="146">
        <v>0</v>
      </c>
      <c r="H385" s="146">
        <v>0</v>
      </c>
      <c r="I385" s="102">
        <v>0</v>
      </c>
      <c r="J385" s="102">
        <f t="shared" si="67"/>
        <v>24209406.350000001</v>
      </c>
      <c r="K385" s="102">
        <f t="shared" si="68"/>
        <v>24209406.350000001</v>
      </c>
    </row>
    <row r="386" spans="1:11" ht="13" x14ac:dyDescent="0.3">
      <c r="A386" s="96">
        <f t="shared" si="65"/>
        <v>298</v>
      </c>
      <c r="B386" s="132" t="s">
        <v>13</v>
      </c>
      <c r="C386" s="179">
        <v>2019</v>
      </c>
      <c r="D386" s="146">
        <v>4463498</v>
      </c>
      <c r="E386" s="102">
        <v>334762.34999999998</v>
      </c>
      <c r="F386" s="102">
        <f t="shared" si="66"/>
        <v>4798260.3499999996</v>
      </c>
      <c r="G386" s="146">
        <v>0</v>
      </c>
      <c r="H386" s="146">
        <v>0</v>
      </c>
      <c r="I386" s="102">
        <v>0</v>
      </c>
      <c r="J386" s="102">
        <f t="shared" si="67"/>
        <v>29007666.700000003</v>
      </c>
      <c r="K386" s="102">
        <f t="shared" si="68"/>
        <v>29007666.700000003</v>
      </c>
    </row>
    <row r="387" spans="1:11" ht="13" x14ac:dyDescent="0.3">
      <c r="A387" s="96">
        <f t="shared" si="65"/>
        <v>299</v>
      </c>
      <c r="B387" s="132" t="s">
        <v>15</v>
      </c>
      <c r="C387" s="179">
        <v>2019</v>
      </c>
      <c r="D387" s="146">
        <v>2662000</v>
      </c>
      <c r="E387" s="102">
        <v>199650</v>
      </c>
      <c r="F387" s="102">
        <f t="shared" si="66"/>
        <v>2861650</v>
      </c>
      <c r="G387" s="146">
        <v>0</v>
      </c>
      <c r="H387" s="146">
        <v>0</v>
      </c>
      <c r="I387" s="102">
        <v>0</v>
      </c>
      <c r="J387" s="102">
        <f t="shared" si="67"/>
        <v>31869316.700000003</v>
      </c>
      <c r="K387" s="102">
        <f t="shared" si="68"/>
        <v>31869316.700000003</v>
      </c>
    </row>
    <row r="388" spans="1:11" ht="13" x14ac:dyDescent="0.3">
      <c r="A388" s="96">
        <f t="shared" si="65"/>
        <v>300</v>
      </c>
      <c r="B388" s="132" t="s">
        <v>14</v>
      </c>
      <c r="C388" s="179">
        <v>2019</v>
      </c>
      <c r="D388" s="146">
        <v>7878000</v>
      </c>
      <c r="E388" s="102">
        <v>590850</v>
      </c>
      <c r="F388" s="102">
        <f t="shared" si="66"/>
        <v>8468850</v>
      </c>
      <c r="G388" s="146">
        <v>0</v>
      </c>
      <c r="H388" s="146">
        <v>0</v>
      </c>
      <c r="I388" s="102">
        <v>0</v>
      </c>
      <c r="J388" s="102">
        <f t="shared" si="67"/>
        <v>40338166.700000003</v>
      </c>
      <c r="K388" s="102">
        <f t="shared" si="68"/>
        <v>40338166.700000003</v>
      </c>
    </row>
    <row r="389" spans="1:11" ht="13" x14ac:dyDescent="0.3">
      <c r="A389" s="96">
        <f t="shared" si="65"/>
        <v>301</v>
      </c>
      <c r="B389" s="132" t="s">
        <v>6</v>
      </c>
      <c r="C389" s="179">
        <v>2019</v>
      </c>
      <c r="D389" s="146">
        <v>915000</v>
      </c>
      <c r="E389" s="102">
        <v>68625</v>
      </c>
      <c r="F389" s="102">
        <f t="shared" si="66"/>
        <v>983625</v>
      </c>
      <c r="G389" s="146">
        <v>0</v>
      </c>
      <c r="H389" s="146">
        <v>0</v>
      </c>
      <c r="I389" s="102">
        <v>0</v>
      </c>
      <c r="J389" s="102">
        <f t="shared" si="67"/>
        <v>41321791.700000003</v>
      </c>
      <c r="K389" s="102">
        <f t="shared" si="68"/>
        <v>41321791.700000003</v>
      </c>
    </row>
    <row r="390" spans="1:11" ht="13" x14ac:dyDescent="0.3">
      <c r="A390" s="96">
        <f t="shared" si="65"/>
        <v>302</v>
      </c>
      <c r="B390" s="132" t="s">
        <v>7</v>
      </c>
      <c r="C390" s="179">
        <v>2020</v>
      </c>
      <c r="D390" s="146">
        <v>2143000</v>
      </c>
      <c r="E390" s="102">
        <v>160725</v>
      </c>
      <c r="F390" s="102">
        <f t="shared" si="66"/>
        <v>2303725</v>
      </c>
      <c r="G390" s="146">
        <v>0</v>
      </c>
      <c r="H390" s="146">
        <v>0</v>
      </c>
      <c r="I390" s="102">
        <v>0</v>
      </c>
      <c r="J390" s="102">
        <f t="shared" si="67"/>
        <v>43625516.700000003</v>
      </c>
      <c r="K390" s="102">
        <f t="shared" si="68"/>
        <v>43625516.700000003</v>
      </c>
    </row>
    <row r="391" spans="1:11" ht="13" x14ac:dyDescent="0.3">
      <c r="A391" s="96">
        <f t="shared" si="65"/>
        <v>303</v>
      </c>
      <c r="B391" s="132" t="s">
        <v>8</v>
      </c>
      <c r="C391" s="179">
        <v>2020</v>
      </c>
      <c r="D391" s="146">
        <v>8579241</v>
      </c>
      <c r="E391" s="102">
        <v>643443.07499999995</v>
      </c>
      <c r="F391" s="102">
        <f t="shared" si="66"/>
        <v>9222684.0749999993</v>
      </c>
      <c r="G391" s="146">
        <v>0</v>
      </c>
      <c r="H391" s="146">
        <v>0</v>
      </c>
      <c r="I391" s="102">
        <v>0</v>
      </c>
      <c r="J391" s="102">
        <f t="shared" si="67"/>
        <v>52848200.775000006</v>
      </c>
      <c r="K391" s="102">
        <f t="shared" si="68"/>
        <v>52848200.775000006</v>
      </c>
    </row>
    <row r="392" spans="1:11" ht="13" x14ac:dyDescent="0.3">
      <c r="A392" s="96">
        <f t="shared" si="65"/>
        <v>304</v>
      </c>
      <c r="B392" s="132" t="s">
        <v>18</v>
      </c>
      <c r="C392" s="179">
        <v>2020</v>
      </c>
      <c r="D392" s="146">
        <v>6514652</v>
      </c>
      <c r="E392" s="102">
        <v>488598.89999999997</v>
      </c>
      <c r="F392" s="102">
        <f t="shared" si="66"/>
        <v>7003250.9000000004</v>
      </c>
      <c r="G392" s="146">
        <v>0</v>
      </c>
      <c r="H392" s="146">
        <v>0</v>
      </c>
      <c r="I392" s="102">
        <v>0</v>
      </c>
      <c r="J392" s="102">
        <f t="shared" si="67"/>
        <v>59851451.675000004</v>
      </c>
      <c r="K392" s="102">
        <f t="shared" si="68"/>
        <v>59851451.675000004</v>
      </c>
    </row>
    <row r="393" spans="1:11" ht="13" x14ac:dyDescent="0.3">
      <c r="A393" s="96">
        <f t="shared" si="65"/>
        <v>305</v>
      </c>
      <c r="B393" s="132" t="s">
        <v>9</v>
      </c>
      <c r="C393" s="179">
        <v>2020</v>
      </c>
      <c r="D393" s="146">
        <v>4540288</v>
      </c>
      <c r="E393" s="102">
        <v>340521.6</v>
      </c>
      <c r="F393" s="102">
        <f t="shared" si="66"/>
        <v>4880809.5999999996</v>
      </c>
      <c r="G393" s="146">
        <v>0</v>
      </c>
      <c r="H393" s="146">
        <v>0</v>
      </c>
      <c r="I393" s="102">
        <v>0</v>
      </c>
      <c r="J393" s="102">
        <f t="shared" si="67"/>
        <v>64732261.275000006</v>
      </c>
      <c r="K393" s="102">
        <f t="shared" si="68"/>
        <v>64732261.275000006</v>
      </c>
    </row>
    <row r="394" spans="1:11" ht="13" x14ac:dyDescent="0.3">
      <c r="A394" s="96">
        <f t="shared" si="65"/>
        <v>306</v>
      </c>
      <c r="B394" s="132" t="s">
        <v>10</v>
      </c>
      <c r="C394" s="179">
        <v>2020</v>
      </c>
      <c r="D394" s="146">
        <v>7891000</v>
      </c>
      <c r="E394" s="102">
        <v>591825</v>
      </c>
      <c r="F394" s="102">
        <f t="shared" si="66"/>
        <v>8482825</v>
      </c>
      <c r="G394" s="146">
        <v>0</v>
      </c>
      <c r="H394" s="146">
        <v>0</v>
      </c>
      <c r="I394" s="102">
        <v>0</v>
      </c>
      <c r="J394" s="102">
        <f t="shared" si="67"/>
        <v>73215086.275000006</v>
      </c>
      <c r="K394" s="102">
        <f t="shared" si="68"/>
        <v>73215086.275000006</v>
      </c>
    </row>
    <row r="395" spans="1:11" ht="13" x14ac:dyDescent="0.3">
      <c r="A395" s="96">
        <f t="shared" si="65"/>
        <v>307</v>
      </c>
      <c r="B395" s="132" t="s">
        <v>25</v>
      </c>
      <c r="C395" s="179">
        <v>2020</v>
      </c>
      <c r="D395" s="146">
        <v>5229829</v>
      </c>
      <c r="E395" s="102">
        <v>392237.17499999999</v>
      </c>
      <c r="F395" s="102">
        <f t="shared" si="66"/>
        <v>5622066.1749999998</v>
      </c>
      <c r="G395" s="146">
        <v>0</v>
      </c>
      <c r="H395" s="146">
        <v>0</v>
      </c>
      <c r="I395" s="102">
        <v>0</v>
      </c>
      <c r="J395" s="102">
        <f t="shared" si="67"/>
        <v>78837152.450000003</v>
      </c>
      <c r="K395" s="102">
        <f t="shared" si="68"/>
        <v>78837152.450000003</v>
      </c>
    </row>
    <row r="396" spans="1:11" ht="13" x14ac:dyDescent="0.3">
      <c r="A396" s="96">
        <f t="shared" si="65"/>
        <v>308</v>
      </c>
      <c r="B396" s="132" t="s">
        <v>11</v>
      </c>
      <c r="C396" s="179">
        <v>2020</v>
      </c>
      <c r="D396" s="146">
        <v>3452000</v>
      </c>
      <c r="E396" s="102">
        <v>258900</v>
      </c>
      <c r="F396" s="102">
        <f t="shared" si="66"/>
        <v>3710900</v>
      </c>
      <c r="G396" s="146">
        <v>0</v>
      </c>
      <c r="H396" s="146">
        <v>0</v>
      </c>
      <c r="I396" s="102">
        <v>0</v>
      </c>
      <c r="J396" s="102">
        <f t="shared" si="67"/>
        <v>82548052.450000003</v>
      </c>
      <c r="K396" s="102">
        <f t="shared" si="68"/>
        <v>82548052.450000003</v>
      </c>
    </row>
    <row r="397" spans="1:11" ht="13" x14ac:dyDescent="0.3">
      <c r="A397" s="96">
        <f t="shared" si="65"/>
        <v>309</v>
      </c>
      <c r="B397" s="132" t="s">
        <v>12</v>
      </c>
      <c r="C397" s="179">
        <v>2020</v>
      </c>
      <c r="D397" s="146">
        <v>3269000</v>
      </c>
      <c r="E397" s="102">
        <v>245175</v>
      </c>
      <c r="F397" s="102">
        <f t="shared" si="66"/>
        <v>3514175</v>
      </c>
      <c r="G397" s="146">
        <v>0</v>
      </c>
      <c r="H397" s="146">
        <v>0</v>
      </c>
      <c r="I397" s="102">
        <v>0</v>
      </c>
      <c r="J397" s="102">
        <f t="shared" si="67"/>
        <v>86062227.450000003</v>
      </c>
      <c r="K397" s="102">
        <f t="shared" si="68"/>
        <v>86062227.450000003</v>
      </c>
    </row>
    <row r="398" spans="1:11" ht="13" x14ac:dyDescent="0.3">
      <c r="A398" s="96">
        <f t="shared" si="65"/>
        <v>310</v>
      </c>
      <c r="B398" s="132" t="s">
        <v>13</v>
      </c>
      <c r="C398" s="179">
        <v>2020</v>
      </c>
      <c r="D398" s="146">
        <v>3135000</v>
      </c>
      <c r="E398" s="102">
        <v>235125</v>
      </c>
      <c r="F398" s="102">
        <f t="shared" si="66"/>
        <v>3370125</v>
      </c>
      <c r="G398" s="146">
        <v>0</v>
      </c>
      <c r="H398" s="146">
        <v>0</v>
      </c>
      <c r="I398" s="102">
        <v>0</v>
      </c>
      <c r="J398" s="102">
        <f t="shared" si="67"/>
        <v>89432352.450000003</v>
      </c>
      <c r="K398" s="102">
        <f t="shared" si="68"/>
        <v>89432352.450000003</v>
      </c>
    </row>
    <row r="399" spans="1:11" ht="13" x14ac:dyDescent="0.3">
      <c r="A399" s="96">
        <f t="shared" si="65"/>
        <v>311</v>
      </c>
      <c r="B399" s="132" t="s">
        <v>15</v>
      </c>
      <c r="C399" s="179">
        <v>2020</v>
      </c>
      <c r="D399" s="146">
        <v>4696830</v>
      </c>
      <c r="E399" s="102">
        <v>352262.25</v>
      </c>
      <c r="F399" s="102">
        <f t="shared" si="66"/>
        <v>5049092.25</v>
      </c>
      <c r="G399" s="146">
        <v>0</v>
      </c>
      <c r="H399" s="146">
        <v>0</v>
      </c>
      <c r="I399" s="102">
        <v>0</v>
      </c>
      <c r="J399" s="102">
        <f t="shared" si="67"/>
        <v>94481444.700000003</v>
      </c>
      <c r="K399" s="102">
        <f t="shared" si="68"/>
        <v>94481444.700000003</v>
      </c>
    </row>
    <row r="400" spans="1:11" ht="13" x14ac:dyDescent="0.3">
      <c r="A400" s="96">
        <f t="shared" si="65"/>
        <v>312</v>
      </c>
      <c r="B400" s="132" t="s">
        <v>14</v>
      </c>
      <c r="C400" s="179">
        <v>2020</v>
      </c>
      <c r="D400" s="146">
        <v>7090206</v>
      </c>
      <c r="E400" s="102">
        <v>531765.44999999995</v>
      </c>
      <c r="F400" s="102">
        <f t="shared" si="66"/>
        <v>7621971.4500000002</v>
      </c>
      <c r="G400" s="146">
        <v>0</v>
      </c>
      <c r="H400" s="146">
        <v>0</v>
      </c>
      <c r="I400" s="102">
        <v>0</v>
      </c>
      <c r="J400" s="102">
        <f t="shared" si="67"/>
        <v>102103416.15000001</v>
      </c>
      <c r="K400" s="102">
        <f t="shared" si="68"/>
        <v>102103416.15000001</v>
      </c>
    </row>
    <row r="401" spans="1:11" ht="13" x14ac:dyDescent="0.3">
      <c r="A401" s="96">
        <f t="shared" si="65"/>
        <v>313</v>
      </c>
      <c r="B401" s="132" t="s">
        <v>6</v>
      </c>
      <c r="C401" s="179">
        <v>2020</v>
      </c>
      <c r="D401" s="146">
        <v>9102555</v>
      </c>
      <c r="E401" s="102">
        <v>682691.625</v>
      </c>
      <c r="F401" s="102">
        <f t="shared" si="66"/>
        <v>9785246.625</v>
      </c>
      <c r="G401" s="146">
        <v>0</v>
      </c>
      <c r="H401" s="146">
        <v>0</v>
      </c>
      <c r="I401" s="102">
        <v>0</v>
      </c>
      <c r="J401" s="102">
        <f t="shared" si="67"/>
        <v>111888662.77500001</v>
      </c>
      <c r="K401" s="108">
        <f t="shared" si="68"/>
        <v>111888662.77500001</v>
      </c>
    </row>
    <row r="402" spans="1:11" ht="13" x14ac:dyDescent="0.3">
      <c r="A402" s="96">
        <f t="shared" si="65"/>
        <v>314</v>
      </c>
      <c r="C402" s="240" t="s">
        <v>380</v>
      </c>
      <c r="H402" s="128"/>
      <c r="I402" s="128"/>
      <c r="K402" s="241">
        <f>AVERAGE(K389:K401)</f>
        <v>75457508.98653847</v>
      </c>
    </row>
    <row r="403" spans="1:11" ht="13" x14ac:dyDescent="0.3">
      <c r="A403" s="96"/>
      <c r="C403" s="240"/>
      <c r="H403" s="128"/>
      <c r="I403" s="128"/>
      <c r="K403" s="241"/>
    </row>
    <row r="404" spans="1:11" ht="13" x14ac:dyDescent="0.3">
      <c r="B404" s="242" t="s">
        <v>404</v>
      </c>
      <c r="D404" s="125" t="s">
        <v>405</v>
      </c>
      <c r="E404" s="125"/>
      <c r="F404" s="125"/>
      <c r="G404" s="125"/>
    </row>
    <row r="405" spans="1:11" ht="13" x14ac:dyDescent="0.3">
      <c r="A405" s="100"/>
      <c r="B405" s="100"/>
      <c r="C405" s="100"/>
      <c r="D405" s="100" t="s">
        <v>148</v>
      </c>
      <c r="E405" s="100" t="s">
        <v>149</v>
      </c>
      <c r="F405" s="100" t="s">
        <v>150</v>
      </c>
      <c r="G405" s="100" t="s">
        <v>151</v>
      </c>
      <c r="H405" s="100" t="s">
        <v>329</v>
      </c>
      <c r="I405" s="100" t="s">
        <v>330</v>
      </c>
      <c r="J405" s="100" t="s">
        <v>346</v>
      </c>
      <c r="K405" s="100" t="s">
        <v>347</v>
      </c>
    </row>
    <row r="406" spans="1:11" ht="25.5" x14ac:dyDescent="0.3">
      <c r="D406" s="136"/>
      <c r="E406" s="243" t="s">
        <v>383</v>
      </c>
      <c r="F406" s="128" t="s">
        <v>384</v>
      </c>
      <c r="G406" s="128"/>
      <c r="H406" s="136"/>
      <c r="I406" s="243" t="s">
        <v>385</v>
      </c>
      <c r="J406" s="243" t="s">
        <v>386</v>
      </c>
      <c r="K406" s="243" t="s">
        <v>387</v>
      </c>
    </row>
    <row r="407" spans="1:11" ht="13" x14ac:dyDescent="0.3">
      <c r="D407" s="136"/>
      <c r="E407" s="243"/>
      <c r="F407" s="128"/>
      <c r="G407" s="121" t="str">
        <f>G85</f>
        <v>Unloaded</v>
      </c>
      <c r="H407" s="136"/>
      <c r="I407" s="243"/>
      <c r="J407" s="243"/>
      <c r="K407" s="243"/>
    </row>
    <row r="408" spans="1:11" ht="13" x14ac:dyDescent="0.3">
      <c r="A408" s="96"/>
      <c r="B408" s="96"/>
      <c r="C408" s="96"/>
      <c r="D408" s="96" t="str">
        <f>D$52</f>
        <v>Forecast</v>
      </c>
      <c r="E408" s="96" t="str">
        <f t="shared" ref="E408:J408" si="69">E$52</f>
        <v>Corporate</v>
      </c>
      <c r="F408" s="96" t="str">
        <f t="shared" si="69"/>
        <v xml:space="preserve">Total </v>
      </c>
      <c r="G408" s="121" t="str">
        <f>G86</f>
        <v>Total</v>
      </c>
      <c r="H408" s="96" t="str">
        <f t="shared" si="69"/>
        <v>Prior Period</v>
      </c>
      <c r="I408" s="96" t="str">
        <f t="shared" si="69"/>
        <v>Over Heads</v>
      </c>
      <c r="J408" s="96" t="str">
        <f t="shared" si="69"/>
        <v>Forecast</v>
      </c>
      <c r="K408" s="96" t="str">
        <f>K$52</f>
        <v>Forecast Period</v>
      </c>
    </row>
    <row r="409" spans="1:11" ht="13" x14ac:dyDescent="0.3">
      <c r="A409" s="99" t="s">
        <v>336</v>
      </c>
      <c r="B409" s="134" t="s">
        <v>16</v>
      </c>
      <c r="C409" s="134" t="s">
        <v>17</v>
      </c>
      <c r="D409" s="100" t="str">
        <f>D$53</f>
        <v>Expenditures</v>
      </c>
      <c r="E409" s="100" t="str">
        <f t="shared" ref="E409:J409" si="70">E$53</f>
        <v>Overheads</v>
      </c>
      <c r="F409" s="100" t="str">
        <f t="shared" si="70"/>
        <v>CWIP Exp</v>
      </c>
      <c r="G409" s="136" t="str">
        <f>G87</f>
        <v>Plant Adds</v>
      </c>
      <c r="H409" s="100" t="str">
        <f t="shared" si="70"/>
        <v>CWIP Closed</v>
      </c>
      <c r="I409" s="100" t="str">
        <f t="shared" si="70"/>
        <v>Closed to PIS</v>
      </c>
      <c r="J409" s="100" t="str">
        <f t="shared" si="70"/>
        <v>Period CWIP</v>
      </c>
      <c r="K409" s="100" t="str">
        <f>K$53</f>
        <v>Incremental CWIP</v>
      </c>
    </row>
    <row r="410" spans="1:11" ht="13" x14ac:dyDescent="0.3">
      <c r="A410" s="96">
        <f>A402+1</f>
        <v>315</v>
      </c>
      <c r="B410" s="132" t="s">
        <v>6</v>
      </c>
      <c r="C410" s="179">
        <v>2018</v>
      </c>
      <c r="D410" s="128" t="s">
        <v>361</v>
      </c>
      <c r="E410" s="128" t="s">
        <v>361</v>
      </c>
      <c r="F410" s="128" t="s">
        <v>361</v>
      </c>
      <c r="G410" s="128" t="s">
        <v>361</v>
      </c>
      <c r="H410" s="128" t="s">
        <v>361</v>
      </c>
      <c r="I410" s="128" t="s">
        <v>361</v>
      </c>
      <c r="J410" s="102">
        <v>0</v>
      </c>
      <c r="K410" s="128" t="s">
        <v>361</v>
      </c>
    </row>
    <row r="411" spans="1:11" ht="13" x14ac:dyDescent="0.3">
      <c r="A411" s="96">
        <f>A410+1</f>
        <v>316</v>
      </c>
      <c r="B411" s="132" t="s">
        <v>7</v>
      </c>
      <c r="C411" s="179">
        <v>2019</v>
      </c>
      <c r="D411" s="146"/>
      <c r="E411" s="102">
        <v>0</v>
      </c>
      <c r="F411" s="102">
        <f>E411+D411</f>
        <v>0</v>
      </c>
      <c r="G411" s="146"/>
      <c r="H411" s="146"/>
      <c r="I411" s="102">
        <v>0</v>
      </c>
      <c r="J411" s="102">
        <f>J410+F411-G411-I411</f>
        <v>0</v>
      </c>
      <c r="K411" s="102">
        <f>J411-$J$377</f>
        <v>0</v>
      </c>
    </row>
    <row r="412" spans="1:11" ht="13" x14ac:dyDescent="0.3">
      <c r="A412" s="96">
        <f t="shared" ref="A412:A435" si="71">A411+1</f>
        <v>317</v>
      </c>
      <c r="B412" s="132" t="s">
        <v>8</v>
      </c>
      <c r="C412" s="179">
        <v>2019</v>
      </c>
      <c r="D412" s="146"/>
      <c r="E412" s="102">
        <v>0</v>
      </c>
      <c r="F412" s="102">
        <f t="shared" ref="F412:F434" si="72">E412+D412</f>
        <v>0</v>
      </c>
      <c r="G412" s="146"/>
      <c r="H412" s="146"/>
      <c r="I412" s="102">
        <v>0</v>
      </c>
      <c r="J412" s="102">
        <f t="shared" ref="J412:J434" si="73">J411+F412-G412-I412</f>
        <v>0</v>
      </c>
      <c r="K412" s="102">
        <f t="shared" ref="K412:K434" si="74">J412-$J$377</f>
        <v>0</v>
      </c>
    </row>
    <row r="413" spans="1:11" ht="13" x14ac:dyDescent="0.3">
      <c r="A413" s="96">
        <f t="shared" si="71"/>
        <v>318</v>
      </c>
      <c r="B413" s="132" t="s">
        <v>18</v>
      </c>
      <c r="C413" s="179">
        <v>2019</v>
      </c>
      <c r="D413" s="146"/>
      <c r="E413" s="102">
        <v>0</v>
      </c>
      <c r="F413" s="102">
        <f t="shared" si="72"/>
        <v>0</v>
      </c>
      <c r="G413" s="146"/>
      <c r="H413" s="146"/>
      <c r="I413" s="102">
        <v>0</v>
      </c>
      <c r="J413" s="102">
        <f t="shared" si="73"/>
        <v>0</v>
      </c>
      <c r="K413" s="102">
        <f t="shared" si="74"/>
        <v>0</v>
      </c>
    </row>
    <row r="414" spans="1:11" ht="13" x14ac:dyDescent="0.3">
      <c r="A414" s="96">
        <f t="shared" si="71"/>
        <v>319</v>
      </c>
      <c r="B414" s="132" t="s">
        <v>9</v>
      </c>
      <c r="C414" s="179">
        <v>2019</v>
      </c>
      <c r="D414" s="146"/>
      <c r="E414" s="102">
        <v>0</v>
      </c>
      <c r="F414" s="102">
        <f t="shared" si="72"/>
        <v>0</v>
      </c>
      <c r="G414" s="146"/>
      <c r="H414" s="146"/>
      <c r="I414" s="102">
        <v>0</v>
      </c>
      <c r="J414" s="102">
        <f t="shared" si="73"/>
        <v>0</v>
      </c>
      <c r="K414" s="102">
        <f t="shared" si="74"/>
        <v>0</v>
      </c>
    </row>
    <row r="415" spans="1:11" ht="13" x14ac:dyDescent="0.3">
      <c r="A415" s="96">
        <f t="shared" si="71"/>
        <v>320</v>
      </c>
      <c r="B415" s="132" t="s">
        <v>10</v>
      </c>
      <c r="C415" s="179">
        <v>2019</v>
      </c>
      <c r="D415" s="146"/>
      <c r="E415" s="102">
        <v>0</v>
      </c>
      <c r="F415" s="102">
        <f t="shared" si="72"/>
        <v>0</v>
      </c>
      <c r="G415" s="146"/>
      <c r="H415" s="146"/>
      <c r="I415" s="102">
        <v>0</v>
      </c>
      <c r="J415" s="102">
        <f t="shared" si="73"/>
        <v>0</v>
      </c>
      <c r="K415" s="102">
        <f t="shared" si="74"/>
        <v>0</v>
      </c>
    </row>
    <row r="416" spans="1:11" ht="13" x14ac:dyDescent="0.3">
      <c r="A416" s="96">
        <f t="shared" si="71"/>
        <v>321</v>
      </c>
      <c r="B416" s="132" t="s">
        <v>25</v>
      </c>
      <c r="C416" s="179">
        <v>2019</v>
      </c>
      <c r="D416" s="146"/>
      <c r="E416" s="102">
        <v>0</v>
      </c>
      <c r="F416" s="102">
        <f t="shared" si="72"/>
        <v>0</v>
      </c>
      <c r="G416" s="146"/>
      <c r="H416" s="146"/>
      <c r="I416" s="102">
        <v>0</v>
      </c>
      <c r="J416" s="102">
        <f t="shared" si="73"/>
        <v>0</v>
      </c>
      <c r="K416" s="102">
        <f t="shared" si="74"/>
        <v>0</v>
      </c>
    </row>
    <row r="417" spans="1:11" ht="13" x14ac:dyDescent="0.3">
      <c r="A417" s="96">
        <f t="shared" si="71"/>
        <v>322</v>
      </c>
      <c r="B417" s="132" t="s">
        <v>11</v>
      </c>
      <c r="C417" s="179">
        <v>2019</v>
      </c>
      <c r="D417" s="146"/>
      <c r="E417" s="102">
        <v>0</v>
      </c>
      <c r="F417" s="102">
        <f t="shared" si="72"/>
        <v>0</v>
      </c>
      <c r="G417" s="146"/>
      <c r="H417" s="146"/>
      <c r="I417" s="102">
        <v>0</v>
      </c>
      <c r="J417" s="102">
        <f t="shared" si="73"/>
        <v>0</v>
      </c>
      <c r="K417" s="102">
        <f t="shared" si="74"/>
        <v>0</v>
      </c>
    </row>
    <row r="418" spans="1:11" ht="13" x14ac:dyDescent="0.3">
      <c r="A418" s="96">
        <f t="shared" si="71"/>
        <v>323</v>
      </c>
      <c r="B418" s="132" t="s">
        <v>12</v>
      </c>
      <c r="C418" s="179">
        <v>2019</v>
      </c>
      <c r="D418" s="146"/>
      <c r="E418" s="102">
        <v>0</v>
      </c>
      <c r="F418" s="102">
        <f t="shared" si="72"/>
        <v>0</v>
      </c>
      <c r="G418" s="146"/>
      <c r="H418" s="146"/>
      <c r="I418" s="102">
        <v>0</v>
      </c>
      <c r="J418" s="102">
        <f t="shared" si="73"/>
        <v>0</v>
      </c>
      <c r="K418" s="102">
        <f t="shared" si="74"/>
        <v>0</v>
      </c>
    </row>
    <row r="419" spans="1:11" ht="13" x14ac:dyDescent="0.3">
      <c r="A419" s="96">
        <f t="shared" si="71"/>
        <v>324</v>
      </c>
      <c r="B419" s="132" t="s">
        <v>13</v>
      </c>
      <c r="C419" s="179">
        <v>2019</v>
      </c>
      <c r="D419" s="146"/>
      <c r="E419" s="102">
        <v>0</v>
      </c>
      <c r="F419" s="102">
        <f t="shared" si="72"/>
        <v>0</v>
      </c>
      <c r="G419" s="146"/>
      <c r="H419" s="146"/>
      <c r="I419" s="102">
        <v>0</v>
      </c>
      <c r="J419" s="102">
        <f t="shared" si="73"/>
        <v>0</v>
      </c>
      <c r="K419" s="102">
        <f t="shared" si="74"/>
        <v>0</v>
      </c>
    </row>
    <row r="420" spans="1:11" ht="13" x14ac:dyDescent="0.3">
      <c r="A420" s="96">
        <f t="shared" si="71"/>
        <v>325</v>
      </c>
      <c r="B420" s="132" t="s">
        <v>15</v>
      </c>
      <c r="C420" s="179">
        <v>2019</v>
      </c>
      <c r="D420" s="146"/>
      <c r="E420" s="102">
        <v>0</v>
      </c>
      <c r="F420" s="102">
        <f t="shared" si="72"/>
        <v>0</v>
      </c>
      <c r="G420" s="146"/>
      <c r="H420" s="146"/>
      <c r="I420" s="102">
        <v>0</v>
      </c>
      <c r="J420" s="102">
        <f t="shared" si="73"/>
        <v>0</v>
      </c>
      <c r="K420" s="102">
        <f t="shared" si="74"/>
        <v>0</v>
      </c>
    </row>
    <row r="421" spans="1:11" ht="13" x14ac:dyDescent="0.3">
      <c r="A421" s="96">
        <f t="shared" si="71"/>
        <v>326</v>
      </c>
      <c r="B421" s="132" t="s">
        <v>14</v>
      </c>
      <c r="C421" s="179">
        <v>2019</v>
      </c>
      <c r="D421" s="146"/>
      <c r="E421" s="102">
        <v>0</v>
      </c>
      <c r="F421" s="102">
        <f t="shared" si="72"/>
        <v>0</v>
      </c>
      <c r="G421" s="146"/>
      <c r="H421" s="146"/>
      <c r="I421" s="102">
        <v>0</v>
      </c>
      <c r="J421" s="102">
        <f t="shared" si="73"/>
        <v>0</v>
      </c>
      <c r="K421" s="102">
        <f t="shared" si="74"/>
        <v>0</v>
      </c>
    </row>
    <row r="422" spans="1:11" ht="13" x14ac:dyDescent="0.3">
      <c r="A422" s="96">
        <f t="shared" si="71"/>
        <v>327</v>
      </c>
      <c r="B422" s="132" t="s">
        <v>6</v>
      </c>
      <c r="C422" s="179">
        <v>2019</v>
      </c>
      <c r="D422" s="146"/>
      <c r="E422" s="102">
        <v>0</v>
      </c>
      <c r="F422" s="102">
        <f t="shared" si="72"/>
        <v>0</v>
      </c>
      <c r="G422" s="146"/>
      <c r="H422" s="146"/>
      <c r="I422" s="102">
        <v>0</v>
      </c>
      <c r="J422" s="102">
        <f t="shared" si="73"/>
        <v>0</v>
      </c>
      <c r="K422" s="102">
        <f t="shared" si="74"/>
        <v>0</v>
      </c>
    </row>
    <row r="423" spans="1:11" ht="13" x14ac:dyDescent="0.3">
      <c r="A423" s="96">
        <f t="shared" si="71"/>
        <v>328</v>
      </c>
      <c r="B423" s="132" t="s">
        <v>7</v>
      </c>
      <c r="C423" s="179">
        <v>2020</v>
      </c>
      <c r="D423" s="146"/>
      <c r="E423" s="102">
        <v>0</v>
      </c>
      <c r="F423" s="102">
        <f t="shared" si="72"/>
        <v>0</v>
      </c>
      <c r="G423" s="146"/>
      <c r="H423" s="146"/>
      <c r="I423" s="102">
        <v>0</v>
      </c>
      <c r="J423" s="102">
        <f t="shared" si="73"/>
        <v>0</v>
      </c>
      <c r="K423" s="102">
        <f t="shared" si="74"/>
        <v>0</v>
      </c>
    </row>
    <row r="424" spans="1:11" ht="13" x14ac:dyDescent="0.3">
      <c r="A424" s="96">
        <f t="shared" si="71"/>
        <v>329</v>
      </c>
      <c r="B424" s="132" t="s">
        <v>8</v>
      </c>
      <c r="C424" s="179">
        <v>2020</v>
      </c>
      <c r="D424" s="146"/>
      <c r="E424" s="102">
        <v>0</v>
      </c>
      <c r="F424" s="102">
        <f t="shared" si="72"/>
        <v>0</v>
      </c>
      <c r="G424" s="146"/>
      <c r="H424" s="146"/>
      <c r="I424" s="102">
        <v>0</v>
      </c>
      <c r="J424" s="102">
        <f t="shared" si="73"/>
        <v>0</v>
      </c>
      <c r="K424" s="102">
        <f t="shared" si="74"/>
        <v>0</v>
      </c>
    </row>
    <row r="425" spans="1:11" ht="13" x14ac:dyDescent="0.3">
      <c r="A425" s="96">
        <f t="shared" si="71"/>
        <v>330</v>
      </c>
      <c r="B425" s="132" t="s">
        <v>18</v>
      </c>
      <c r="C425" s="179">
        <v>2020</v>
      </c>
      <c r="D425" s="146"/>
      <c r="E425" s="102">
        <v>0</v>
      </c>
      <c r="F425" s="102">
        <f t="shared" si="72"/>
        <v>0</v>
      </c>
      <c r="G425" s="146"/>
      <c r="H425" s="146"/>
      <c r="I425" s="102">
        <v>0</v>
      </c>
      <c r="J425" s="102">
        <f t="shared" si="73"/>
        <v>0</v>
      </c>
      <c r="K425" s="102">
        <f t="shared" si="74"/>
        <v>0</v>
      </c>
    </row>
    <row r="426" spans="1:11" ht="13" x14ac:dyDescent="0.3">
      <c r="A426" s="96">
        <f t="shared" si="71"/>
        <v>331</v>
      </c>
      <c r="B426" s="132" t="s">
        <v>9</v>
      </c>
      <c r="C426" s="179">
        <v>2020</v>
      </c>
      <c r="D426" s="146"/>
      <c r="E426" s="102">
        <v>0</v>
      </c>
      <c r="F426" s="102">
        <f t="shared" si="72"/>
        <v>0</v>
      </c>
      <c r="G426" s="146"/>
      <c r="H426" s="146"/>
      <c r="I426" s="102">
        <v>0</v>
      </c>
      <c r="J426" s="102">
        <f t="shared" si="73"/>
        <v>0</v>
      </c>
      <c r="K426" s="102">
        <f t="shared" si="74"/>
        <v>0</v>
      </c>
    </row>
    <row r="427" spans="1:11" ht="13" x14ac:dyDescent="0.3">
      <c r="A427" s="96">
        <f t="shared" si="71"/>
        <v>332</v>
      </c>
      <c r="B427" s="132" t="s">
        <v>10</v>
      </c>
      <c r="C427" s="179">
        <v>2020</v>
      </c>
      <c r="D427" s="146"/>
      <c r="E427" s="102">
        <v>0</v>
      </c>
      <c r="F427" s="102">
        <f t="shared" si="72"/>
        <v>0</v>
      </c>
      <c r="G427" s="146"/>
      <c r="H427" s="146"/>
      <c r="I427" s="102">
        <v>0</v>
      </c>
      <c r="J427" s="102">
        <f t="shared" si="73"/>
        <v>0</v>
      </c>
      <c r="K427" s="102">
        <f t="shared" si="74"/>
        <v>0</v>
      </c>
    </row>
    <row r="428" spans="1:11" ht="13" x14ac:dyDescent="0.3">
      <c r="A428" s="96">
        <f t="shared" si="71"/>
        <v>333</v>
      </c>
      <c r="B428" s="132" t="s">
        <v>25</v>
      </c>
      <c r="C428" s="179">
        <v>2020</v>
      </c>
      <c r="D428" s="146"/>
      <c r="E428" s="102">
        <v>0</v>
      </c>
      <c r="F428" s="102">
        <f t="shared" si="72"/>
        <v>0</v>
      </c>
      <c r="G428" s="146"/>
      <c r="H428" s="146"/>
      <c r="I428" s="102">
        <v>0</v>
      </c>
      <c r="J428" s="102">
        <f t="shared" si="73"/>
        <v>0</v>
      </c>
      <c r="K428" s="102">
        <f t="shared" si="74"/>
        <v>0</v>
      </c>
    </row>
    <row r="429" spans="1:11" ht="13" x14ac:dyDescent="0.3">
      <c r="A429" s="96">
        <f t="shared" si="71"/>
        <v>334</v>
      </c>
      <c r="B429" s="132" t="s">
        <v>11</v>
      </c>
      <c r="C429" s="179">
        <v>2020</v>
      </c>
      <c r="D429" s="146"/>
      <c r="E429" s="102">
        <v>0</v>
      </c>
      <c r="F429" s="102">
        <f t="shared" si="72"/>
        <v>0</v>
      </c>
      <c r="G429" s="146"/>
      <c r="H429" s="146"/>
      <c r="I429" s="102">
        <v>0</v>
      </c>
      <c r="J429" s="102">
        <f t="shared" si="73"/>
        <v>0</v>
      </c>
      <c r="K429" s="102">
        <f t="shared" si="74"/>
        <v>0</v>
      </c>
    </row>
    <row r="430" spans="1:11" ht="13" x14ac:dyDescent="0.3">
      <c r="A430" s="96">
        <f t="shared" si="71"/>
        <v>335</v>
      </c>
      <c r="B430" s="132" t="s">
        <v>12</v>
      </c>
      <c r="C430" s="179">
        <v>2020</v>
      </c>
      <c r="D430" s="146"/>
      <c r="E430" s="102">
        <v>0</v>
      </c>
      <c r="F430" s="102">
        <f t="shared" si="72"/>
        <v>0</v>
      </c>
      <c r="G430" s="146"/>
      <c r="H430" s="146"/>
      <c r="I430" s="102">
        <v>0</v>
      </c>
      <c r="J430" s="102">
        <f t="shared" si="73"/>
        <v>0</v>
      </c>
      <c r="K430" s="102">
        <f t="shared" si="74"/>
        <v>0</v>
      </c>
    </row>
    <row r="431" spans="1:11" ht="13" x14ac:dyDescent="0.3">
      <c r="A431" s="96">
        <f t="shared" si="71"/>
        <v>336</v>
      </c>
      <c r="B431" s="132" t="s">
        <v>13</v>
      </c>
      <c r="C431" s="179">
        <v>2020</v>
      </c>
      <c r="D431" s="146"/>
      <c r="E431" s="102">
        <v>0</v>
      </c>
      <c r="F431" s="102">
        <f t="shared" si="72"/>
        <v>0</v>
      </c>
      <c r="G431" s="146"/>
      <c r="H431" s="146"/>
      <c r="I431" s="102">
        <v>0</v>
      </c>
      <c r="J431" s="102">
        <f t="shared" si="73"/>
        <v>0</v>
      </c>
      <c r="K431" s="102">
        <f t="shared" si="74"/>
        <v>0</v>
      </c>
    </row>
    <row r="432" spans="1:11" ht="13" x14ac:dyDescent="0.3">
      <c r="A432" s="96">
        <f t="shared" si="71"/>
        <v>337</v>
      </c>
      <c r="B432" s="132" t="s">
        <v>15</v>
      </c>
      <c r="C432" s="179">
        <v>2020</v>
      </c>
      <c r="D432" s="146"/>
      <c r="E432" s="102">
        <v>0</v>
      </c>
      <c r="F432" s="102">
        <f t="shared" si="72"/>
        <v>0</v>
      </c>
      <c r="G432" s="146"/>
      <c r="H432" s="146"/>
      <c r="I432" s="102">
        <v>0</v>
      </c>
      <c r="J432" s="102">
        <f t="shared" si="73"/>
        <v>0</v>
      </c>
      <c r="K432" s="102">
        <f t="shared" si="74"/>
        <v>0</v>
      </c>
    </row>
    <row r="433" spans="1:11" ht="13" x14ac:dyDescent="0.3">
      <c r="A433" s="96">
        <f t="shared" si="71"/>
        <v>338</v>
      </c>
      <c r="B433" s="132" t="s">
        <v>14</v>
      </c>
      <c r="C433" s="179">
        <v>2020</v>
      </c>
      <c r="D433" s="146"/>
      <c r="E433" s="102">
        <v>0</v>
      </c>
      <c r="F433" s="102">
        <f t="shared" si="72"/>
        <v>0</v>
      </c>
      <c r="G433" s="146"/>
      <c r="H433" s="146"/>
      <c r="I433" s="102">
        <v>0</v>
      </c>
      <c r="J433" s="102">
        <f t="shared" si="73"/>
        <v>0</v>
      </c>
      <c r="K433" s="102">
        <f t="shared" si="74"/>
        <v>0</v>
      </c>
    </row>
    <row r="434" spans="1:11" ht="13" x14ac:dyDescent="0.3">
      <c r="A434" s="96">
        <f t="shared" si="71"/>
        <v>339</v>
      </c>
      <c r="B434" s="132" t="s">
        <v>6</v>
      </c>
      <c r="C434" s="179">
        <v>2020</v>
      </c>
      <c r="D434" s="146"/>
      <c r="E434" s="102">
        <v>0</v>
      </c>
      <c r="F434" s="102">
        <f t="shared" si="72"/>
        <v>0</v>
      </c>
      <c r="G434" s="146"/>
      <c r="H434" s="146"/>
      <c r="I434" s="102">
        <v>0</v>
      </c>
      <c r="J434" s="102">
        <f t="shared" si="73"/>
        <v>0</v>
      </c>
      <c r="K434" s="108">
        <f t="shared" si="74"/>
        <v>0</v>
      </c>
    </row>
    <row r="435" spans="1:11" ht="13" x14ac:dyDescent="0.3">
      <c r="A435" s="96">
        <f t="shared" si="71"/>
        <v>340</v>
      </c>
      <c r="C435" s="240" t="s">
        <v>380</v>
      </c>
      <c r="H435" s="128"/>
      <c r="I435" s="128"/>
      <c r="K435" s="241">
        <f>AVERAGE(K422:K434)</f>
        <v>0</v>
      </c>
    </row>
    <row r="437" spans="1:11" ht="13" x14ac:dyDescent="0.3">
      <c r="B437" s="107" t="s">
        <v>317</v>
      </c>
    </row>
    <row r="438" spans="1:11" x14ac:dyDescent="0.25">
      <c r="B438" s="132" t="s">
        <v>406</v>
      </c>
    </row>
    <row r="439" spans="1:11" x14ac:dyDescent="0.25">
      <c r="B439" s="132" t="s">
        <v>407</v>
      </c>
    </row>
    <row r="441" spans="1:11" ht="13" x14ac:dyDescent="0.3">
      <c r="B441" s="92" t="s">
        <v>106</v>
      </c>
    </row>
    <row r="442" spans="1:11" x14ac:dyDescent="0.25">
      <c r="B442" s="93" t="s">
        <v>408</v>
      </c>
    </row>
    <row r="443" spans="1:11" x14ac:dyDescent="0.25">
      <c r="B443" s="93" t="s">
        <v>409</v>
      </c>
    </row>
    <row r="444" spans="1:11" x14ac:dyDescent="0.25">
      <c r="B444" s="93" t="s">
        <v>410</v>
      </c>
    </row>
  </sheetData>
  <mergeCells count="11">
    <mergeCell ref="D276:E276"/>
    <mergeCell ref="D307:E307"/>
    <mergeCell ref="D340:E340"/>
    <mergeCell ref="D371:E371"/>
    <mergeCell ref="F371:G371"/>
    <mergeCell ref="D243:E243"/>
    <mergeCell ref="D82:E82"/>
    <mergeCell ref="D115:E115"/>
    <mergeCell ref="D148:E148"/>
    <mergeCell ref="D179:E179"/>
    <mergeCell ref="D212:E212"/>
  </mergeCells>
  <pageMargins left="0.7" right="0.7" top="0.75" bottom="0.75" header="0.3" footer="0.3"/>
  <pageSetup scale="50" fitToHeight="0" orientation="landscape" cellComments="asDisplayed" r:id="rId1"/>
  <headerFooter>
    <oddHeader>&amp;CSchedule 10
CWIP
(Revised 2018 True Up TRR)&amp;RTO2021 Annual Update
Attachment 4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One Time Adj Explanation</vt:lpstr>
      <vt:lpstr>WP-Total Adj with Int</vt:lpstr>
      <vt:lpstr>WP-2017 True Up TRR Adj</vt:lpstr>
      <vt:lpstr>WP-2017 Sch4-TUTRR</vt:lpstr>
      <vt:lpstr>WP-2017 Sch10-CWIP</vt:lpstr>
      <vt:lpstr>WP-2017 Sch20-AandG</vt:lpstr>
      <vt:lpstr>WP-2018 True Up TRR Adj</vt:lpstr>
      <vt:lpstr>WP-2018 Sch4-TUTRR</vt:lpstr>
      <vt:lpstr>WP-2018 Sch10-CWIP</vt:lpstr>
      <vt:lpstr>WP-2018 Sch20-AandG</vt:lpstr>
      <vt:lpstr>'One Time Adj Explanation'!Print_Area</vt:lpstr>
      <vt:lpstr>'WP-2017 Sch10-CWIP'!Print_Area</vt:lpstr>
      <vt:lpstr>'WP-2017 Sch20-AandG'!Print_Area</vt:lpstr>
      <vt:lpstr>'WP-2017 Sch4-TUTRR'!Print_Area</vt:lpstr>
      <vt:lpstr>'WP-2017 True Up TRR Adj'!Print_Area</vt:lpstr>
      <vt:lpstr>'WP-2018 Sch10-CWIP'!Print_Area</vt:lpstr>
      <vt:lpstr>'WP-2018 Sch20-AandG'!Print_Area</vt:lpstr>
      <vt:lpstr>'WP-2018 Sch4-TUTRR'!Print_Area</vt:lpstr>
      <vt:lpstr>'WP-2018 True Up TRR Adj'!Print_Area</vt:lpstr>
      <vt:lpstr>'WP-Total Adj with Int'!Print_Area</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2019-06-28T23:07:48Z</cp:lastPrinted>
  <dcterms:created xsi:type="dcterms:W3CDTF">2009-02-27T16:01:11Z</dcterms:created>
  <dcterms:modified xsi:type="dcterms:W3CDTF">2020-11-18T19:14:18Z</dcterms:modified>
</cp:coreProperties>
</file>