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codeName="ThisWorkbook" defaultThemeVersion="124226"/>
  <mc:AlternateContent xmlns:mc="http://schemas.openxmlformats.org/markup-compatibility/2006">
    <mc:Choice Requires="x15">
      <x15ac:absPath xmlns:x15ac="http://schemas.microsoft.com/office/spreadsheetml/2010/11/ac" url="C:\Users\mindesrg\Desktop\"/>
    </mc:Choice>
  </mc:AlternateContent>
  <xr:revisionPtr revIDLastSave="0" documentId="8_{1D0D00F0-0C7D-422A-A619-1CDDB3E8D084}" xr6:coauthVersionLast="45" xr6:coauthVersionMax="45" xr10:uidLastSave="{00000000-0000-0000-0000-000000000000}"/>
  <bookViews>
    <workbookView xWindow="-28920" yWindow="15" windowWidth="29040" windowHeight="15840" tabRatio="796" firstSheet="7" activeTab="21" xr2:uid="{37442AC8-8149-422A-B178-F2F3C6525F0A}"/>
  </bookViews>
  <sheets>
    <sheet name="2019 Summary" sheetId="197" r:id="rId1"/>
    <sheet name="2018 Summary" sheetId="196" r:id="rId2"/>
    <sheet name="TOT175 (adj)" sheetId="177" r:id="rId3"/>
    <sheet name="TOT211" sheetId="171" r:id="rId4"/>
    <sheet name="TOT219" sheetId="133" r:id="rId5"/>
    <sheet name="TOT223" sheetId="152" r:id="rId6"/>
    <sheet name="TOT276 (Phase 1)" sheetId="185" r:id="rId7"/>
    <sheet name="TOT276 (Phase 2)" sheetId="186" r:id="rId8"/>
    <sheet name="TOT381" sheetId="169" r:id="rId9"/>
    <sheet name="TOT404" sheetId="172" r:id="rId10"/>
    <sheet name="TOT411 (Phase 1&amp;2)" sheetId="174" r:id="rId11"/>
    <sheet name="TOT508" sheetId="126" r:id="rId12"/>
    <sheet name="TOT522" sheetId="112" r:id="rId13"/>
    <sheet name="TOT544" sheetId="150" r:id="rId14"/>
    <sheet name="TOT545" sheetId="157" r:id="rId15"/>
    <sheet name="TOT573" sheetId="143" r:id="rId16"/>
    <sheet name="TOT581" sheetId="173" r:id="rId17"/>
    <sheet name="TOT585 (Phase 1&amp;2)" sheetId="160" r:id="rId18"/>
    <sheet name="TOT278" sheetId="119" state="hidden" r:id="rId19"/>
    <sheet name="TOT672 (part1)" sheetId="139" r:id="rId20"/>
    <sheet name="WDT1099" sheetId="132" r:id="rId21"/>
    <sheet name="FERC Interest Rate" sheetId="116" r:id="rId22"/>
  </sheets>
  <definedNames>
    <definedName name="_xlnm._FilterDatabase" localSheetId="21" hidden="1">'FERC Interest Rate'!$A$1:$C$1</definedName>
    <definedName name="_xlnm.Print_Area" localSheetId="1">'2018 Summary'!$A$1:$I$148</definedName>
    <definedName name="_xlnm.Print_Area" localSheetId="0">'2019 Summary'!$A$1:$I$128</definedName>
    <definedName name="_xlnm.Print_Area" localSheetId="2">'TOT175 (adj)'!$A$1:$O$128</definedName>
    <definedName name="_xlnm.Print_Area" localSheetId="3">'TOT211'!$A$1:$O$54</definedName>
    <definedName name="_xlnm.Print_Area" localSheetId="4">'TOT219'!$A$1:$O$64</definedName>
    <definedName name="_xlnm.Print_Area" localSheetId="5">'TOT223'!$A$1:$O$59</definedName>
    <definedName name="_xlnm.Print_Area" localSheetId="6">'TOT276 (Phase 1)'!$A$1:$O$66</definedName>
    <definedName name="_xlnm.Print_Area" localSheetId="7">'TOT276 (Phase 2)'!$A$1:$O$68</definedName>
    <definedName name="_xlnm.Print_Area" localSheetId="18">'TOT278'!$A$1:$O$88</definedName>
    <definedName name="_xlnm.Print_Area" localSheetId="8">'TOT381'!$A$1:$O$53</definedName>
    <definedName name="_xlnm.Print_Area" localSheetId="9">'TOT404'!$A$1:$O$61</definedName>
    <definedName name="_xlnm.Print_Area" localSheetId="10">'TOT411 (Phase 1&amp;2)'!$A$1:$O$50</definedName>
    <definedName name="_xlnm.Print_Area" localSheetId="11">'TOT508'!$A$1:$Q$87</definedName>
    <definedName name="_xlnm.Print_Area" localSheetId="12">'TOT522'!$A$1:$O$87</definedName>
    <definedName name="_xlnm.Print_Area" localSheetId="13">'TOT544'!$A$1:$O$285</definedName>
    <definedName name="_xlnm.Print_Area" localSheetId="14">'TOT545'!$A$1:$O$83</definedName>
    <definedName name="_xlnm.Print_Area" localSheetId="15">'TOT573'!$A$1:$O$586</definedName>
    <definedName name="_xlnm.Print_Area" localSheetId="16">'TOT581'!$A$1:$O$67</definedName>
    <definedName name="_xlnm.Print_Area" localSheetId="17">'TOT585 (Phase 1&amp;2)'!$A$1:$O$255</definedName>
    <definedName name="_xlnm.Print_Area" localSheetId="19">'TOT672 (part1)'!$A$1:$O$191</definedName>
    <definedName name="_xlnm.Print_Area" localSheetId="20">'WDT1099'!$A$1:$O$85</definedName>
    <definedName name="_xlnm.Print_Titles" localSheetId="1">'2018 Summary'!$1:$1</definedName>
    <definedName name="_xlnm.Print_Titles" localSheetId="0">'2019 Summary'!$1:$1</definedName>
    <definedName name="_xlnm.Print_Titles" localSheetId="21">'FERC Interest Rate'!$1:$1</definedName>
    <definedName name="_xlnm.Print_Titles" localSheetId="2">'TOT175 (adj)'!$1:$32</definedName>
    <definedName name="_xlnm.Print_Titles" localSheetId="3">'TOT211'!$1:$28</definedName>
    <definedName name="_xlnm.Print_Titles" localSheetId="4">'TOT219'!$1:$39</definedName>
    <definedName name="_xlnm.Print_Titles" localSheetId="5">'TOT223'!$1:$32</definedName>
    <definedName name="_xlnm.Print_Titles" localSheetId="6">'TOT276 (Phase 1)'!$1:$29</definedName>
    <definedName name="_xlnm.Print_Titles" localSheetId="7">'TOT276 (Phase 2)'!$1:$29</definedName>
    <definedName name="_xlnm.Print_Titles" localSheetId="18">'TOT278'!$1:$32</definedName>
    <definedName name="_xlnm.Print_Titles" localSheetId="8">'TOT381'!$1:$28</definedName>
    <definedName name="_xlnm.Print_Titles" localSheetId="9">'TOT404'!$1:$32</definedName>
    <definedName name="_xlnm.Print_Titles" localSheetId="10">'TOT411 (Phase 1&amp;2)'!$1:$28</definedName>
    <definedName name="_xlnm.Print_Titles" localSheetId="11">'TOT508'!$1:$32</definedName>
    <definedName name="_xlnm.Print_Titles" localSheetId="12">'TOT522'!$1:$32</definedName>
    <definedName name="_xlnm.Print_Titles" localSheetId="13">'TOT544'!$1:$28</definedName>
    <definedName name="_xlnm.Print_Titles" localSheetId="14">'TOT545'!$1:$28</definedName>
    <definedName name="_xlnm.Print_Titles" localSheetId="15">'TOT573'!$1:$32</definedName>
    <definedName name="_xlnm.Print_Titles" localSheetId="16">'TOT581'!$1:$32</definedName>
    <definedName name="_xlnm.Print_Titles" localSheetId="17">'TOT585 (Phase 1&amp;2)'!$1:$35</definedName>
    <definedName name="_xlnm.Print_Titles" localSheetId="19">'TOT672 (part1)'!$1:$28</definedName>
    <definedName name="_xlnm.Print_Titles" localSheetId="20">'WDT1099'!$1:$32</definedName>
    <definedName name="Z_6086CA2F_D319_4FB4_8773_987A9787386E_.wvu.PrintArea" localSheetId="1" hidden="1">'2018 Summary'!$A$1:$I$146</definedName>
    <definedName name="Z_6086CA2F_D319_4FB4_8773_987A9787386E_.wvu.PrintArea" localSheetId="0" hidden="1">'2019 Summary'!$A$1:$I$126</definedName>
    <definedName name="Z_6086CA2F_D319_4FB4_8773_987A9787386E_.wvu.PrintTitles" localSheetId="1" hidden="1">'2018 Summary'!$1:$1</definedName>
    <definedName name="Z_6086CA2F_D319_4FB4_8773_987A9787386E_.wvu.PrintTitles" localSheetId="0" hidden="1">'2019 Summary'!$1:$1</definedName>
  </definedNames>
  <calcPr calcId="191029"/>
  <customWorkbookViews>
    <customWorkbookView name="Standard Configuration - Personal View" guid="{6086CA2F-D319-4FB4-8773-987A9787386E}" mergeInterval="0" personalView="1" maximized="1" windowWidth="1020" windowHeight="578" tabRatio="10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28" i="177" l="1"/>
  <c r="F110" i="197" l="1"/>
  <c r="F109" i="197"/>
  <c r="F89" i="197"/>
  <c r="F88" i="197"/>
  <c r="F65" i="197"/>
  <c r="F64" i="197"/>
  <c r="F59" i="197"/>
  <c r="F58" i="197"/>
  <c r="F53" i="197"/>
  <c r="F52" i="197"/>
  <c r="F47" i="197"/>
  <c r="F46" i="197"/>
  <c r="F41" i="197"/>
  <c r="F40" i="197"/>
  <c r="F35" i="197"/>
  <c r="F34" i="197"/>
  <c r="F29" i="197"/>
  <c r="F28" i="197"/>
  <c r="F17" i="197"/>
  <c r="F16" i="197"/>
  <c r="F11" i="197"/>
  <c r="F10" i="197"/>
  <c r="E5" i="197"/>
  <c r="D5" i="197"/>
  <c r="C5" i="197"/>
  <c r="B5" i="197"/>
  <c r="E5" i="196"/>
  <c r="D5" i="196"/>
  <c r="C5" i="196"/>
  <c r="B5" i="196"/>
  <c r="B89" i="116" l="1"/>
  <c r="B88" i="116"/>
  <c r="B87" i="116"/>
  <c r="B86" i="116"/>
  <c r="B85" i="116"/>
  <c r="B84" i="116"/>
  <c r="B83" i="116"/>
  <c r="B82" i="116"/>
  <c r="B81" i="116"/>
  <c r="B80" i="116"/>
  <c r="B79" i="116"/>
  <c r="B78" i="116"/>
  <c r="B77" i="116"/>
  <c r="B76" i="116"/>
  <c r="B75" i="116"/>
  <c r="B74" i="116"/>
  <c r="B73" i="116"/>
  <c r="B72" i="116"/>
  <c r="B71" i="116"/>
  <c r="B70" i="116"/>
  <c r="B69" i="116" l="1"/>
  <c r="B68" i="116"/>
  <c r="B67" i="116"/>
  <c r="B66" i="116"/>
  <c r="L63" i="157" l="1"/>
  <c r="L66" i="186" l="1"/>
  <c r="L65" i="186"/>
  <c r="L64" i="186"/>
  <c r="L63" i="186"/>
  <c r="L62" i="186"/>
  <c r="L61" i="186"/>
  <c r="L16" i="186" s="1"/>
  <c r="L60" i="186"/>
  <c r="L59" i="186"/>
  <c r="L58" i="186"/>
  <c r="L57" i="186"/>
  <c r="L56" i="186"/>
  <c r="L55" i="186"/>
  <c r="L54" i="186"/>
  <c r="L53" i="186"/>
  <c r="L8" i="186" s="1"/>
  <c r="K52" i="186"/>
  <c r="M52" i="186" s="1"/>
  <c r="M7" i="186" s="1"/>
  <c r="K51" i="186"/>
  <c r="M51" i="186" s="1"/>
  <c r="K50" i="186"/>
  <c r="M50" i="186" s="1"/>
  <c r="K49" i="186"/>
  <c r="M49" i="186" s="1"/>
  <c r="M4" i="186" s="1"/>
  <c r="K48" i="186"/>
  <c r="M48" i="186" s="1"/>
  <c r="M3" i="186" s="1"/>
  <c r="K47" i="186"/>
  <c r="M47" i="186" s="1"/>
  <c r="K46" i="186"/>
  <c r="M46" i="186" s="1"/>
  <c r="K45" i="186"/>
  <c r="M45" i="186" s="1"/>
  <c r="K44" i="186"/>
  <c r="M44" i="186" s="1"/>
  <c r="K43" i="186"/>
  <c r="M43" i="186" s="1"/>
  <c r="K42" i="186"/>
  <c r="M42" i="186" s="1"/>
  <c r="K41" i="186"/>
  <c r="M41" i="186" s="1"/>
  <c r="K40" i="186"/>
  <c r="M40" i="186" s="1"/>
  <c r="K39" i="186"/>
  <c r="M39" i="186" s="1"/>
  <c r="K38" i="186"/>
  <c r="M38" i="186" s="1"/>
  <c r="K37" i="186"/>
  <c r="M37" i="186" s="1"/>
  <c r="K36" i="186"/>
  <c r="M36" i="186" s="1"/>
  <c r="K35" i="186"/>
  <c r="K34" i="186"/>
  <c r="K33" i="186"/>
  <c r="K32" i="186"/>
  <c r="K31" i="186"/>
  <c r="K30" i="186"/>
  <c r="G30" i="186"/>
  <c r="C30" i="186"/>
  <c r="B30" i="186" s="1"/>
  <c r="J25" i="186"/>
  <c r="F25" i="186"/>
  <c r="F24" i="186"/>
  <c r="E22" i="186"/>
  <c r="E26" i="186" s="1"/>
  <c r="D22" i="186"/>
  <c r="D26" i="186" s="1"/>
  <c r="C22" i="186"/>
  <c r="C26" i="186" s="1"/>
  <c r="L21" i="186"/>
  <c r="F21" i="186"/>
  <c r="L20" i="186"/>
  <c r="F20" i="186"/>
  <c r="L19" i="186"/>
  <c r="F19" i="186"/>
  <c r="L18" i="186"/>
  <c r="F18" i="186"/>
  <c r="L17" i="186"/>
  <c r="F17" i="186"/>
  <c r="F16" i="186"/>
  <c r="L15" i="186"/>
  <c r="F15" i="186"/>
  <c r="L14" i="186"/>
  <c r="F14" i="186"/>
  <c r="L13" i="186"/>
  <c r="F13" i="186"/>
  <c r="L12" i="186"/>
  <c r="F12" i="186"/>
  <c r="L11" i="186"/>
  <c r="F11" i="186"/>
  <c r="L10" i="186"/>
  <c r="F10" i="186"/>
  <c r="L9" i="186"/>
  <c r="F9" i="186"/>
  <c r="J8" i="186"/>
  <c r="F8" i="186"/>
  <c r="L7" i="186"/>
  <c r="K7" i="186"/>
  <c r="J7" i="186"/>
  <c r="I7" i="186"/>
  <c r="F7" i="186"/>
  <c r="M6" i="186"/>
  <c r="L6" i="186"/>
  <c r="K6" i="186"/>
  <c r="J6" i="186"/>
  <c r="I6" i="186"/>
  <c r="F6" i="186"/>
  <c r="M5" i="186"/>
  <c r="L5" i="186"/>
  <c r="K5" i="186"/>
  <c r="J5" i="186"/>
  <c r="I5" i="186"/>
  <c r="F5" i="186"/>
  <c r="L4" i="186"/>
  <c r="K4" i="186"/>
  <c r="J4" i="186"/>
  <c r="I4" i="186"/>
  <c r="F4" i="186"/>
  <c r="L3" i="186"/>
  <c r="K3" i="186"/>
  <c r="J3" i="186"/>
  <c r="I3" i="186"/>
  <c r="F3" i="186"/>
  <c r="M2" i="186"/>
  <c r="L2" i="186"/>
  <c r="K2" i="186"/>
  <c r="J2" i="186"/>
  <c r="I2" i="186"/>
  <c r="F2" i="186"/>
  <c r="L64" i="185"/>
  <c r="L63" i="185"/>
  <c r="L20" i="185" s="1"/>
  <c r="L62" i="185"/>
  <c r="L19" i="185" s="1"/>
  <c r="L61" i="185"/>
  <c r="L60" i="185"/>
  <c r="L59" i="185"/>
  <c r="L58" i="185"/>
  <c r="L15" i="185" s="1"/>
  <c r="L57" i="185"/>
  <c r="L56" i="185"/>
  <c r="L13" i="185" s="1"/>
  <c r="L55" i="185"/>
  <c r="L12" i="185" s="1"/>
  <c r="L54" i="185"/>
  <c r="L53" i="185"/>
  <c r="K52" i="185"/>
  <c r="K9" i="185" s="1"/>
  <c r="K51" i="185"/>
  <c r="K50" i="185"/>
  <c r="M50" i="185" s="1"/>
  <c r="M7" i="185" s="1"/>
  <c r="K49" i="185"/>
  <c r="K6" i="185" s="1"/>
  <c r="K48" i="185"/>
  <c r="M48" i="185" s="1"/>
  <c r="M5" i="185" s="1"/>
  <c r="K47" i="185"/>
  <c r="K46" i="185"/>
  <c r="M46" i="185" s="1"/>
  <c r="M3" i="185" s="1"/>
  <c r="K45" i="185"/>
  <c r="M45" i="185" s="1"/>
  <c r="M2" i="185" s="1"/>
  <c r="K44" i="185"/>
  <c r="M44" i="185" s="1"/>
  <c r="K43" i="185"/>
  <c r="M43" i="185" s="1"/>
  <c r="K42" i="185"/>
  <c r="M42" i="185" s="1"/>
  <c r="M41" i="185"/>
  <c r="K41" i="185"/>
  <c r="K40" i="185"/>
  <c r="M40" i="185" s="1"/>
  <c r="K39" i="185"/>
  <c r="M39" i="185" s="1"/>
  <c r="K38" i="185"/>
  <c r="M38" i="185" s="1"/>
  <c r="K37" i="185"/>
  <c r="M37" i="185" s="1"/>
  <c r="K36" i="185"/>
  <c r="M36" i="185" s="1"/>
  <c r="K35" i="185"/>
  <c r="K34" i="185"/>
  <c r="K33" i="185"/>
  <c r="K32" i="185"/>
  <c r="K31" i="185"/>
  <c r="K30" i="185"/>
  <c r="G30" i="185"/>
  <c r="E30" i="185"/>
  <c r="C30" i="185"/>
  <c r="D30" i="185" s="1"/>
  <c r="B30" i="185"/>
  <c r="J25" i="185"/>
  <c r="F25" i="185"/>
  <c r="F24" i="185"/>
  <c r="E22" i="185"/>
  <c r="E26" i="185" s="1"/>
  <c r="D22" i="185"/>
  <c r="D26" i="185" s="1"/>
  <c r="C22" i="185"/>
  <c r="C26" i="185" s="1"/>
  <c r="L21" i="185"/>
  <c r="F21" i="185"/>
  <c r="F20" i="185"/>
  <c r="F19" i="185"/>
  <c r="L18" i="185"/>
  <c r="F18" i="185"/>
  <c r="L17" i="185"/>
  <c r="F17" i="185"/>
  <c r="L16" i="185"/>
  <c r="F16" i="185"/>
  <c r="F15" i="185"/>
  <c r="L14" i="185"/>
  <c r="F14" i="185"/>
  <c r="F13" i="185"/>
  <c r="F12" i="185"/>
  <c r="L11" i="185"/>
  <c r="F11" i="185"/>
  <c r="J10" i="185"/>
  <c r="F10" i="185"/>
  <c r="L9" i="185"/>
  <c r="J9" i="185"/>
  <c r="I9" i="185"/>
  <c r="F9" i="185"/>
  <c r="L8" i="185"/>
  <c r="J8" i="185"/>
  <c r="I8" i="185"/>
  <c r="F8" i="185"/>
  <c r="L7" i="185"/>
  <c r="J7" i="185"/>
  <c r="I7" i="185"/>
  <c r="F7" i="185"/>
  <c r="L6" i="185"/>
  <c r="J6" i="185"/>
  <c r="I6" i="185"/>
  <c r="F6" i="185"/>
  <c r="L5" i="185"/>
  <c r="J5" i="185"/>
  <c r="I5" i="185"/>
  <c r="F5" i="185"/>
  <c r="L4" i="185"/>
  <c r="J4" i="185"/>
  <c r="I4" i="185"/>
  <c r="F4" i="185"/>
  <c r="L3" i="185"/>
  <c r="K3" i="185"/>
  <c r="J3" i="185"/>
  <c r="I3" i="185"/>
  <c r="F3" i="185"/>
  <c r="L2" i="185"/>
  <c r="K2" i="185"/>
  <c r="J2" i="185"/>
  <c r="I2" i="185"/>
  <c r="F2" i="185"/>
  <c r="K7" i="185" l="1"/>
  <c r="M49" i="185"/>
  <c r="M6" i="185" s="1"/>
  <c r="K5" i="185"/>
  <c r="F30" i="185"/>
  <c r="H30" i="185" s="1"/>
  <c r="C31" i="185"/>
  <c r="B31" i="185" s="1"/>
  <c r="L22" i="186"/>
  <c r="D30" i="186"/>
  <c r="L68" i="186"/>
  <c r="M52" i="185"/>
  <c r="M9" i="185" s="1"/>
  <c r="M47" i="185"/>
  <c r="M4" i="185" s="1"/>
  <c r="K4" i="185"/>
  <c r="M51" i="185"/>
  <c r="M8" i="185" s="1"/>
  <c r="K8" i="185"/>
  <c r="L66" i="185"/>
  <c r="L10" i="185"/>
  <c r="L22" i="185" s="1"/>
  <c r="F22" i="185"/>
  <c r="F26" i="185" s="1"/>
  <c r="F22" i="186"/>
  <c r="F26" i="186" s="1"/>
  <c r="C31" i="186"/>
  <c r="E30" i="186"/>
  <c r="D31" i="185" l="1"/>
  <c r="C32" i="185" s="1"/>
  <c r="G32" i="197"/>
  <c r="F30" i="186"/>
  <c r="H30" i="186" s="1"/>
  <c r="N30" i="186" s="1"/>
  <c r="N30" i="185"/>
  <c r="D31" i="186"/>
  <c r="F31" i="186" s="1"/>
  <c r="B31" i="186"/>
  <c r="E31" i="185" l="1"/>
  <c r="F31" i="185"/>
  <c r="O30" i="186"/>
  <c r="D32" i="185"/>
  <c r="B32" i="185"/>
  <c r="C32" i="186"/>
  <c r="E31" i="186"/>
  <c r="O30" i="185"/>
  <c r="F32" i="185" l="1"/>
  <c r="C33" i="185"/>
  <c r="E32" i="185"/>
  <c r="G31" i="186"/>
  <c r="G31" i="185"/>
  <c r="B32" i="186"/>
  <c r="D32" i="186"/>
  <c r="F32" i="186" l="1"/>
  <c r="H31" i="185"/>
  <c r="C33" i="186"/>
  <c r="E32" i="186"/>
  <c r="H31" i="186"/>
  <c r="N31" i="186" s="1"/>
  <c r="B33" i="185"/>
  <c r="D33" i="185"/>
  <c r="F33" i="185" l="1"/>
  <c r="O31" i="186"/>
  <c r="C34" i="185"/>
  <c r="E33" i="185"/>
  <c r="D33" i="186"/>
  <c r="B33" i="186"/>
  <c r="N31" i="185"/>
  <c r="F33" i="186" l="1"/>
  <c r="D34" i="185"/>
  <c r="B34" i="185"/>
  <c r="O31" i="185"/>
  <c r="C34" i="186"/>
  <c r="E33" i="186"/>
  <c r="G32" i="186"/>
  <c r="F34" i="185" l="1"/>
  <c r="G32" i="185"/>
  <c r="B34" i="186"/>
  <c r="D34" i="186"/>
  <c r="F34" i="186" s="1"/>
  <c r="H32" i="186"/>
  <c r="C35" i="185"/>
  <c r="E34" i="185"/>
  <c r="C35" i="186" l="1"/>
  <c r="E34" i="186"/>
  <c r="B35" i="185"/>
  <c r="D35" i="185"/>
  <c r="F35" i="185" s="1"/>
  <c r="N32" i="186"/>
  <c r="H32" i="185"/>
  <c r="N32" i="185" s="1"/>
  <c r="O32" i="185" l="1"/>
  <c r="C36" i="185"/>
  <c r="E35" i="185"/>
  <c r="D35" i="186"/>
  <c r="F35" i="186" s="1"/>
  <c r="B35" i="186"/>
  <c r="O32" i="186"/>
  <c r="C36" i="186" l="1"/>
  <c r="E35" i="186"/>
  <c r="D36" i="185"/>
  <c r="F36" i="185" s="1"/>
  <c r="B36" i="185"/>
  <c r="G33" i="186"/>
  <c r="G33" i="185"/>
  <c r="H33" i="186" l="1"/>
  <c r="N33" i="186" s="1"/>
  <c r="H33" i="185"/>
  <c r="E36" i="185"/>
  <c r="C37" i="185"/>
  <c r="B36" i="186"/>
  <c r="D36" i="186"/>
  <c r="F36" i="186" s="1"/>
  <c r="C37" i="186" l="1"/>
  <c r="E36" i="186"/>
  <c r="O33" i="186"/>
  <c r="D37" i="185"/>
  <c r="F37" i="185" s="1"/>
  <c r="B37" i="185"/>
  <c r="N33" i="185"/>
  <c r="G34" i="186" l="1"/>
  <c r="E37" i="185"/>
  <c r="C38" i="185"/>
  <c r="D37" i="186"/>
  <c r="F37" i="186" s="1"/>
  <c r="B37" i="186"/>
  <c r="O33" i="185"/>
  <c r="E37" i="186" l="1"/>
  <c r="C38" i="186"/>
  <c r="G34" i="185"/>
  <c r="B38" i="185"/>
  <c r="D38" i="185"/>
  <c r="F38" i="185" s="1"/>
  <c r="H34" i="186"/>
  <c r="N34" i="186" l="1"/>
  <c r="H34" i="185"/>
  <c r="N34" i="185" s="1"/>
  <c r="E38" i="185"/>
  <c r="C39" i="185"/>
  <c r="B38" i="186"/>
  <c r="D38" i="186"/>
  <c r="F38" i="186" s="1"/>
  <c r="E38" i="186" l="1"/>
  <c r="C39" i="186"/>
  <c r="B39" i="185"/>
  <c r="D39" i="185"/>
  <c r="F39" i="185" s="1"/>
  <c r="O34" i="186"/>
  <c r="O34" i="185"/>
  <c r="C40" i="185" l="1"/>
  <c r="E39" i="185"/>
  <c r="B39" i="186"/>
  <c r="D39" i="186"/>
  <c r="F39" i="186" s="1"/>
  <c r="G35" i="185"/>
  <c r="G35" i="186"/>
  <c r="H35" i="186" l="1"/>
  <c r="N35" i="186" s="1"/>
  <c r="O35" i="186" s="1"/>
  <c r="G36" i="186" s="1"/>
  <c r="H35" i="185"/>
  <c r="N35" i="185" s="1"/>
  <c r="O35" i="185" s="1"/>
  <c r="G36" i="185" s="1"/>
  <c r="C40" i="186"/>
  <c r="E39" i="186"/>
  <c r="D40" i="185"/>
  <c r="F40" i="185" s="1"/>
  <c r="B40" i="185"/>
  <c r="E40" i="185" l="1"/>
  <c r="C41" i="185"/>
  <c r="H36" i="185"/>
  <c r="N36" i="185" s="1"/>
  <c r="O36" i="185" s="1"/>
  <c r="G37" i="185" s="1"/>
  <c r="H36" i="186"/>
  <c r="N36" i="186" s="1"/>
  <c r="O36" i="186" s="1"/>
  <c r="G37" i="186" s="1"/>
  <c r="D40" i="186"/>
  <c r="F40" i="186" s="1"/>
  <c r="B40" i="186"/>
  <c r="H37" i="185" l="1"/>
  <c r="N37" i="185" s="1"/>
  <c r="O37" i="185" s="1"/>
  <c r="G38" i="185" s="1"/>
  <c r="H37" i="186"/>
  <c r="N37" i="186" s="1"/>
  <c r="O37" i="186" s="1"/>
  <c r="G38" i="186" s="1"/>
  <c r="C41" i="186"/>
  <c r="E40" i="186"/>
  <c r="D41" i="185"/>
  <c r="F41" i="185" s="1"/>
  <c r="B41" i="185"/>
  <c r="H38" i="186" l="1"/>
  <c r="N38" i="186" s="1"/>
  <c r="O38" i="186" s="1"/>
  <c r="G39" i="186" s="1"/>
  <c r="H38" i="185"/>
  <c r="N38" i="185" s="1"/>
  <c r="O38" i="185" s="1"/>
  <c r="G39" i="185" s="1"/>
  <c r="E41" i="185"/>
  <c r="C42" i="185"/>
  <c r="D41" i="186"/>
  <c r="F41" i="186" s="1"/>
  <c r="B41" i="186"/>
  <c r="E41" i="186" l="1"/>
  <c r="C42" i="186"/>
  <c r="B42" i="185"/>
  <c r="D42" i="185"/>
  <c r="F42" i="185" s="1"/>
  <c r="H39" i="185"/>
  <c r="N39" i="185" s="1"/>
  <c r="O39" i="185" s="1"/>
  <c r="G40" i="185" s="1"/>
  <c r="H39" i="186"/>
  <c r="N39" i="186" s="1"/>
  <c r="O39" i="186" s="1"/>
  <c r="G40" i="186" s="1"/>
  <c r="H40" i="186" l="1"/>
  <c r="N40" i="186" s="1"/>
  <c r="O40" i="186" s="1"/>
  <c r="G41" i="186" s="1"/>
  <c r="H40" i="185"/>
  <c r="N40" i="185" s="1"/>
  <c r="O40" i="185" s="1"/>
  <c r="G41" i="185" s="1"/>
  <c r="B42" i="186"/>
  <c r="D42" i="186"/>
  <c r="F42" i="186" s="1"/>
  <c r="E42" i="185"/>
  <c r="C43" i="185"/>
  <c r="H41" i="186" l="1"/>
  <c r="N41" i="186" s="1"/>
  <c r="O41" i="186" s="1"/>
  <c r="G42" i="186" s="1"/>
  <c r="E42" i="186"/>
  <c r="C43" i="186"/>
  <c r="B43" i="185"/>
  <c r="D43" i="185"/>
  <c r="F43" i="185" s="1"/>
  <c r="H41" i="185"/>
  <c r="N41" i="185" s="1"/>
  <c r="O41" i="185" s="1"/>
  <c r="G42" i="185" s="1"/>
  <c r="B43" i="186" l="1"/>
  <c r="D43" i="186"/>
  <c r="F43" i="186" s="1"/>
  <c r="C44" i="185"/>
  <c r="E43" i="185"/>
  <c r="H42" i="186"/>
  <c r="N42" i="186" s="1"/>
  <c r="O42" i="186" s="1"/>
  <c r="G43" i="186" s="1"/>
  <c r="H42" i="185"/>
  <c r="N42" i="185" s="1"/>
  <c r="O42" i="185" s="1"/>
  <c r="G43" i="185" s="1"/>
  <c r="H43" i="185" l="1"/>
  <c r="N43" i="185" s="1"/>
  <c r="O43" i="185" s="1"/>
  <c r="G44" i="185" s="1"/>
  <c r="D44" i="185"/>
  <c r="F44" i="185" s="1"/>
  <c r="B44" i="185"/>
  <c r="C44" i="186"/>
  <c r="E43" i="186"/>
  <c r="H43" i="186" s="1"/>
  <c r="N43" i="186" s="1"/>
  <c r="O43" i="186" s="1"/>
  <c r="G44" i="186" s="1"/>
  <c r="D44" i="186" l="1"/>
  <c r="F44" i="186" s="1"/>
  <c r="B44" i="186"/>
  <c r="E44" i="185"/>
  <c r="H44" i="185" s="1"/>
  <c r="N44" i="185" s="1"/>
  <c r="O44" i="185" s="1"/>
  <c r="G45" i="185" s="1"/>
  <c r="C45" i="185"/>
  <c r="D45" i="185" l="1"/>
  <c r="F45" i="185" s="1"/>
  <c r="B45" i="185"/>
  <c r="C45" i="186"/>
  <c r="E44" i="186"/>
  <c r="H44" i="186" l="1"/>
  <c r="N44" i="186" s="1"/>
  <c r="O44" i="186" s="1"/>
  <c r="G45" i="186" s="1"/>
  <c r="E45" i="185"/>
  <c r="H45" i="185" s="1"/>
  <c r="N45" i="185" s="1"/>
  <c r="O45" i="185" s="1"/>
  <c r="G46" i="185" s="1"/>
  <c r="C46" i="185"/>
  <c r="D45" i="186"/>
  <c r="F45" i="186" s="1"/>
  <c r="B45" i="186"/>
  <c r="B46" i="185" l="1"/>
  <c r="D46" i="185"/>
  <c r="F46" i="185" s="1"/>
  <c r="E45" i="186"/>
  <c r="H45" i="186" s="1"/>
  <c r="N45" i="186" s="1"/>
  <c r="O45" i="186" s="1"/>
  <c r="G46" i="186" s="1"/>
  <c r="C46" i="186"/>
  <c r="E46" i="185" l="1"/>
  <c r="C47" i="185"/>
  <c r="B46" i="186"/>
  <c r="D46" i="186"/>
  <c r="F46" i="186" s="1"/>
  <c r="B47" i="185" l="1"/>
  <c r="D47" i="185"/>
  <c r="F47" i="185" s="1"/>
  <c r="E46" i="186"/>
  <c r="C47" i="186"/>
  <c r="H46" i="185"/>
  <c r="N46" i="185" s="1"/>
  <c r="O46" i="185" s="1"/>
  <c r="G47" i="185" s="1"/>
  <c r="H46" i="186" l="1"/>
  <c r="N46" i="186" s="1"/>
  <c r="O46" i="186" s="1"/>
  <c r="G47" i="186" s="1"/>
  <c r="B47" i="186"/>
  <c r="D47" i="186"/>
  <c r="F47" i="186" s="1"/>
  <c r="C48" i="185"/>
  <c r="E47" i="185"/>
  <c r="H47" i="185" s="1"/>
  <c r="N47" i="185" s="1"/>
  <c r="O47" i="185" s="1"/>
  <c r="G48" i="185" s="1"/>
  <c r="D48" i="185" l="1"/>
  <c r="F48" i="185" s="1"/>
  <c r="B48" i="185"/>
  <c r="C48" i="186"/>
  <c r="E47" i="186"/>
  <c r="H47" i="186" s="1"/>
  <c r="N47" i="186" s="1"/>
  <c r="O47" i="186" s="1"/>
  <c r="G48" i="186" s="1"/>
  <c r="D48" i="186" l="1"/>
  <c r="F48" i="186" s="1"/>
  <c r="B48" i="186"/>
  <c r="E48" i="185"/>
  <c r="C49" i="185"/>
  <c r="H48" i="185"/>
  <c r="N48" i="185" s="1"/>
  <c r="O48" i="185" s="1"/>
  <c r="G49" i="185" s="1"/>
  <c r="D49" i="185" l="1"/>
  <c r="F49" i="185" s="1"/>
  <c r="B49" i="185"/>
  <c r="C49" i="186"/>
  <c r="E48" i="186"/>
  <c r="E49" i="185" l="1"/>
  <c r="C50" i="185"/>
  <c r="H49" i="185"/>
  <c r="N49" i="185" s="1"/>
  <c r="O49" i="185" s="1"/>
  <c r="G50" i="185" s="1"/>
  <c r="H48" i="186"/>
  <c r="N48" i="186" s="1"/>
  <c r="O48" i="186" s="1"/>
  <c r="G49" i="186" s="1"/>
  <c r="D49" i="186"/>
  <c r="F49" i="186" s="1"/>
  <c r="B49" i="186"/>
  <c r="B50" i="185" l="1"/>
  <c r="D50" i="185"/>
  <c r="F50" i="185" s="1"/>
  <c r="E49" i="186"/>
  <c r="H49" i="186"/>
  <c r="N49" i="186" s="1"/>
  <c r="O49" i="186" s="1"/>
  <c r="G50" i="186" s="1"/>
  <c r="C50" i="186"/>
  <c r="B50" i="186" l="1"/>
  <c r="D50" i="186"/>
  <c r="F50" i="186" s="1"/>
  <c r="E50" i="185"/>
  <c r="C51" i="185"/>
  <c r="H50" i="185"/>
  <c r="N50" i="185" s="1"/>
  <c r="O50" i="185" s="1"/>
  <c r="G51" i="185" s="1"/>
  <c r="E50" i="186" l="1"/>
  <c r="C51" i="186"/>
  <c r="B51" i="185"/>
  <c r="D51" i="185"/>
  <c r="F51" i="185" s="1"/>
  <c r="B51" i="186" l="1"/>
  <c r="D51" i="186"/>
  <c r="F51" i="186" s="1"/>
  <c r="C52" i="185"/>
  <c r="E51" i="185"/>
  <c r="H50" i="186"/>
  <c r="N50" i="186" s="1"/>
  <c r="O50" i="186" s="1"/>
  <c r="G51" i="186" s="1"/>
  <c r="D52" i="185" l="1"/>
  <c r="F52" i="185" s="1"/>
  <c r="B52" i="185"/>
  <c r="C52" i="186"/>
  <c r="E51" i="186"/>
  <c r="H51" i="186" s="1"/>
  <c r="N51" i="186" s="1"/>
  <c r="O51" i="186" s="1"/>
  <c r="G52" i="186" s="1"/>
  <c r="H51" i="185"/>
  <c r="N51" i="185" s="1"/>
  <c r="O51" i="185" s="1"/>
  <c r="G52" i="185" s="1"/>
  <c r="D52" i="186" l="1"/>
  <c r="F52" i="186" s="1"/>
  <c r="B52" i="186"/>
  <c r="E52" i="185"/>
  <c r="H52" i="185" s="1"/>
  <c r="N52" i="185" s="1"/>
  <c r="O52" i="185" s="1"/>
  <c r="G53" i="185" s="1"/>
  <c r="C53" i="185"/>
  <c r="D53" i="185" l="1"/>
  <c r="F53" i="185" s="1"/>
  <c r="B53" i="185"/>
  <c r="C53" i="186"/>
  <c r="E52" i="186"/>
  <c r="C54" i="185" l="1"/>
  <c r="E53" i="185"/>
  <c r="H53" i="185" s="1"/>
  <c r="H52" i="186"/>
  <c r="N52" i="186" s="1"/>
  <c r="O52" i="186" s="1"/>
  <c r="G53" i="186" s="1"/>
  <c r="D53" i="186"/>
  <c r="F53" i="186" s="1"/>
  <c r="B53" i="186"/>
  <c r="I58" i="185" l="1"/>
  <c r="I60" i="185"/>
  <c r="I56" i="185"/>
  <c r="I55" i="185"/>
  <c r="I64" i="185"/>
  <c r="I62" i="185"/>
  <c r="I57" i="185"/>
  <c r="I61" i="185"/>
  <c r="H66" i="185"/>
  <c r="I59" i="185"/>
  <c r="I54" i="185"/>
  <c r="I63" i="185"/>
  <c r="I53" i="185"/>
  <c r="N53" i="185"/>
  <c r="C54" i="186"/>
  <c r="E53" i="186"/>
  <c r="H53" i="186" s="1"/>
  <c r="D54" i="185"/>
  <c r="F54" i="185" s="1"/>
  <c r="B54" i="185"/>
  <c r="I66" i="186" l="1"/>
  <c r="I55" i="186"/>
  <c r="I59" i="186"/>
  <c r="I63" i="186"/>
  <c r="I54" i="186"/>
  <c r="I56" i="186"/>
  <c r="I53" i="186"/>
  <c r="I61" i="186"/>
  <c r="I62" i="186"/>
  <c r="I64" i="186"/>
  <c r="I65" i="186"/>
  <c r="H68" i="186"/>
  <c r="I58" i="186"/>
  <c r="I60" i="186"/>
  <c r="I57" i="186"/>
  <c r="N53" i="186"/>
  <c r="I15" i="185"/>
  <c r="I18" i="185"/>
  <c r="C55" i="185"/>
  <c r="E54" i="185"/>
  <c r="I16" i="185"/>
  <c r="I19" i="185"/>
  <c r="I17" i="185"/>
  <c r="I66" i="185"/>
  <c r="K53" i="185"/>
  <c r="I10" i="185"/>
  <c r="I21" i="185"/>
  <c r="I20" i="185"/>
  <c r="I12" i="185"/>
  <c r="D54" i="186"/>
  <c r="F54" i="186" s="1"/>
  <c r="B54" i="186"/>
  <c r="I11" i="185"/>
  <c r="I14" i="185"/>
  <c r="I13" i="185"/>
  <c r="I12" i="186" l="1"/>
  <c r="I20" i="186"/>
  <c r="I68" i="186"/>
  <c r="K53" i="186"/>
  <c r="I8" i="186"/>
  <c r="I14" i="186"/>
  <c r="I15" i="186"/>
  <c r="I19" i="186"/>
  <c r="I11" i="186"/>
  <c r="I10" i="186"/>
  <c r="C55" i="186"/>
  <c r="E54" i="186"/>
  <c r="M53" i="185"/>
  <c r="K10" i="185"/>
  <c r="I16" i="186"/>
  <c r="I18" i="186"/>
  <c r="I22" i="185"/>
  <c r="B55" i="185"/>
  <c r="D55" i="185"/>
  <c r="F55" i="185" s="1"/>
  <c r="I13" i="186"/>
  <c r="I17" i="186"/>
  <c r="I9" i="186"/>
  <c r="I21" i="186"/>
  <c r="I22" i="186" l="1"/>
  <c r="M53" i="186"/>
  <c r="K8" i="186"/>
  <c r="E55" i="185"/>
  <c r="C56" i="185"/>
  <c r="B55" i="186"/>
  <c r="D55" i="186"/>
  <c r="F55" i="186" s="1"/>
  <c r="M10" i="185"/>
  <c r="O53" i="185"/>
  <c r="G54" i="185" s="1"/>
  <c r="B56" i="185" l="1"/>
  <c r="D56" i="185"/>
  <c r="F56" i="185" s="1"/>
  <c r="M8" i="186"/>
  <c r="O53" i="186"/>
  <c r="G54" i="186" s="1"/>
  <c r="C56" i="186"/>
  <c r="E55" i="186"/>
  <c r="J54" i="185"/>
  <c r="N54" i="185" s="1"/>
  <c r="B56" i="186" l="1"/>
  <c r="D56" i="186"/>
  <c r="F56" i="186" s="1"/>
  <c r="E56" i="185"/>
  <c r="C57" i="185"/>
  <c r="J11" i="185"/>
  <c r="K54" i="185"/>
  <c r="J54" i="186"/>
  <c r="N54" i="186" s="1"/>
  <c r="D57" i="185" l="1"/>
  <c r="F57" i="185" s="1"/>
  <c r="B57" i="185"/>
  <c r="J9" i="186"/>
  <c r="K54" i="186"/>
  <c r="E56" i="186"/>
  <c r="C57" i="186"/>
  <c r="M54" i="185"/>
  <c r="K11" i="185"/>
  <c r="M11" i="185" l="1"/>
  <c r="O54" i="185"/>
  <c r="G55" i="185" s="1"/>
  <c r="M54" i="186"/>
  <c r="K9" i="186"/>
  <c r="C58" i="185"/>
  <c r="E57" i="185"/>
  <c r="D57" i="186"/>
  <c r="F57" i="186" s="1"/>
  <c r="B57" i="186"/>
  <c r="B58" i="185" l="1"/>
  <c r="D58" i="185"/>
  <c r="J55" i="185"/>
  <c r="C58" i="186"/>
  <c r="E57" i="186"/>
  <c r="M9" i="186"/>
  <c r="O54" i="186"/>
  <c r="G55" i="186" s="1"/>
  <c r="J12" i="185" l="1"/>
  <c r="K55" i="185"/>
  <c r="J55" i="186"/>
  <c r="N55" i="186" s="1"/>
  <c r="C59" i="185"/>
  <c r="E58" i="185"/>
  <c r="D58" i="186"/>
  <c r="B58" i="186"/>
  <c r="N55" i="185"/>
  <c r="C59" i="186" l="1"/>
  <c r="E58" i="186"/>
  <c r="J10" i="186"/>
  <c r="K55" i="186"/>
  <c r="B59" i="185"/>
  <c r="D59" i="185"/>
  <c r="K12" i="185"/>
  <c r="M55" i="185"/>
  <c r="M12" i="185" s="1"/>
  <c r="M55" i="186" l="1"/>
  <c r="K10" i="186"/>
  <c r="C60" i="185"/>
  <c r="E59" i="185"/>
  <c r="O55" i="185"/>
  <c r="G56" i="185" s="1"/>
  <c r="B59" i="186"/>
  <c r="D59" i="186"/>
  <c r="J56" i="185" l="1"/>
  <c r="C60" i="186"/>
  <c r="E59" i="186"/>
  <c r="D60" i="185"/>
  <c r="B60" i="185"/>
  <c r="M10" i="186"/>
  <c r="O55" i="186"/>
  <c r="G56" i="186" s="1"/>
  <c r="E60" i="185" l="1"/>
  <c r="C61" i="185"/>
  <c r="J13" i="185"/>
  <c r="K56" i="185"/>
  <c r="B60" i="186"/>
  <c r="D60" i="186"/>
  <c r="J56" i="186"/>
  <c r="N56" i="185"/>
  <c r="J11" i="186" l="1"/>
  <c r="K56" i="186"/>
  <c r="N56" i="186"/>
  <c r="B61" i="185"/>
  <c r="D61" i="185"/>
  <c r="E60" i="186"/>
  <c r="C61" i="186"/>
  <c r="M56" i="185"/>
  <c r="M13" i="185" s="1"/>
  <c r="K13" i="185"/>
  <c r="C62" i="185" l="1"/>
  <c r="E61" i="185"/>
  <c r="K11" i="186"/>
  <c r="M56" i="186"/>
  <c r="M11" i="186" s="1"/>
  <c r="D61" i="186"/>
  <c r="B61" i="186"/>
  <c r="O56" i="185"/>
  <c r="G57" i="185" s="1"/>
  <c r="O56" i="186" l="1"/>
  <c r="G57" i="186" s="1"/>
  <c r="J57" i="186" s="1"/>
  <c r="J57" i="185"/>
  <c r="C62" i="186"/>
  <c r="E61" i="186"/>
  <c r="B62" i="185"/>
  <c r="D62" i="185"/>
  <c r="J12" i="186" l="1"/>
  <c r="K57" i="186"/>
  <c r="N57" i="186"/>
  <c r="J14" i="185"/>
  <c r="K57" i="185"/>
  <c r="E62" i="185"/>
  <c r="C63" i="185"/>
  <c r="D62" i="186"/>
  <c r="B62" i="186"/>
  <c r="N57" i="185"/>
  <c r="D63" i="185" l="1"/>
  <c r="B63" i="185"/>
  <c r="C63" i="186"/>
  <c r="E62" i="186"/>
  <c r="M57" i="185"/>
  <c r="M14" i="185" s="1"/>
  <c r="K14" i="185"/>
  <c r="M57" i="186"/>
  <c r="M12" i="186" s="1"/>
  <c r="K12" i="186"/>
  <c r="O57" i="185" l="1"/>
  <c r="G58" i="185" s="1"/>
  <c r="C64" i="185"/>
  <c r="E63" i="185"/>
  <c r="B63" i="186"/>
  <c r="D63" i="186"/>
  <c r="O57" i="186"/>
  <c r="G58" i="186" s="1"/>
  <c r="C64" i="186" l="1"/>
  <c r="E63" i="186"/>
  <c r="D64" i="185"/>
  <c r="B64" i="185"/>
  <c r="E64" i="185" l="1"/>
  <c r="B64" i="186"/>
  <c r="D64" i="186"/>
  <c r="E64" i="186" l="1"/>
  <c r="C65" i="186"/>
  <c r="D65" i="186" l="1"/>
  <c r="B65" i="186"/>
  <c r="C66" i="186" l="1"/>
  <c r="E65" i="186"/>
  <c r="D66" i="186" l="1"/>
  <c r="H32" i="197" s="1"/>
  <c r="I32" i="197" s="1"/>
  <c r="B66" i="186"/>
  <c r="E66" i="186" l="1"/>
  <c r="K95" i="177" l="1"/>
  <c r="K94" i="177"/>
  <c r="K93" i="177"/>
  <c r="M93" i="177" s="1"/>
  <c r="K92" i="177"/>
  <c r="M92" i="177" s="1"/>
  <c r="K91" i="177"/>
  <c r="M91" i="177" s="1"/>
  <c r="K90" i="177"/>
  <c r="M90" i="177" s="1"/>
  <c r="K89" i="177"/>
  <c r="M89" i="177" s="1"/>
  <c r="D89" i="177"/>
  <c r="D90" i="177" s="1"/>
  <c r="D91" i="177" l="1"/>
  <c r="F90" i="177"/>
  <c r="C91" i="177"/>
  <c r="C90" i="177"/>
  <c r="E90" i="177" s="1"/>
  <c r="E89" i="177"/>
  <c r="F89" i="177"/>
  <c r="C92" i="177" l="1"/>
  <c r="E91" i="177"/>
  <c r="D92" i="177"/>
  <c r="F91" i="177"/>
  <c r="D93" i="177" l="1"/>
  <c r="C93" i="177"/>
  <c r="F92" i="177"/>
  <c r="E92" i="177"/>
  <c r="D94" i="177" l="1"/>
  <c r="E93" i="177"/>
  <c r="C94" i="177"/>
  <c r="F93" i="177"/>
  <c r="E94" i="177" l="1"/>
  <c r="C95" i="177"/>
  <c r="D95" i="177"/>
  <c r="F94" i="177"/>
  <c r="C96" i="177" l="1"/>
  <c r="B96" i="177" s="1"/>
  <c r="F95" i="177"/>
  <c r="E95" i="177"/>
  <c r="D96" i="177"/>
  <c r="D97" i="177" l="1"/>
  <c r="C97" i="177"/>
  <c r="B97" i="177" s="1"/>
  <c r="F96" i="177"/>
  <c r="E96" i="177"/>
  <c r="D98" i="177" l="1"/>
  <c r="C98" i="177"/>
  <c r="B98" i="177" s="1"/>
  <c r="F97" i="177"/>
  <c r="E97" i="177"/>
  <c r="E98" i="177" l="1"/>
  <c r="C99" i="177"/>
  <c r="B99" i="177" s="1"/>
  <c r="F98" i="177"/>
  <c r="D99" i="177"/>
  <c r="C100" i="177" l="1"/>
  <c r="B100" i="177" s="1"/>
  <c r="E99" i="177"/>
  <c r="D100" i="177"/>
  <c r="D101" i="177" l="1"/>
  <c r="C101" i="177"/>
  <c r="B101" i="177" s="1"/>
  <c r="E100" i="177"/>
  <c r="D102" i="177" l="1"/>
  <c r="E101" i="177"/>
  <c r="C102" i="177"/>
  <c r="B102" i="177" s="1"/>
  <c r="E102" i="177" l="1"/>
  <c r="M95" i="177"/>
  <c r="M94" i="177" l="1"/>
  <c r="K58" i="139" l="1"/>
  <c r="V32" i="139" l="1"/>
  <c r="S32" i="139"/>
  <c r="V31" i="139"/>
  <c r="S31" i="139"/>
  <c r="V30" i="139"/>
  <c r="S30" i="139"/>
  <c r="V29" i="139"/>
  <c r="T29" i="139"/>
  <c r="S29" i="139"/>
  <c r="M58" i="139"/>
  <c r="K57" i="139"/>
  <c r="M57" i="139" s="1"/>
  <c r="K56" i="139"/>
  <c r="M56" i="139" s="1"/>
  <c r="K55" i="139"/>
  <c r="M55" i="139" s="1"/>
  <c r="K54" i="139"/>
  <c r="M54" i="139" s="1"/>
  <c r="G54" i="139"/>
  <c r="L75" i="139" s="1"/>
  <c r="C54" i="139"/>
  <c r="D54" i="139" s="1"/>
  <c r="U29" i="139" l="1"/>
  <c r="L64" i="139"/>
  <c r="L72" i="139"/>
  <c r="L78" i="139"/>
  <c r="L65" i="139"/>
  <c r="L73" i="139"/>
  <c r="L68" i="139"/>
  <c r="L76" i="139"/>
  <c r="L69" i="139"/>
  <c r="L77" i="139"/>
  <c r="L62" i="139"/>
  <c r="L66" i="139"/>
  <c r="L70" i="139"/>
  <c r="L74" i="139"/>
  <c r="L63" i="139"/>
  <c r="L67" i="139"/>
  <c r="L71" i="139"/>
  <c r="E54" i="139"/>
  <c r="D55" i="139"/>
  <c r="F54" i="139"/>
  <c r="C55" i="139"/>
  <c r="B55" i="139" s="1"/>
  <c r="H54" i="139" l="1"/>
  <c r="N54" i="139" s="1"/>
  <c r="C56" i="139"/>
  <c r="B56" i="139" s="1"/>
  <c r="F55" i="139"/>
  <c r="D56" i="139"/>
  <c r="E55" i="139"/>
  <c r="O54" i="139" l="1"/>
  <c r="G55" i="139" s="1"/>
  <c r="D57" i="139"/>
  <c r="E56" i="139"/>
  <c r="C57" i="139"/>
  <c r="B57" i="139" s="1"/>
  <c r="F56" i="139"/>
  <c r="C58" i="139" l="1"/>
  <c r="B58" i="139" s="1"/>
  <c r="F57" i="139"/>
  <c r="D58" i="139"/>
  <c r="E57" i="139"/>
  <c r="H55" i="139"/>
  <c r="N55" i="139" l="1"/>
  <c r="E58" i="139"/>
  <c r="D59" i="139"/>
  <c r="C59" i="139"/>
  <c r="B59" i="139" s="1"/>
  <c r="F58" i="139"/>
  <c r="O55" i="139"/>
  <c r="G56" i="139" l="1"/>
  <c r="C60" i="139"/>
  <c r="B60" i="139" s="1"/>
  <c r="F59" i="139"/>
  <c r="D60" i="139"/>
  <c r="E59" i="139"/>
  <c r="D61" i="139" l="1"/>
  <c r="E60" i="139"/>
  <c r="C61" i="139"/>
  <c r="B61" i="139" s="1"/>
  <c r="F60" i="139"/>
  <c r="H56" i="139"/>
  <c r="O56" i="139" l="1"/>
  <c r="G57" i="139" s="1"/>
  <c r="N56" i="139"/>
  <c r="D62" i="139"/>
  <c r="F61" i="139"/>
  <c r="E61" i="139"/>
  <c r="C62" i="139"/>
  <c r="B62" i="139" s="1"/>
  <c r="F62" i="139" l="1"/>
  <c r="C63" i="139"/>
  <c r="B63" i="139" s="1"/>
  <c r="D63" i="139"/>
  <c r="E62" i="139"/>
  <c r="H57" i="139"/>
  <c r="N57" i="139" s="1"/>
  <c r="O57" i="139" l="1"/>
  <c r="G58" i="139" s="1"/>
  <c r="D64" i="139"/>
  <c r="E63" i="139"/>
  <c r="C64" i="139"/>
  <c r="B64" i="139" s="1"/>
  <c r="F63" i="139"/>
  <c r="C65" i="139" l="1"/>
  <c r="B65" i="139" s="1"/>
  <c r="E64" i="139"/>
  <c r="D65" i="139"/>
  <c r="H58" i="139"/>
  <c r="O58" i="139" l="1"/>
  <c r="G59" i="139" s="1"/>
  <c r="N58" i="139"/>
  <c r="D66" i="139"/>
  <c r="E65" i="139"/>
  <c r="C66" i="139"/>
  <c r="B66" i="139" s="1"/>
  <c r="K59" i="139" l="1"/>
  <c r="H59" i="139"/>
  <c r="C67" i="139"/>
  <c r="B67" i="139" s="1"/>
  <c r="E66" i="139"/>
  <c r="D67" i="139"/>
  <c r="N59" i="139" l="1"/>
  <c r="O59" i="139" s="1"/>
  <c r="G60" i="139" s="1"/>
  <c r="J60" i="139" s="1"/>
  <c r="T30" i="139"/>
  <c r="U30" i="139" s="1"/>
  <c r="D68" i="139"/>
  <c r="E67" i="139"/>
  <c r="C68" i="139"/>
  <c r="B68" i="139" s="1"/>
  <c r="K60" i="139" l="1"/>
  <c r="C69" i="139"/>
  <c r="B69" i="139" s="1"/>
  <c r="D69" i="139"/>
  <c r="E68" i="139"/>
  <c r="N60" i="139" l="1"/>
  <c r="O60" i="139" s="1"/>
  <c r="G61" i="139" s="1"/>
  <c r="J61" i="139" s="1"/>
  <c r="D70" i="139"/>
  <c r="E69" i="139"/>
  <c r="C70" i="139"/>
  <c r="B70" i="139" s="1"/>
  <c r="K61" i="139" l="1"/>
  <c r="N61" i="139"/>
  <c r="O61" i="139" s="1"/>
  <c r="C71" i="139"/>
  <c r="B71" i="139" s="1"/>
  <c r="D71" i="139"/>
  <c r="E70" i="139"/>
  <c r="D72" i="139" l="1"/>
  <c r="E71" i="139"/>
  <c r="C72" i="139"/>
  <c r="B72" i="139" s="1"/>
  <c r="C73" i="139" l="1"/>
  <c r="B73" i="139" s="1"/>
  <c r="E72" i="139"/>
  <c r="D73" i="139"/>
  <c r="D74" i="139" l="1"/>
  <c r="E73" i="139"/>
  <c r="C74" i="139"/>
  <c r="B74" i="139" s="1"/>
  <c r="C75" i="139" l="1"/>
  <c r="B75" i="139" s="1"/>
  <c r="E74" i="139"/>
  <c r="D75" i="139"/>
  <c r="D76" i="139" l="1"/>
  <c r="E75" i="139"/>
  <c r="C76" i="139"/>
  <c r="B76" i="139" s="1"/>
  <c r="C77" i="139" l="1"/>
  <c r="B77" i="139" s="1"/>
  <c r="D77" i="139"/>
  <c r="E76" i="139"/>
  <c r="D78" i="139" l="1"/>
  <c r="E77" i="139"/>
  <c r="C78" i="139"/>
  <c r="B78" i="139" s="1"/>
  <c r="E78" i="139" l="1"/>
  <c r="K48" i="172" l="1"/>
  <c r="M48" i="172" s="1"/>
  <c r="C12" i="174"/>
  <c r="C11" i="174"/>
  <c r="B65" i="116" l="1"/>
  <c r="B64" i="116"/>
  <c r="B63" i="116"/>
  <c r="F101" i="177"/>
  <c r="F100" i="177"/>
  <c r="F99" i="177"/>
  <c r="F60" i="185" l="1"/>
  <c r="F60" i="186"/>
  <c r="F61" i="186"/>
  <c r="F61" i="185"/>
  <c r="F102" i="177"/>
  <c r="F58" i="185"/>
  <c r="J58" i="185" s="1"/>
  <c r="F58" i="186"/>
  <c r="J58" i="186" s="1"/>
  <c r="F62" i="185"/>
  <c r="F62" i="186"/>
  <c r="F59" i="185"/>
  <c r="F59" i="186"/>
  <c r="F65" i="186"/>
  <c r="F64" i="185"/>
  <c r="F64" i="186"/>
  <c r="F63" i="185"/>
  <c r="F63" i="186"/>
  <c r="F66" i="186"/>
  <c r="F70" i="139"/>
  <c r="F65" i="139"/>
  <c r="F69" i="139"/>
  <c r="F73" i="139"/>
  <c r="F66" i="139"/>
  <c r="F74" i="139"/>
  <c r="F67" i="139"/>
  <c r="F71" i="139"/>
  <c r="F75" i="139"/>
  <c r="F64" i="139"/>
  <c r="F68" i="139"/>
  <c r="F72" i="139"/>
  <c r="F76" i="139"/>
  <c r="F77" i="139"/>
  <c r="F78" i="139"/>
  <c r="N58" i="186" l="1"/>
  <c r="J13" i="186"/>
  <c r="K58" i="186"/>
  <c r="J15" i="185"/>
  <c r="N58" i="185"/>
  <c r="K58" i="185"/>
  <c r="H126" i="177"/>
  <c r="H125" i="177"/>
  <c r="H124" i="177"/>
  <c r="H123" i="177"/>
  <c r="H122" i="177"/>
  <c r="H121" i="177"/>
  <c r="H120" i="177"/>
  <c r="H119" i="177"/>
  <c r="H118" i="177"/>
  <c r="H117" i="177"/>
  <c r="H116" i="177"/>
  <c r="H115" i="177"/>
  <c r="H114" i="177"/>
  <c r="H113" i="177"/>
  <c r="H112" i="177"/>
  <c r="H111" i="177"/>
  <c r="H110" i="177"/>
  <c r="J107" i="177"/>
  <c r="G61" i="177"/>
  <c r="K64" i="177"/>
  <c r="C61" i="177"/>
  <c r="V31" i="157"/>
  <c r="T31" i="157"/>
  <c r="S31" i="157"/>
  <c r="V30" i="157"/>
  <c r="T30" i="157"/>
  <c r="S30" i="157"/>
  <c r="V29" i="157"/>
  <c r="T29" i="157"/>
  <c r="S29" i="157"/>
  <c r="L253" i="160"/>
  <c r="L252" i="160"/>
  <c r="L251" i="160"/>
  <c r="L250" i="160"/>
  <c r="L249" i="160"/>
  <c r="L248" i="160"/>
  <c r="L247" i="160"/>
  <c r="L246" i="160"/>
  <c r="L245" i="160"/>
  <c r="L244" i="160"/>
  <c r="L243" i="160"/>
  <c r="L242" i="160"/>
  <c r="L241" i="160"/>
  <c r="L240" i="160"/>
  <c r="L239" i="160"/>
  <c r="L238" i="160"/>
  <c r="L237" i="160"/>
  <c r="L236" i="160"/>
  <c r="L235" i="160"/>
  <c r="L234" i="160"/>
  <c r="L223" i="160"/>
  <c r="L222" i="160"/>
  <c r="L221" i="160"/>
  <c r="L220" i="160"/>
  <c r="L219" i="160"/>
  <c r="L218" i="160"/>
  <c r="L217" i="160"/>
  <c r="L216" i="160"/>
  <c r="L215" i="160"/>
  <c r="L214" i="160"/>
  <c r="L213" i="160"/>
  <c r="L212" i="160"/>
  <c r="L211" i="160"/>
  <c r="L210" i="160"/>
  <c r="L209" i="160"/>
  <c r="L208" i="160"/>
  <c r="L207" i="160"/>
  <c r="L206" i="160"/>
  <c r="L205" i="160"/>
  <c r="L204" i="160"/>
  <c r="K233" i="160"/>
  <c r="M233" i="160" s="1"/>
  <c r="K232" i="160"/>
  <c r="M232" i="160" s="1"/>
  <c r="K231" i="160"/>
  <c r="M231" i="160" s="1"/>
  <c r="K230" i="160"/>
  <c r="M230" i="160" s="1"/>
  <c r="K229" i="160"/>
  <c r="M229" i="160" s="1"/>
  <c r="G229" i="160"/>
  <c r="C229" i="160"/>
  <c r="D229" i="160" s="1"/>
  <c r="C230" i="160" s="1"/>
  <c r="B230" i="160" s="1"/>
  <c r="K203" i="160"/>
  <c r="M203" i="160" s="1"/>
  <c r="K202" i="160"/>
  <c r="M202" i="160" s="1"/>
  <c r="K201" i="160"/>
  <c r="M201" i="160" s="1"/>
  <c r="K200" i="160"/>
  <c r="M200" i="160" s="1"/>
  <c r="K199" i="160"/>
  <c r="M199" i="160" s="1"/>
  <c r="K198" i="160"/>
  <c r="G198" i="160"/>
  <c r="C198" i="160"/>
  <c r="B198" i="160" s="1"/>
  <c r="L173" i="160"/>
  <c r="L192" i="160"/>
  <c r="L191" i="160"/>
  <c r="L141" i="160"/>
  <c r="L160" i="160"/>
  <c r="L159" i="160"/>
  <c r="L127" i="160"/>
  <c r="L126" i="160"/>
  <c r="L125" i="160"/>
  <c r="L108" i="160"/>
  <c r="L93" i="160"/>
  <c r="L92" i="160"/>
  <c r="L74" i="160"/>
  <c r="T33" i="143"/>
  <c r="Q33" i="143"/>
  <c r="R33" i="143" s="1"/>
  <c r="L584" i="143"/>
  <c r="L583" i="143"/>
  <c r="L582" i="143"/>
  <c r="L581" i="143"/>
  <c r="L580" i="143"/>
  <c r="L579" i="143"/>
  <c r="L578" i="143"/>
  <c r="L577" i="143"/>
  <c r="L576" i="143"/>
  <c r="L575" i="143"/>
  <c r="L574" i="143"/>
  <c r="L573" i="143"/>
  <c r="L572" i="143"/>
  <c r="L571" i="143"/>
  <c r="L570" i="143"/>
  <c r="L569" i="143"/>
  <c r="L568" i="143"/>
  <c r="L567" i="143"/>
  <c r="L566" i="143"/>
  <c r="L565" i="143"/>
  <c r="L557" i="143"/>
  <c r="L556" i="143"/>
  <c r="L555" i="143"/>
  <c r="L554" i="143"/>
  <c r="L553" i="143"/>
  <c r="L552" i="143"/>
  <c r="L551" i="143"/>
  <c r="L550" i="143"/>
  <c r="L549" i="143"/>
  <c r="L548" i="143"/>
  <c r="L547" i="143"/>
  <c r="L546" i="143"/>
  <c r="L545" i="143"/>
  <c r="L544" i="143"/>
  <c r="L543" i="143"/>
  <c r="L542" i="143"/>
  <c r="L541" i="143"/>
  <c r="L540" i="143"/>
  <c r="L539" i="143"/>
  <c r="L538" i="143"/>
  <c r="L528" i="143"/>
  <c r="L527" i="143"/>
  <c r="L526" i="143"/>
  <c r="L525" i="143"/>
  <c r="L524" i="143"/>
  <c r="L523" i="143"/>
  <c r="L522" i="143"/>
  <c r="L521" i="143"/>
  <c r="L520" i="143"/>
  <c r="L519" i="143"/>
  <c r="L518" i="143"/>
  <c r="L517" i="143"/>
  <c r="L516" i="143"/>
  <c r="L515" i="143"/>
  <c r="L514" i="143"/>
  <c r="L513" i="143"/>
  <c r="L512" i="143"/>
  <c r="L511" i="143"/>
  <c r="L510" i="143"/>
  <c r="L509" i="143"/>
  <c r="L499" i="143"/>
  <c r="L498" i="143"/>
  <c r="L497" i="143"/>
  <c r="L496" i="143"/>
  <c r="L495" i="143"/>
  <c r="L494" i="143"/>
  <c r="L493" i="143"/>
  <c r="L492" i="143"/>
  <c r="L491" i="143"/>
  <c r="L490" i="143"/>
  <c r="L489" i="143"/>
  <c r="L488" i="143"/>
  <c r="L487" i="143"/>
  <c r="L486" i="143"/>
  <c r="L485" i="143"/>
  <c r="L484" i="143"/>
  <c r="L483" i="143"/>
  <c r="L482" i="143"/>
  <c r="L481" i="143"/>
  <c r="L480" i="143"/>
  <c r="L469" i="143"/>
  <c r="L468" i="143"/>
  <c r="L467" i="143"/>
  <c r="L466" i="143"/>
  <c r="L465" i="143"/>
  <c r="L464" i="143"/>
  <c r="L463" i="143"/>
  <c r="L462" i="143"/>
  <c r="L461" i="143"/>
  <c r="L460" i="143"/>
  <c r="L459" i="143"/>
  <c r="L458" i="143"/>
  <c r="L457" i="143"/>
  <c r="L456" i="143"/>
  <c r="L455" i="143"/>
  <c r="L454" i="143"/>
  <c r="L453" i="143"/>
  <c r="L452" i="143"/>
  <c r="L451" i="143"/>
  <c r="L450" i="143"/>
  <c r="L439" i="143"/>
  <c r="L438" i="143"/>
  <c r="L437" i="143"/>
  <c r="L436" i="143"/>
  <c r="L435" i="143"/>
  <c r="L434" i="143"/>
  <c r="L433" i="143"/>
  <c r="L432" i="143"/>
  <c r="L431" i="143"/>
  <c r="L430" i="143"/>
  <c r="L429" i="143"/>
  <c r="L428" i="143"/>
  <c r="L427" i="143"/>
  <c r="L426" i="143"/>
  <c r="L425" i="143"/>
  <c r="L424" i="143"/>
  <c r="L422" i="143"/>
  <c r="L421" i="143"/>
  <c r="L420" i="143"/>
  <c r="L423" i="143"/>
  <c r="L409" i="143"/>
  <c r="L408" i="143"/>
  <c r="L407" i="143"/>
  <c r="L406" i="143"/>
  <c r="L405" i="143"/>
  <c r="L404" i="143"/>
  <c r="L403" i="143"/>
  <c r="L402" i="143"/>
  <c r="L401" i="143"/>
  <c r="L400" i="143"/>
  <c r="L399" i="143"/>
  <c r="L398" i="143"/>
  <c r="L397" i="143"/>
  <c r="L396" i="143"/>
  <c r="L395" i="143"/>
  <c r="L394" i="143"/>
  <c r="L392" i="143"/>
  <c r="L391" i="143"/>
  <c r="L390" i="143"/>
  <c r="L393" i="143"/>
  <c r="L360" i="143"/>
  <c r="L359" i="143"/>
  <c r="L378" i="143"/>
  <c r="L377" i="143"/>
  <c r="L376" i="143"/>
  <c r="L375" i="143"/>
  <c r="L374" i="143"/>
  <c r="L373" i="143"/>
  <c r="L372" i="143"/>
  <c r="L371" i="143"/>
  <c r="L370" i="143"/>
  <c r="L369" i="143"/>
  <c r="L368" i="143"/>
  <c r="L367" i="143"/>
  <c r="L366" i="143"/>
  <c r="L365" i="143"/>
  <c r="L364" i="143"/>
  <c r="L363" i="143"/>
  <c r="L362" i="143"/>
  <c r="L361" i="143"/>
  <c r="L346" i="143"/>
  <c r="L345" i="143"/>
  <c r="L344" i="143"/>
  <c r="L343" i="143"/>
  <c r="L342" i="143"/>
  <c r="L341" i="143"/>
  <c r="L340" i="143"/>
  <c r="L339" i="143"/>
  <c r="L338" i="143"/>
  <c r="L337" i="143"/>
  <c r="L336" i="143"/>
  <c r="L335" i="143"/>
  <c r="L334" i="143"/>
  <c r="L333" i="143"/>
  <c r="L332" i="143"/>
  <c r="L331" i="143"/>
  <c r="L330" i="143"/>
  <c r="L329" i="143"/>
  <c r="L328" i="143"/>
  <c r="L327" i="143"/>
  <c r="L315" i="143"/>
  <c r="L314" i="143"/>
  <c r="L313" i="143"/>
  <c r="L312" i="143"/>
  <c r="L311" i="143"/>
  <c r="L310" i="143"/>
  <c r="L309" i="143"/>
  <c r="L308" i="143"/>
  <c r="L307" i="143"/>
  <c r="L306" i="143"/>
  <c r="L305" i="143"/>
  <c r="L304" i="143"/>
  <c r="L303" i="143"/>
  <c r="L302" i="143"/>
  <c r="L301" i="143"/>
  <c r="L300" i="143"/>
  <c r="L299" i="143"/>
  <c r="L298" i="143"/>
  <c r="L297" i="143"/>
  <c r="L296" i="143"/>
  <c r="K295" i="143"/>
  <c r="K294" i="143"/>
  <c r="K293" i="143"/>
  <c r="L283" i="143"/>
  <c r="L282" i="143"/>
  <c r="L281" i="143"/>
  <c r="L280" i="143"/>
  <c r="L279" i="143"/>
  <c r="L278" i="143"/>
  <c r="L277" i="143"/>
  <c r="L276" i="143"/>
  <c r="L275" i="143"/>
  <c r="L274" i="143"/>
  <c r="L273" i="143"/>
  <c r="L272" i="143"/>
  <c r="L271" i="143"/>
  <c r="L270" i="143"/>
  <c r="L269" i="143"/>
  <c r="L268" i="143"/>
  <c r="L267" i="143"/>
  <c r="L266" i="143"/>
  <c r="L265" i="143"/>
  <c r="L264" i="143"/>
  <c r="L251" i="143"/>
  <c r="L250" i="143"/>
  <c r="L249" i="143"/>
  <c r="L248" i="143"/>
  <c r="L247" i="143"/>
  <c r="L246" i="143"/>
  <c r="L245" i="143"/>
  <c r="L244" i="143"/>
  <c r="L243" i="143"/>
  <c r="L242" i="143"/>
  <c r="L241" i="143"/>
  <c r="L240" i="143"/>
  <c r="L239" i="143"/>
  <c r="L238" i="143"/>
  <c r="L237" i="143"/>
  <c r="L236" i="143"/>
  <c r="L235" i="143"/>
  <c r="L234" i="143"/>
  <c r="L233" i="143"/>
  <c r="L232" i="143"/>
  <c r="L219" i="143"/>
  <c r="L218" i="143"/>
  <c r="L217" i="143"/>
  <c r="L216" i="143"/>
  <c r="L215" i="143"/>
  <c r="L214" i="143"/>
  <c r="L213" i="143"/>
  <c r="L212" i="143"/>
  <c r="L211" i="143"/>
  <c r="L210" i="143"/>
  <c r="L209" i="143"/>
  <c r="L208" i="143"/>
  <c r="L207" i="143"/>
  <c r="L206" i="143"/>
  <c r="L205" i="143"/>
  <c r="L204" i="143"/>
  <c r="L203" i="143"/>
  <c r="L202" i="143"/>
  <c r="L201" i="143"/>
  <c r="L200" i="143"/>
  <c r="L187" i="143"/>
  <c r="L186" i="143"/>
  <c r="L185" i="143"/>
  <c r="L184" i="143"/>
  <c r="L183" i="143"/>
  <c r="L182" i="143"/>
  <c r="L181" i="143"/>
  <c r="L180" i="143"/>
  <c r="L179" i="143"/>
  <c r="L178" i="143"/>
  <c r="L177" i="143"/>
  <c r="L176" i="143"/>
  <c r="L175" i="143"/>
  <c r="L174" i="143"/>
  <c r="L173" i="143"/>
  <c r="L172" i="143"/>
  <c r="L171" i="143"/>
  <c r="L170" i="143"/>
  <c r="L169" i="143"/>
  <c r="L168" i="143"/>
  <c r="L154" i="143"/>
  <c r="L153" i="143"/>
  <c r="L152" i="143"/>
  <c r="L151" i="143"/>
  <c r="L150" i="143"/>
  <c r="L149" i="143"/>
  <c r="L148" i="143"/>
  <c r="L147" i="143"/>
  <c r="L146" i="143"/>
  <c r="L145" i="143"/>
  <c r="L144" i="143"/>
  <c r="L143" i="143"/>
  <c r="L142" i="143"/>
  <c r="L141" i="143"/>
  <c r="L140" i="143"/>
  <c r="L139" i="143"/>
  <c r="L138" i="143"/>
  <c r="L136" i="143"/>
  <c r="L135" i="143"/>
  <c r="L137" i="143"/>
  <c r="L121" i="143"/>
  <c r="L120" i="143"/>
  <c r="L119" i="143"/>
  <c r="L118" i="143"/>
  <c r="L117" i="143"/>
  <c r="L116" i="143"/>
  <c r="L115" i="143"/>
  <c r="L114" i="143"/>
  <c r="L113" i="143"/>
  <c r="L112" i="143"/>
  <c r="L111" i="143"/>
  <c r="L110" i="143"/>
  <c r="L109" i="143"/>
  <c r="L108" i="143"/>
  <c r="L107" i="143"/>
  <c r="L106" i="143"/>
  <c r="L105" i="143"/>
  <c r="L104" i="143"/>
  <c r="L102" i="143"/>
  <c r="L103" i="143"/>
  <c r="L87" i="143"/>
  <c r="L86" i="143"/>
  <c r="L85" i="143"/>
  <c r="V50" i="143" s="1"/>
  <c r="L84" i="143"/>
  <c r="V49" i="143" s="1"/>
  <c r="L83" i="143"/>
  <c r="L82" i="143"/>
  <c r="L81" i="143"/>
  <c r="L80" i="143"/>
  <c r="L79" i="143"/>
  <c r="L78" i="143"/>
  <c r="L77" i="143"/>
  <c r="V42" i="143" s="1"/>
  <c r="L76" i="143"/>
  <c r="V41" i="143" s="1"/>
  <c r="L75" i="143"/>
  <c r="L74" i="143"/>
  <c r="L73" i="143"/>
  <c r="L72" i="143"/>
  <c r="L71" i="143"/>
  <c r="L70" i="143"/>
  <c r="L69" i="143"/>
  <c r="V34" i="143" s="1"/>
  <c r="L68" i="143"/>
  <c r="K564" i="143"/>
  <c r="M564" i="143" s="1"/>
  <c r="K563" i="143"/>
  <c r="M563" i="143" s="1"/>
  <c r="K562" i="143"/>
  <c r="G562" i="143"/>
  <c r="C562" i="143"/>
  <c r="D562" i="143" s="1"/>
  <c r="E562" i="143" s="1"/>
  <c r="K537" i="143"/>
  <c r="M537" i="143" s="1"/>
  <c r="K536" i="143"/>
  <c r="M536" i="143" s="1"/>
  <c r="K535" i="143"/>
  <c r="M535" i="143" s="1"/>
  <c r="K534" i="143"/>
  <c r="M534" i="143" s="1"/>
  <c r="K533" i="143"/>
  <c r="M533" i="143" s="1"/>
  <c r="G533" i="143"/>
  <c r="C533" i="143"/>
  <c r="D533" i="143" s="1"/>
  <c r="K508" i="143"/>
  <c r="M508" i="143" s="1"/>
  <c r="K507" i="143"/>
  <c r="M507" i="143" s="1"/>
  <c r="K506" i="143"/>
  <c r="M506" i="143" s="1"/>
  <c r="K505" i="143"/>
  <c r="M505" i="143" s="1"/>
  <c r="K504" i="143"/>
  <c r="M504" i="143" s="1"/>
  <c r="G504" i="143"/>
  <c r="C504" i="143"/>
  <c r="D504" i="143" s="1"/>
  <c r="F504" i="143" s="1"/>
  <c r="K479" i="143"/>
  <c r="M479" i="143" s="1"/>
  <c r="K478" i="143"/>
  <c r="M478" i="143" s="1"/>
  <c r="K477" i="143"/>
  <c r="M477" i="143" s="1"/>
  <c r="K476" i="143"/>
  <c r="M476" i="143" s="1"/>
  <c r="K475" i="143"/>
  <c r="M475" i="143" s="1"/>
  <c r="K474" i="143"/>
  <c r="G474" i="143"/>
  <c r="C474" i="143"/>
  <c r="D474" i="143" s="1"/>
  <c r="D475" i="143" s="1"/>
  <c r="K449" i="143"/>
  <c r="M449" i="143" s="1"/>
  <c r="K448" i="143"/>
  <c r="M448" i="143" s="1"/>
  <c r="K447" i="143"/>
  <c r="M447" i="143" s="1"/>
  <c r="K446" i="143"/>
  <c r="M446" i="143" s="1"/>
  <c r="K445" i="143"/>
  <c r="M445" i="143" s="1"/>
  <c r="K444" i="143"/>
  <c r="M444" i="143" s="1"/>
  <c r="G444" i="143"/>
  <c r="C444" i="143"/>
  <c r="D444" i="143" s="1"/>
  <c r="K419" i="143"/>
  <c r="M419" i="143" s="1"/>
  <c r="K418" i="143"/>
  <c r="M418" i="143" s="1"/>
  <c r="K417" i="143"/>
  <c r="M417" i="143" s="1"/>
  <c r="K416" i="143"/>
  <c r="M416" i="143" s="1"/>
  <c r="K415" i="143"/>
  <c r="M415" i="143" s="1"/>
  <c r="K414" i="143"/>
  <c r="M414" i="143" s="1"/>
  <c r="G414" i="143"/>
  <c r="C414" i="143"/>
  <c r="D414" i="143" s="1"/>
  <c r="F414" i="143" s="1"/>
  <c r="K389" i="143"/>
  <c r="M389" i="143" s="1"/>
  <c r="K388" i="143"/>
  <c r="M388" i="143" s="1"/>
  <c r="K387" i="143"/>
  <c r="M387" i="143" s="1"/>
  <c r="K386" i="143"/>
  <c r="M386" i="143" s="1"/>
  <c r="K385" i="143"/>
  <c r="M385" i="143" s="1"/>
  <c r="K384" i="143"/>
  <c r="M384" i="143" s="1"/>
  <c r="K383" i="143"/>
  <c r="M383" i="143" s="1"/>
  <c r="G383" i="143"/>
  <c r="C383" i="143"/>
  <c r="D383" i="143" s="1"/>
  <c r="C384" i="143" s="1"/>
  <c r="K358" i="143"/>
  <c r="M358" i="143" s="1"/>
  <c r="K357" i="143"/>
  <c r="M357" i="143" s="1"/>
  <c r="K356" i="143"/>
  <c r="M356" i="143" s="1"/>
  <c r="K355" i="143"/>
  <c r="M355" i="143" s="1"/>
  <c r="K354" i="143"/>
  <c r="M354" i="143" s="1"/>
  <c r="K353" i="143"/>
  <c r="M353" i="143" s="1"/>
  <c r="K352" i="143"/>
  <c r="G352" i="143"/>
  <c r="C352" i="143"/>
  <c r="D352" i="143" s="1"/>
  <c r="C353" i="143" s="1"/>
  <c r="K326" i="143"/>
  <c r="M326" i="143" s="1"/>
  <c r="K325" i="143"/>
  <c r="M325" i="143" s="1"/>
  <c r="K324" i="143"/>
  <c r="M324" i="143" s="1"/>
  <c r="K323" i="143"/>
  <c r="M323" i="143" s="1"/>
  <c r="K322" i="143"/>
  <c r="M322" i="143" s="1"/>
  <c r="K321" i="143"/>
  <c r="M321" i="143" s="1"/>
  <c r="K320" i="143"/>
  <c r="M320" i="143" s="1"/>
  <c r="G320" i="143"/>
  <c r="C320" i="143"/>
  <c r="D320" i="143" s="1"/>
  <c r="K292" i="143"/>
  <c r="M292" i="143" s="1"/>
  <c r="K291" i="143"/>
  <c r="M291" i="143" s="1"/>
  <c r="K290" i="143"/>
  <c r="M290" i="143" s="1"/>
  <c r="K289" i="143"/>
  <c r="M289" i="143" s="1"/>
  <c r="K288" i="143"/>
  <c r="G288" i="143"/>
  <c r="C288" i="143"/>
  <c r="D288" i="143" s="1"/>
  <c r="E288" i="143" s="1"/>
  <c r="K261" i="143"/>
  <c r="M261" i="143" s="1"/>
  <c r="K260" i="143"/>
  <c r="M260" i="143" s="1"/>
  <c r="K259" i="143"/>
  <c r="M259" i="143" s="1"/>
  <c r="K258" i="143"/>
  <c r="M258" i="143" s="1"/>
  <c r="K257" i="143"/>
  <c r="M257" i="143" s="1"/>
  <c r="K256" i="143"/>
  <c r="M256" i="143" s="1"/>
  <c r="G256" i="143"/>
  <c r="C256" i="143"/>
  <c r="D256" i="143" s="1"/>
  <c r="E256" i="143" s="1"/>
  <c r="K230" i="143"/>
  <c r="M230" i="143" s="1"/>
  <c r="K229" i="143"/>
  <c r="M229" i="143" s="1"/>
  <c r="K228" i="143"/>
  <c r="M228" i="143" s="1"/>
  <c r="K227" i="143"/>
  <c r="M227" i="143" s="1"/>
  <c r="K226" i="143"/>
  <c r="M226" i="143" s="1"/>
  <c r="K225" i="143"/>
  <c r="M225" i="143" s="1"/>
  <c r="K224" i="143"/>
  <c r="M224" i="143" s="1"/>
  <c r="G224" i="143"/>
  <c r="C224" i="143"/>
  <c r="D224" i="143" s="1"/>
  <c r="F224" i="143" s="1"/>
  <c r="K199" i="143"/>
  <c r="M199" i="143" s="1"/>
  <c r="K198" i="143"/>
  <c r="M198" i="143" s="1"/>
  <c r="K197" i="143"/>
  <c r="M197" i="143" s="1"/>
  <c r="K196" i="143"/>
  <c r="M196" i="143" s="1"/>
  <c r="K195" i="143"/>
  <c r="M195" i="143" s="1"/>
  <c r="K194" i="143"/>
  <c r="M194" i="143" s="1"/>
  <c r="K193" i="143"/>
  <c r="M193" i="143" s="1"/>
  <c r="K192" i="143"/>
  <c r="G192" i="143"/>
  <c r="C192" i="143"/>
  <c r="D192" i="143" s="1"/>
  <c r="C193" i="143" s="1"/>
  <c r="K167" i="143"/>
  <c r="M167" i="143" s="1"/>
  <c r="K166" i="143"/>
  <c r="M166" i="143" s="1"/>
  <c r="K165" i="143"/>
  <c r="M165" i="143" s="1"/>
  <c r="K164" i="143"/>
  <c r="M164" i="143" s="1"/>
  <c r="K163" i="143"/>
  <c r="M163" i="143" s="1"/>
  <c r="K162" i="143"/>
  <c r="M162" i="143" s="1"/>
  <c r="K161" i="143"/>
  <c r="M161" i="143" s="1"/>
  <c r="K160" i="143"/>
  <c r="M160" i="143" s="1"/>
  <c r="K159" i="143"/>
  <c r="G159" i="143"/>
  <c r="C159" i="143"/>
  <c r="D159" i="143" s="1"/>
  <c r="E159" i="143" s="1"/>
  <c r="K134" i="143"/>
  <c r="M134" i="143" s="1"/>
  <c r="K133" i="143"/>
  <c r="M133" i="143" s="1"/>
  <c r="K132" i="143"/>
  <c r="M132" i="143" s="1"/>
  <c r="K131" i="143"/>
  <c r="M131" i="143" s="1"/>
  <c r="K130" i="143"/>
  <c r="M130" i="143" s="1"/>
  <c r="K129" i="143"/>
  <c r="M129" i="143" s="1"/>
  <c r="K128" i="143"/>
  <c r="M128" i="143" s="1"/>
  <c r="K127" i="143"/>
  <c r="M127" i="143" s="1"/>
  <c r="K126" i="143"/>
  <c r="G126" i="143"/>
  <c r="C126" i="143"/>
  <c r="D126" i="143" s="1"/>
  <c r="K101" i="143"/>
  <c r="M101" i="143" s="1"/>
  <c r="K100" i="143"/>
  <c r="M100" i="143" s="1"/>
  <c r="K99" i="143"/>
  <c r="M99" i="143" s="1"/>
  <c r="K98" i="143"/>
  <c r="M98" i="143" s="1"/>
  <c r="K97" i="143"/>
  <c r="M97" i="143" s="1"/>
  <c r="K96" i="143"/>
  <c r="M96" i="143" s="1"/>
  <c r="K95" i="143"/>
  <c r="M95" i="143" s="1"/>
  <c r="K94" i="143"/>
  <c r="M94" i="143" s="1"/>
  <c r="K93" i="143"/>
  <c r="G93" i="143"/>
  <c r="C93" i="143"/>
  <c r="D93" i="143" s="1"/>
  <c r="K67" i="143"/>
  <c r="M67" i="143" s="1"/>
  <c r="K66" i="143"/>
  <c r="M66" i="143" s="1"/>
  <c r="K65" i="143"/>
  <c r="M65" i="143" s="1"/>
  <c r="K64" i="143"/>
  <c r="M64" i="143" s="1"/>
  <c r="K63" i="143"/>
  <c r="M63" i="143" s="1"/>
  <c r="K62" i="143"/>
  <c r="M62" i="143" s="1"/>
  <c r="K61" i="143"/>
  <c r="M61" i="143" s="1"/>
  <c r="K60" i="143"/>
  <c r="M60" i="143" s="1"/>
  <c r="K59" i="143"/>
  <c r="M59" i="143" s="1"/>
  <c r="G59" i="143"/>
  <c r="C59" i="143"/>
  <c r="D59" i="143" s="1"/>
  <c r="V43" i="143" l="1"/>
  <c r="V36" i="143"/>
  <c r="V44" i="143"/>
  <c r="V52" i="143"/>
  <c r="V37" i="143"/>
  <c r="V45" i="143"/>
  <c r="V35" i="143"/>
  <c r="V38" i="143"/>
  <c r="V46" i="143"/>
  <c r="V51" i="143"/>
  <c r="V39" i="143"/>
  <c r="V47" i="143"/>
  <c r="V40" i="143"/>
  <c r="V48" i="143"/>
  <c r="V33" i="143"/>
  <c r="U30" i="157"/>
  <c r="U31" i="157"/>
  <c r="K15" i="185"/>
  <c r="M58" i="185"/>
  <c r="O58" i="185" s="1"/>
  <c r="G59" i="185" s="1"/>
  <c r="M58" i="186"/>
  <c r="O58" i="186" s="1"/>
  <c r="G59" i="186" s="1"/>
  <c r="K13" i="186"/>
  <c r="V55" i="160"/>
  <c r="V36" i="160"/>
  <c r="V54" i="160"/>
  <c r="U29" i="157"/>
  <c r="E229" i="160"/>
  <c r="F229" i="160"/>
  <c r="D230" i="160"/>
  <c r="E230" i="160" s="1"/>
  <c r="B229" i="160"/>
  <c r="M198" i="160"/>
  <c r="D198" i="160"/>
  <c r="L225" i="160"/>
  <c r="L255" i="160"/>
  <c r="R34" i="143"/>
  <c r="Q34" i="143"/>
  <c r="L380" i="143"/>
  <c r="L123" i="143"/>
  <c r="D353" i="143"/>
  <c r="E353" i="143" s="1"/>
  <c r="E474" i="143"/>
  <c r="F444" i="143"/>
  <c r="C445" i="143"/>
  <c r="E444" i="143"/>
  <c r="E383" i="143"/>
  <c r="F383" i="143"/>
  <c r="D445" i="143"/>
  <c r="D446" i="143" s="1"/>
  <c r="D447" i="143" s="1"/>
  <c r="L89" i="143"/>
  <c r="M562" i="143"/>
  <c r="D563" i="143"/>
  <c r="F562" i="143"/>
  <c r="H562" i="143" s="1"/>
  <c r="C563" i="143"/>
  <c r="D321" i="143"/>
  <c r="F320" i="143"/>
  <c r="E320" i="143"/>
  <c r="D476" i="143"/>
  <c r="F475" i="143"/>
  <c r="C476" i="143"/>
  <c r="C321" i="143"/>
  <c r="E352" i="143"/>
  <c r="M352" i="143"/>
  <c r="F352" i="143"/>
  <c r="C415" i="143"/>
  <c r="E414" i="143"/>
  <c r="H414" i="143" s="1"/>
  <c r="D415" i="143"/>
  <c r="D384" i="143"/>
  <c r="C534" i="143"/>
  <c r="E533" i="143"/>
  <c r="C475" i="143"/>
  <c r="E475" i="143" s="1"/>
  <c r="F474" i="143"/>
  <c r="M474" i="143"/>
  <c r="F533" i="143"/>
  <c r="D534" i="143"/>
  <c r="D505" i="143"/>
  <c r="E504" i="143"/>
  <c r="H504" i="143" s="1"/>
  <c r="C505" i="143"/>
  <c r="F126" i="143"/>
  <c r="D127" i="143"/>
  <c r="F127" i="143" s="1"/>
  <c r="C127" i="143"/>
  <c r="E126" i="143"/>
  <c r="C160" i="143"/>
  <c r="F159" i="143"/>
  <c r="H159" i="143" s="1"/>
  <c r="E192" i="143"/>
  <c r="D193" i="143"/>
  <c r="D194" i="143" s="1"/>
  <c r="C195" i="143" s="1"/>
  <c r="D257" i="143"/>
  <c r="C258" i="143" s="1"/>
  <c r="F192" i="143"/>
  <c r="D94" i="143"/>
  <c r="F93" i="143"/>
  <c r="E93" i="143"/>
  <c r="C94" i="143"/>
  <c r="C60" i="143"/>
  <c r="E59" i="143"/>
  <c r="D60" i="143"/>
  <c r="F59" i="143"/>
  <c r="M192" i="143"/>
  <c r="M93" i="143"/>
  <c r="M126" i="143"/>
  <c r="D160" i="143"/>
  <c r="M159" i="143"/>
  <c r="C257" i="143"/>
  <c r="F256" i="143"/>
  <c r="H256" i="143" s="1"/>
  <c r="C225" i="143"/>
  <c r="E224" i="143"/>
  <c r="H224" i="143" s="1"/>
  <c r="D225" i="143"/>
  <c r="M288" i="143"/>
  <c r="D289" i="143"/>
  <c r="F288" i="143"/>
  <c r="H288" i="143" s="1"/>
  <c r="C289" i="143"/>
  <c r="J59" i="186" l="1"/>
  <c r="N59" i="186" s="1"/>
  <c r="J59" i="185"/>
  <c r="M15" i="185"/>
  <c r="M13" i="186"/>
  <c r="H229" i="160"/>
  <c r="N229" i="160" s="1"/>
  <c r="C231" i="160"/>
  <c r="B231" i="160" s="1"/>
  <c r="D231" i="160"/>
  <c r="C232" i="160" s="1"/>
  <c r="B232" i="160" s="1"/>
  <c r="F230" i="160"/>
  <c r="C199" i="160"/>
  <c r="B199" i="160" s="1"/>
  <c r="F198" i="160"/>
  <c r="E198" i="160"/>
  <c r="D199" i="160"/>
  <c r="R35" i="143"/>
  <c r="Q35" i="143"/>
  <c r="C354" i="143"/>
  <c r="F353" i="143"/>
  <c r="D354" i="143"/>
  <c r="D355" i="143" s="1"/>
  <c r="H474" i="143"/>
  <c r="H383" i="143"/>
  <c r="F446" i="143"/>
  <c r="H352" i="143"/>
  <c r="H444" i="143"/>
  <c r="F445" i="143"/>
  <c r="E445" i="143"/>
  <c r="D258" i="143"/>
  <c r="C259" i="143" s="1"/>
  <c r="C446" i="143"/>
  <c r="E446" i="143" s="1"/>
  <c r="C447" i="143"/>
  <c r="E447" i="143" s="1"/>
  <c r="C564" i="143"/>
  <c r="E563" i="143"/>
  <c r="F563" i="143"/>
  <c r="D564" i="143"/>
  <c r="O562" i="143"/>
  <c r="N562" i="143"/>
  <c r="N414" i="143"/>
  <c r="O414" i="143"/>
  <c r="C506" i="143"/>
  <c r="E505" i="143"/>
  <c r="D506" i="143"/>
  <c r="F505" i="143"/>
  <c r="O504" i="143"/>
  <c r="N504" i="143"/>
  <c r="D416" i="143"/>
  <c r="C416" i="143"/>
  <c r="F415" i="143"/>
  <c r="E415" i="143"/>
  <c r="D477" i="143"/>
  <c r="F476" i="143"/>
  <c r="C477" i="143"/>
  <c r="E476" i="143"/>
  <c r="C322" i="143"/>
  <c r="E321" i="143"/>
  <c r="F321" i="143"/>
  <c r="D322" i="143"/>
  <c r="F534" i="143"/>
  <c r="D535" i="143"/>
  <c r="E534" i="143"/>
  <c r="C535" i="143"/>
  <c r="D385" i="143"/>
  <c r="F384" i="143"/>
  <c r="E384" i="143"/>
  <c r="C385" i="143"/>
  <c r="C448" i="143"/>
  <c r="F447" i="143"/>
  <c r="D448" i="143"/>
  <c r="H533" i="143"/>
  <c r="H320" i="143"/>
  <c r="D195" i="143"/>
  <c r="D196" i="143" s="1"/>
  <c r="H126" i="143"/>
  <c r="F257" i="143"/>
  <c r="C194" i="143"/>
  <c r="E194" i="143" s="1"/>
  <c r="F193" i="143"/>
  <c r="F194" i="143"/>
  <c r="H59" i="143"/>
  <c r="O59" i="143" s="1"/>
  <c r="H192" i="143"/>
  <c r="E127" i="143"/>
  <c r="E193" i="143"/>
  <c r="C128" i="143"/>
  <c r="E257" i="143"/>
  <c r="D128" i="143"/>
  <c r="F128" i="143" s="1"/>
  <c r="N224" i="143"/>
  <c r="O224" i="143"/>
  <c r="D290" i="143"/>
  <c r="C290" i="143"/>
  <c r="F289" i="143"/>
  <c r="E289" i="143"/>
  <c r="O159" i="143"/>
  <c r="N159" i="143"/>
  <c r="C61" i="143"/>
  <c r="F60" i="143"/>
  <c r="E60" i="143"/>
  <c r="D61" i="143"/>
  <c r="H93" i="143"/>
  <c r="N288" i="143"/>
  <c r="O288" i="143"/>
  <c r="O256" i="143"/>
  <c r="D161" i="143"/>
  <c r="F160" i="143"/>
  <c r="E160" i="143"/>
  <c r="C161" i="143"/>
  <c r="D226" i="143"/>
  <c r="C226" i="143"/>
  <c r="E225" i="143"/>
  <c r="F225" i="143"/>
  <c r="N256" i="143"/>
  <c r="C95" i="143"/>
  <c r="F94" i="143"/>
  <c r="E94" i="143"/>
  <c r="D95" i="143"/>
  <c r="J16" i="185" l="1"/>
  <c r="K59" i="185"/>
  <c r="N59" i="185"/>
  <c r="J14" i="186"/>
  <c r="K59" i="186"/>
  <c r="O229" i="160"/>
  <c r="G230" i="160" s="1"/>
  <c r="E231" i="160"/>
  <c r="F231" i="160"/>
  <c r="D232" i="160"/>
  <c r="D233" i="160" s="1"/>
  <c r="H198" i="160"/>
  <c r="D200" i="160"/>
  <c r="F199" i="160"/>
  <c r="E199" i="160"/>
  <c r="C200" i="160"/>
  <c r="B200" i="160" s="1"/>
  <c r="R36" i="143"/>
  <c r="Q36" i="143"/>
  <c r="O474" i="143"/>
  <c r="G475" i="143" s="1"/>
  <c r="N444" i="143"/>
  <c r="N383" i="143"/>
  <c r="O352" i="143"/>
  <c r="G353" i="143" s="1"/>
  <c r="N192" i="143"/>
  <c r="N126" i="143"/>
  <c r="C355" i="143"/>
  <c r="E355" i="143" s="1"/>
  <c r="E354" i="143"/>
  <c r="F354" i="143"/>
  <c r="N474" i="143"/>
  <c r="N352" i="143"/>
  <c r="O383" i="143"/>
  <c r="G384" i="143" s="1"/>
  <c r="D259" i="143"/>
  <c r="F259" i="143" s="1"/>
  <c r="O444" i="143"/>
  <c r="G445" i="143" s="1"/>
  <c r="H445" i="143" s="1"/>
  <c r="O445" i="143" s="1"/>
  <c r="G446" i="143" s="1"/>
  <c r="F195" i="143"/>
  <c r="C196" i="143"/>
  <c r="E196" i="143" s="1"/>
  <c r="F258" i="143"/>
  <c r="E195" i="143"/>
  <c r="E258" i="143"/>
  <c r="C129" i="143"/>
  <c r="N59" i="143"/>
  <c r="D565" i="143"/>
  <c r="F564" i="143"/>
  <c r="C565" i="143"/>
  <c r="B565" i="143" s="1"/>
  <c r="E564" i="143"/>
  <c r="G563" i="143"/>
  <c r="O320" i="143"/>
  <c r="N320" i="143"/>
  <c r="O533" i="143"/>
  <c r="N533" i="143"/>
  <c r="C536" i="143"/>
  <c r="E535" i="143"/>
  <c r="F535" i="143"/>
  <c r="D536" i="143"/>
  <c r="G505" i="143"/>
  <c r="F385" i="143"/>
  <c r="E385" i="143"/>
  <c r="D386" i="143"/>
  <c r="C386" i="143"/>
  <c r="C356" i="143"/>
  <c r="F355" i="143"/>
  <c r="D356" i="143"/>
  <c r="G415" i="143"/>
  <c r="D323" i="143"/>
  <c r="F322" i="143"/>
  <c r="C323" i="143"/>
  <c r="E322" i="143"/>
  <c r="D478" i="143"/>
  <c r="F477" i="143"/>
  <c r="C478" i="143"/>
  <c r="E477" i="143"/>
  <c r="C417" i="143"/>
  <c r="E416" i="143"/>
  <c r="D417" i="143"/>
  <c r="F416" i="143"/>
  <c r="E448" i="143"/>
  <c r="C449" i="143"/>
  <c r="F448" i="143"/>
  <c r="D449" i="143"/>
  <c r="D507" i="143"/>
  <c r="E506" i="143"/>
  <c r="C507" i="143"/>
  <c r="F506" i="143"/>
  <c r="O126" i="143"/>
  <c r="G127" i="143" s="1"/>
  <c r="H127" i="143" s="1"/>
  <c r="N127" i="143" s="1"/>
  <c r="O192" i="143"/>
  <c r="G193" i="143" s="1"/>
  <c r="D129" i="143"/>
  <c r="F129" i="143" s="1"/>
  <c r="E128" i="143"/>
  <c r="D96" i="143"/>
  <c r="F95" i="143"/>
  <c r="C96" i="143"/>
  <c r="E95" i="143"/>
  <c r="D291" i="143"/>
  <c r="F290" i="143"/>
  <c r="C291" i="143"/>
  <c r="E290" i="143"/>
  <c r="G225" i="143"/>
  <c r="C227" i="143"/>
  <c r="E226" i="143"/>
  <c r="D227" i="143"/>
  <c r="F226" i="143"/>
  <c r="C162" i="143"/>
  <c r="F161" i="143"/>
  <c r="E161" i="143"/>
  <c r="D162" i="143"/>
  <c r="O93" i="143"/>
  <c r="N93" i="143"/>
  <c r="G60" i="143"/>
  <c r="G257" i="143"/>
  <c r="C62" i="143"/>
  <c r="E61" i="143"/>
  <c r="F61" i="143"/>
  <c r="D62" i="143"/>
  <c r="C197" i="143"/>
  <c r="F196" i="143"/>
  <c r="D197" i="143"/>
  <c r="G289" i="143"/>
  <c r="G160" i="143"/>
  <c r="M59" i="185" l="1"/>
  <c r="K16" i="185"/>
  <c r="K14" i="186"/>
  <c r="M59" i="186"/>
  <c r="F232" i="160"/>
  <c r="E232" i="160"/>
  <c r="C233" i="160"/>
  <c r="B233" i="160" s="1"/>
  <c r="F200" i="160"/>
  <c r="D201" i="160"/>
  <c r="E200" i="160"/>
  <c r="C201" i="160"/>
  <c r="B201" i="160" s="1"/>
  <c r="H230" i="160"/>
  <c r="D234" i="160"/>
  <c r="F233" i="160"/>
  <c r="C234" i="160"/>
  <c r="B234" i="160" s="1"/>
  <c r="N198" i="160"/>
  <c r="O198" i="160"/>
  <c r="R37" i="143"/>
  <c r="Q37" i="143"/>
  <c r="D260" i="143"/>
  <c r="D261" i="143" s="1"/>
  <c r="E259" i="143"/>
  <c r="C260" i="143"/>
  <c r="N445" i="143"/>
  <c r="H563" i="143"/>
  <c r="C566" i="143"/>
  <c r="B566" i="143" s="1"/>
  <c r="E565" i="143"/>
  <c r="D566" i="143"/>
  <c r="F565" i="143"/>
  <c r="H353" i="143"/>
  <c r="F356" i="143"/>
  <c r="E356" i="143"/>
  <c r="C357" i="143"/>
  <c r="D357" i="143"/>
  <c r="F536" i="143"/>
  <c r="D537" i="143"/>
  <c r="E536" i="143"/>
  <c r="C537" i="143"/>
  <c r="H446" i="143"/>
  <c r="C508" i="143"/>
  <c r="E507" i="143"/>
  <c r="D508" i="143"/>
  <c r="F507" i="143"/>
  <c r="C450" i="143"/>
  <c r="B450" i="143" s="1"/>
  <c r="E449" i="143"/>
  <c r="F449" i="143"/>
  <c r="D450" i="143"/>
  <c r="D418" i="143"/>
  <c r="C418" i="143"/>
  <c r="E417" i="143"/>
  <c r="F417" i="143"/>
  <c r="H475" i="143"/>
  <c r="D387" i="143"/>
  <c r="F386" i="143"/>
  <c r="E386" i="143"/>
  <c r="C387" i="143"/>
  <c r="G534" i="143"/>
  <c r="H415" i="143"/>
  <c r="H505" i="143"/>
  <c r="G321" i="143"/>
  <c r="H384" i="143"/>
  <c r="E478" i="143"/>
  <c r="C479" i="143"/>
  <c r="F478" i="143"/>
  <c r="D479" i="143"/>
  <c r="C324" i="143"/>
  <c r="E323" i="143"/>
  <c r="D324" i="143"/>
  <c r="F323" i="143"/>
  <c r="D130" i="143"/>
  <c r="C131" i="143" s="1"/>
  <c r="E129" i="143"/>
  <c r="C130" i="143"/>
  <c r="O127" i="143"/>
  <c r="G128" i="143" s="1"/>
  <c r="H60" i="143"/>
  <c r="G94" i="143"/>
  <c r="H225" i="143"/>
  <c r="H160" i="143"/>
  <c r="C198" i="143"/>
  <c r="E197" i="143"/>
  <c r="F197" i="143"/>
  <c r="D198" i="143"/>
  <c r="C63" i="143"/>
  <c r="F62" i="143"/>
  <c r="E62" i="143"/>
  <c r="D63" i="143"/>
  <c r="H257" i="143"/>
  <c r="D163" i="143"/>
  <c r="F162" i="143"/>
  <c r="C163" i="143"/>
  <c r="E162" i="143"/>
  <c r="H193" i="143"/>
  <c r="E291" i="143"/>
  <c r="D292" i="143"/>
  <c r="C292" i="143"/>
  <c r="F291" i="143"/>
  <c r="H289" i="143"/>
  <c r="D228" i="143"/>
  <c r="C228" i="143"/>
  <c r="F227" i="143"/>
  <c r="E227" i="143"/>
  <c r="D97" i="143"/>
  <c r="C97" i="143"/>
  <c r="F96" i="143"/>
  <c r="E96" i="143"/>
  <c r="M16" i="185" l="1"/>
  <c r="O59" i="185"/>
  <c r="G60" i="185" s="1"/>
  <c r="M14" i="186"/>
  <c r="O59" i="186"/>
  <c r="G60" i="186" s="1"/>
  <c r="E233" i="160"/>
  <c r="O230" i="160"/>
  <c r="E201" i="160"/>
  <c r="D202" i="160"/>
  <c r="F201" i="160"/>
  <c r="C202" i="160"/>
  <c r="B202" i="160" s="1"/>
  <c r="G199" i="160"/>
  <c r="E234" i="160"/>
  <c r="C235" i="160"/>
  <c r="B235" i="160" s="1"/>
  <c r="D235" i="160"/>
  <c r="F234" i="160"/>
  <c r="N230" i="160"/>
  <c r="R38" i="143"/>
  <c r="Q38" i="143"/>
  <c r="N563" i="143"/>
  <c r="N505" i="143"/>
  <c r="O475" i="143"/>
  <c r="G476" i="143" s="1"/>
  <c r="O446" i="143"/>
  <c r="G447" i="143" s="1"/>
  <c r="O415" i="143"/>
  <c r="G416" i="143" s="1"/>
  <c r="N353" i="143"/>
  <c r="N289" i="143"/>
  <c r="O257" i="143"/>
  <c r="G258" i="143" s="1"/>
  <c r="N225" i="143"/>
  <c r="O193" i="143"/>
  <c r="G194" i="143" s="1"/>
  <c r="F260" i="143"/>
  <c r="C261" i="143"/>
  <c r="E261" i="143" s="1"/>
  <c r="E260" i="143"/>
  <c r="D131" i="143"/>
  <c r="F131" i="143" s="1"/>
  <c r="F130" i="143"/>
  <c r="O353" i="143"/>
  <c r="G354" i="143" s="1"/>
  <c r="E130" i="143"/>
  <c r="N60" i="143"/>
  <c r="D567" i="143"/>
  <c r="C567" i="143"/>
  <c r="B567" i="143" s="1"/>
  <c r="F566" i="143"/>
  <c r="E566" i="143"/>
  <c r="O563" i="143"/>
  <c r="D509" i="143"/>
  <c r="C509" i="143"/>
  <c r="B509" i="143" s="1"/>
  <c r="E508" i="143"/>
  <c r="F508" i="143"/>
  <c r="C358" i="143"/>
  <c r="E357" i="143"/>
  <c r="F357" i="143"/>
  <c r="D358" i="143"/>
  <c r="N384" i="143"/>
  <c r="D480" i="143"/>
  <c r="F479" i="143"/>
  <c r="E479" i="143"/>
  <c r="C480" i="143"/>
  <c r="B480" i="143" s="1"/>
  <c r="H321" i="143"/>
  <c r="O505" i="143"/>
  <c r="H534" i="143"/>
  <c r="C388" i="143"/>
  <c r="F387" i="143"/>
  <c r="E387" i="143"/>
  <c r="D388" i="143"/>
  <c r="C419" i="143"/>
  <c r="E418" i="143"/>
  <c r="D419" i="143"/>
  <c r="F418" i="143"/>
  <c r="N446" i="143"/>
  <c r="E537" i="143"/>
  <c r="F537" i="143"/>
  <c r="C538" i="143"/>
  <c r="B538" i="143" s="1"/>
  <c r="D538" i="143"/>
  <c r="D325" i="143"/>
  <c r="F324" i="143"/>
  <c r="C325" i="143"/>
  <c r="E324" i="143"/>
  <c r="O384" i="143"/>
  <c r="N415" i="143"/>
  <c r="N475" i="143"/>
  <c r="E450" i="143"/>
  <c r="C451" i="143"/>
  <c r="B451" i="143" s="1"/>
  <c r="D451" i="143"/>
  <c r="F450" i="143"/>
  <c r="N257" i="143"/>
  <c r="O60" i="143"/>
  <c r="G61" i="143" s="1"/>
  <c r="C229" i="143"/>
  <c r="E228" i="143"/>
  <c r="D229" i="143"/>
  <c r="F228" i="143"/>
  <c r="C293" i="143"/>
  <c r="F292" i="143"/>
  <c r="E292" i="143"/>
  <c r="D293" i="143"/>
  <c r="H128" i="143"/>
  <c r="O289" i="143"/>
  <c r="D164" i="143"/>
  <c r="C164" i="143"/>
  <c r="F163" i="143"/>
  <c r="E163" i="143"/>
  <c r="N160" i="143"/>
  <c r="H94" i="143"/>
  <c r="C262" i="143"/>
  <c r="F261" i="143"/>
  <c r="D262" i="143"/>
  <c r="D98" i="143"/>
  <c r="F97" i="143"/>
  <c r="C98" i="143"/>
  <c r="E97" i="143"/>
  <c r="N193" i="143"/>
  <c r="C64" i="143"/>
  <c r="E63" i="143"/>
  <c r="F63" i="143"/>
  <c r="D64" i="143"/>
  <c r="C199" i="143"/>
  <c r="F198" i="143"/>
  <c r="E198" i="143"/>
  <c r="D199" i="143"/>
  <c r="O160" i="143"/>
  <c r="O225" i="143"/>
  <c r="J60" i="185" l="1"/>
  <c r="N60" i="185" s="1"/>
  <c r="J60" i="186"/>
  <c r="H199" i="160"/>
  <c r="G231" i="160"/>
  <c r="C236" i="160"/>
  <c r="B236" i="160" s="1"/>
  <c r="F235" i="160"/>
  <c r="D236" i="160"/>
  <c r="E235" i="160"/>
  <c r="C203" i="160"/>
  <c r="B203" i="160" s="1"/>
  <c r="F202" i="160"/>
  <c r="D203" i="160"/>
  <c r="E202" i="160"/>
  <c r="Q39" i="143"/>
  <c r="R39" i="143"/>
  <c r="N534" i="143"/>
  <c r="N321" i="143"/>
  <c r="C132" i="143"/>
  <c r="D132" i="143"/>
  <c r="F132" i="143" s="1"/>
  <c r="E131" i="143"/>
  <c r="O534" i="143"/>
  <c r="G535" i="143" s="1"/>
  <c r="G564" i="143"/>
  <c r="F567" i="143"/>
  <c r="C568" i="143"/>
  <c r="B568" i="143" s="1"/>
  <c r="D568" i="143"/>
  <c r="E567" i="143"/>
  <c r="E451" i="143"/>
  <c r="D452" i="143"/>
  <c r="F451" i="143"/>
  <c r="C452" i="143"/>
  <c r="B452" i="143" s="1"/>
  <c r="D539" i="143"/>
  <c r="F538" i="143"/>
  <c r="E538" i="143"/>
  <c r="C539" i="143"/>
  <c r="B539" i="143" s="1"/>
  <c r="G385" i="143"/>
  <c r="C326" i="143"/>
  <c r="E325" i="143"/>
  <c r="D326" i="143"/>
  <c r="F325" i="143"/>
  <c r="H476" i="143"/>
  <c r="D420" i="143"/>
  <c r="C420" i="143"/>
  <c r="B420" i="143" s="1"/>
  <c r="F419" i="143"/>
  <c r="E419" i="143"/>
  <c r="D389" i="143"/>
  <c r="F388" i="143"/>
  <c r="C389" i="143"/>
  <c r="E388" i="143"/>
  <c r="F358" i="143"/>
  <c r="E358" i="143"/>
  <c r="D359" i="143"/>
  <c r="C359" i="143"/>
  <c r="B359" i="143" s="1"/>
  <c r="H354" i="143"/>
  <c r="G506" i="143"/>
  <c r="O321" i="143"/>
  <c r="F480" i="143"/>
  <c r="E480" i="143"/>
  <c r="C481" i="143"/>
  <c r="B481" i="143" s="1"/>
  <c r="D481" i="143"/>
  <c r="H416" i="143"/>
  <c r="H447" i="143"/>
  <c r="E509" i="143"/>
  <c r="C510" i="143"/>
  <c r="B510" i="143" s="1"/>
  <c r="D510" i="143"/>
  <c r="F509" i="143"/>
  <c r="G161" i="143"/>
  <c r="E262" i="143"/>
  <c r="D263" i="143"/>
  <c r="C263" i="143"/>
  <c r="F262" i="143"/>
  <c r="E199" i="143"/>
  <c r="D200" i="143"/>
  <c r="F199" i="143"/>
  <c r="C200" i="143"/>
  <c r="B200" i="143" s="1"/>
  <c r="C65" i="143"/>
  <c r="F64" i="143"/>
  <c r="E64" i="143"/>
  <c r="D65" i="143"/>
  <c r="O94" i="143"/>
  <c r="O128" i="143"/>
  <c r="H258" i="143"/>
  <c r="H61" i="143"/>
  <c r="N128" i="143"/>
  <c r="E293" i="143"/>
  <c r="F293" i="143"/>
  <c r="D294" i="143"/>
  <c r="C294" i="143"/>
  <c r="D230" i="143"/>
  <c r="C230" i="143"/>
  <c r="E229" i="143"/>
  <c r="F229" i="143"/>
  <c r="G290" i="143"/>
  <c r="G226" i="143"/>
  <c r="E98" i="143"/>
  <c r="D99" i="143"/>
  <c r="C99" i="143"/>
  <c r="F98" i="143"/>
  <c r="N94" i="143"/>
  <c r="D165" i="143"/>
  <c r="F164" i="143"/>
  <c r="C165" i="143"/>
  <c r="E164" i="143"/>
  <c r="H194" i="143"/>
  <c r="J17" i="185" l="1"/>
  <c r="K60" i="185"/>
  <c r="N60" i="186"/>
  <c r="J15" i="186"/>
  <c r="K60" i="186"/>
  <c r="O199" i="160"/>
  <c r="G200" i="160" s="1"/>
  <c r="D204" i="160"/>
  <c r="C204" i="160"/>
  <c r="B204" i="160" s="1"/>
  <c r="F203" i="160"/>
  <c r="E203" i="160"/>
  <c r="E236" i="160"/>
  <c r="D237" i="160"/>
  <c r="C237" i="160"/>
  <c r="B237" i="160" s="1"/>
  <c r="F236" i="160"/>
  <c r="H231" i="160"/>
  <c r="N199" i="160"/>
  <c r="R40" i="143"/>
  <c r="Q40" i="143"/>
  <c r="N476" i="143"/>
  <c r="O447" i="143"/>
  <c r="G448" i="143" s="1"/>
  <c r="N416" i="143"/>
  <c r="O354" i="143"/>
  <c r="G355" i="143" s="1"/>
  <c r="N258" i="143"/>
  <c r="C133" i="143"/>
  <c r="D133" i="143"/>
  <c r="C134" i="143" s="1"/>
  <c r="E132" i="143"/>
  <c r="N354" i="143"/>
  <c r="N61" i="143"/>
  <c r="O416" i="143"/>
  <c r="G417" i="143" s="1"/>
  <c r="N447" i="143"/>
  <c r="F568" i="143"/>
  <c r="D569" i="143"/>
  <c r="E568" i="143"/>
  <c r="C569" i="143"/>
  <c r="B569" i="143" s="1"/>
  <c r="H564" i="143"/>
  <c r="C482" i="143"/>
  <c r="B482" i="143" s="1"/>
  <c r="E481" i="143"/>
  <c r="F481" i="143"/>
  <c r="D482" i="143"/>
  <c r="G322" i="143"/>
  <c r="H535" i="143"/>
  <c r="D511" i="143"/>
  <c r="F510" i="143"/>
  <c r="C511" i="143"/>
  <c r="B511" i="143" s="1"/>
  <c r="E510" i="143"/>
  <c r="D390" i="143"/>
  <c r="C390" i="143"/>
  <c r="B390" i="143" s="1"/>
  <c r="F389" i="143"/>
  <c r="E389" i="143"/>
  <c r="C421" i="143"/>
  <c r="B421" i="143" s="1"/>
  <c r="E420" i="143"/>
  <c r="D421" i="143"/>
  <c r="F420" i="143"/>
  <c r="O476" i="143"/>
  <c r="C540" i="143"/>
  <c r="B540" i="143" s="1"/>
  <c r="D540" i="143"/>
  <c r="E539" i="143"/>
  <c r="F539" i="143"/>
  <c r="D453" i="143"/>
  <c r="F452" i="143"/>
  <c r="C453" i="143"/>
  <c r="B453" i="143" s="1"/>
  <c r="E452" i="143"/>
  <c r="H506" i="143"/>
  <c r="C360" i="143"/>
  <c r="B360" i="143" s="1"/>
  <c r="E359" i="143"/>
  <c r="F359" i="143"/>
  <c r="D360" i="143"/>
  <c r="D327" i="143"/>
  <c r="F326" i="143"/>
  <c r="C327" i="143"/>
  <c r="B327" i="143" s="1"/>
  <c r="E326" i="143"/>
  <c r="H385" i="143"/>
  <c r="O61" i="143"/>
  <c r="G62" i="143" s="1"/>
  <c r="O258" i="143"/>
  <c r="G259" i="143" s="1"/>
  <c r="H226" i="143"/>
  <c r="D295" i="143"/>
  <c r="E294" i="143"/>
  <c r="C295" i="143"/>
  <c r="F294" i="143"/>
  <c r="C66" i="143"/>
  <c r="E65" i="143"/>
  <c r="F65" i="143"/>
  <c r="D66" i="143"/>
  <c r="D264" i="143"/>
  <c r="E263" i="143"/>
  <c r="C264" i="143"/>
  <c r="B264" i="143" s="1"/>
  <c r="F263" i="143"/>
  <c r="E165" i="143"/>
  <c r="D166" i="143"/>
  <c r="C166" i="143"/>
  <c r="F165" i="143"/>
  <c r="H290" i="143"/>
  <c r="E230" i="143"/>
  <c r="C231" i="143"/>
  <c r="D231" i="143"/>
  <c r="F230" i="143"/>
  <c r="G95" i="143"/>
  <c r="D201" i="143"/>
  <c r="F200" i="143"/>
  <c r="C201" i="143"/>
  <c r="B201" i="143" s="1"/>
  <c r="E200" i="143"/>
  <c r="N194" i="143"/>
  <c r="D100" i="143"/>
  <c r="F99" i="143"/>
  <c r="E99" i="143"/>
  <c r="C100" i="143"/>
  <c r="G129" i="143"/>
  <c r="O194" i="143"/>
  <c r="H161" i="143"/>
  <c r="M60" i="186" l="1"/>
  <c r="K15" i="186"/>
  <c r="K17" i="185"/>
  <c r="M60" i="185"/>
  <c r="N231" i="160"/>
  <c r="D238" i="160"/>
  <c r="E237" i="160"/>
  <c r="F237" i="160"/>
  <c r="C238" i="160"/>
  <c r="B238" i="160" s="1"/>
  <c r="C205" i="160"/>
  <c r="B205" i="160" s="1"/>
  <c r="E204" i="160"/>
  <c r="F204" i="160"/>
  <c r="D205" i="160"/>
  <c r="O231" i="160"/>
  <c r="H200" i="160"/>
  <c r="N200" i="160" s="1"/>
  <c r="R41" i="143"/>
  <c r="Q41" i="143"/>
  <c r="O564" i="143"/>
  <c r="O506" i="143"/>
  <c r="G507" i="143" s="1"/>
  <c r="N385" i="143"/>
  <c r="N290" i="143"/>
  <c r="D134" i="143"/>
  <c r="C135" i="143" s="1"/>
  <c r="B135" i="143" s="1"/>
  <c r="F133" i="143"/>
  <c r="E133" i="143"/>
  <c r="N506" i="143"/>
  <c r="G565" i="143"/>
  <c r="D570" i="143"/>
  <c r="E569" i="143"/>
  <c r="C570" i="143"/>
  <c r="B570" i="143" s="1"/>
  <c r="F569" i="143"/>
  <c r="N564" i="143"/>
  <c r="F360" i="143"/>
  <c r="E360" i="143"/>
  <c r="D361" i="143"/>
  <c r="C361" i="143"/>
  <c r="B361" i="143" s="1"/>
  <c r="F540" i="143"/>
  <c r="C541" i="143"/>
  <c r="B541" i="143" s="1"/>
  <c r="D541" i="143"/>
  <c r="E540" i="143"/>
  <c r="D422" i="143"/>
  <c r="C422" i="143"/>
  <c r="B422" i="143" s="1"/>
  <c r="E421" i="143"/>
  <c r="F421" i="143"/>
  <c r="H355" i="143"/>
  <c r="C454" i="143"/>
  <c r="B454" i="143" s="1"/>
  <c r="F453" i="143"/>
  <c r="E453" i="143"/>
  <c r="D454" i="143"/>
  <c r="H448" i="143"/>
  <c r="G477" i="143"/>
  <c r="D391" i="143"/>
  <c r="F390" i="143"/>
  <c r="C391" i="143"/>
  <c r="B391" i="143" s="1"/>
  <c r="E390" i="143"/>
  <c r="O535" i="143"/>
  <c r="H322" i="143"/>
  <c r="H417" i="143"/>
  <c r="O385" i="143"/>
  <c r="C328" i="143"/>
  <c r="B328" i="143" s="1"/>
  <c r="E327" i="143"/>
  <c r="D328" i="143"/>
  <c r="F327" i="143"/>
  <c r="C512" i="143"/>
  <c r="B512" i="143" s="1"/>
  <c r="E511" i="143"/>
  <c r="D512" i="143"/>
  <c r="F511" i="143"/>
  <c r="N535" i="143"/>
  <c r="C483" i="143"/>
  <c r="B483" i="143" s="1"/>
  <c r="F482" i="143"/>
  <c r="D483" i="143"/>
  <c r="E482" i="143"/>
  <c r="O290" i="143"/>
  <c r="G291" i="143" s="1"/>
  <c r="H62" i="143"/>
  <c r="H129" i="143"/>
  <c r="H95" i="143"/>
  <c r="D232" i="143"/>
  <c r="F231" i="143"/>
  <c r="C232" i="143"/>
  <c r="B232" i="143" s="1"/>
  <c r="E231" i="143"/>
  <c r="C67" i="143"/>
  <c r="F66" i="143"/>
  <c r="E66" i="143"/>
  <c r="D67" i="143"/>
  <c r="O161" i="143"/>
  <c r="C296" i="143"/>
  <c r="B296" i="143" s="1"/>
  <c r="E295" i="143"/>
  <c r="D296" i="143"/>
  <c r="F295" i="143"/>
  <c r="G195" i="143"/>
  <c r="C202" i="143"/>
  <c r="B202" i="143" s="1"/>
  <c r="D202" i="143"/>
  <c r="F201" i="143"/>
  <c r="E201" i="143"/>
  <c r="D167" i="143"/>
  <c r="F166" i="143"/>
  <c r="E166" i="143"/>
  <c r="C167" i="143"/>
  <c r="F100" i="143"/>
  <c r="E100" i="143"/>
  <c r="D101" i="143"/>
  <c r="C101" i="143"/>
  <c r="H259" i="143"/>
  <c r="O226" i="143"/>
  <c r="N161" i="143"/>
  <c r="C265" i="143"/>
  <c r="B265" i="143" s="1"/>
  <c r="E264" i="143"/>
  <c r="D265" i="143"/>
  <c r="F264" i="143"/>
  <c r="N226" i="143"/>
  <c r="M15" i="186" l="1"/>
  <c r="O60" i="186"/>
  <c r="G61" i="186" s="1"/>
  <c r="M17" i="185"/>
  <c r="O60" i="185"/>
  <c r="G61" i="185" s="1"/>
  <c r="C239" i="160"/>
  <c r="B239" i="160" s="1"/>
  <c r="D239" i="160"/>
  <c r="E238" i="160"/>
  <c r="F238" i="160"/>
  <c r="G232" i="160"/>
  <c r="O200" i="160"/>
  <c r="E205" i="160"/>
  <c r="D206" i="160"/>
  <c r="C206" i="160"/>
  <c r="B206" i="160" s="1"/>
  <c r="F205" i="160"/>
  <c r="R42" i="143"/>
  <c r="Q42" i="143"/>
  <c r="O448" i="143"/>
  <c r="G449" i="143" s="1"/>
  <c r="N417" i="143"/>
  <c r="N355" i="143"/>
  <c r="O322" i="143"/>
  <c r="G323" i="143" s="1"/>
  <c r="D135" i="143"/>
  <c r="C136" i="143" s="1"/>
  <c r="B136" i="143" s="1"/>
  <c r="E134" i="143"/>
  <c r="F134" i="143"/>
  <c r="N259" i="143"/>
  <c r="N129" i="143"/>
  <c r="N95" i="143"/>
  <c r="O417" i="143"/>
  <c r="G418" i="143" s="1"/>
  <c r="N448" i="143"/>
  <c r="O62" i="143"/>
  <c r="G63" i="143" s="1"/>
  <c r="C571" i="143"/>
  <c r="B571" i="143" s="1"/>
  <c r="D571" i="143"/>
  <c r="E570" i="143"/>
  <c r="F570" i="143"/>
  <c r="H565" i="143"/>
  <c r="F541" i="143"/>
  <c r="C542" i="143"/>
  <c r="B542" i="143" s="1"/>
  <c r="E541" i="143"/>
  <c r="D542" i="143"/>
  <c r="F483" i="143"/>
  <c r="D484" i="143"/>
  <c r="E483" i="143"/>
  <c r="C484" i="143"/>
  <c r="B484" i="143" s="1"/>
  <c r="H477" i="143"/>
  <c r="O355" i="143"/>
  <c r="E361" i="143"/>
  <c r="D362" i="143"/>
  <c r="F361" i="143"/>
  <c r="C362" i="143"/>
  <c r="B362" i="143" s="1"/>
  <c r="C513" i="143"/>
  <c r="B513" i="143" s="1"/>
  <c r="F512" i="143"/>
  <c r="E512" i="143"/>
  <c r="D513" i="143"/>
  <c r="G386" i="143"/>
  <c r="N322" i="143"/>
  <c r="D455" i="143"/>
  <c r="F454" i="143"/>
  <c r="C455" i="143"/>
  <c r="B455" i="143" s="1"/>
  <c r="E454" i="143"/>
  <c r="E422" i="143"/>
  <c r="C423" i="143"/>
  <c r="B423" i="143" s="1"/>
  <c r="D423" i="143"/>
  <c r="F422" i="143"/>
  <c r="D329" i="143"/>
  <c r="F328" i="143"/>
  <c r="C329" i="143"/>
  <c r="B329" i="143" s="1"/>
  <c r="E328" i="143"/>
  <c r="G536" i="143"/>
  <c r="E391" i="143"/>
  <c r="D392" i="143"/>
  <c r="C392" i="143"/>
  <c r="B392" i="143" s="1"/>
  <c r="F391" i="143"/>
  <c r="H507" i="143"/>
  <c r="O95" i="143"/>
  <c r="G96" i="143" s="1"/>
  <c r="O259" i="143"/>
  <c r="G260" i="143" s="1"/>
  <c r="O129" i="143"/>
  <c r="G130" i="143" s="1"/>
  <c r="D203" i="143"/>
  <c r="F202" i="143"/>
  <c r="C203" i="143"/>
  <c r="B203" i="143" s="1"/>
  <c r="E202" i="143"/>
  <c r="H195" i="143"/>
  <c r="D266" i="143"/>
  <c r="F265" i="143"/>
  <c r="E265" i="143"/>
  <c r="C266" i="143"/>
  <c r="B266" i="143" s="1"/>
  <c r="G227" i="143"/>
  <c r="D102" i="143"/>
  <c r="F101" i="143"/>
  <c r="E101" i="143"/>
  <c r="C102" i="143"/>
  <c r="B102" i="143" s="1"/>
  <c r="G162" i="143"/>
  <c r="D297" i="143"/>
  <c r="F296" i="143"/>
  <c r="C297" i="143"/>
  <c r="B297" i="143" s="1"/>
  <c r="E296" i="143"/>
  <c r="C68" i="143"/>
  <c r="B68" i="143" s="1"/>
  <c r="E67" i="143"/>
  <c r="F67" i="143"/>
  <c r="D68" i="143"/>
  <c r="C233" i="143"/>
  <c r="B233" i="143" s="1"/>
  <c r="E232" i="143"/>
  <c r="D233" i="143"/>
  <c r="F232" i="143"/>
  <c r="N62" i="143"/>
  <c r="F167" i="143"/>
  <c r="D168" i="143"/>
  <c r="E167" i="143"/>
  <c r="C168" i="143"/>
  <c r="B168" i="143" s="1"/>
  <c r="H291" i="143"/>
  <c r="J61" i="186" l="1"/>
  <c r="J61" i="185"/>
  <c r="D207" i="160"/>
  <c r="F206" i="160"/>
  <c r="C207" i="160"/>
  <c r="B207" i="160" s="1"/>
  <c r="E206" i="160"/>
  <c r="H232" i="160"/>
  <c r="C240" i="160"/>
  <c r="B240" i="160" s="1"/>
  <c r="D240" i="160"/>
  <c r="E239" i="160"/>
  <c r="F239" i="160"/>
  <c r="G201" i="160"/>
  <c r="R43" i="143"/>
  <c r="Q43" i="143"/>
  <c r="I577" i="143"/>
  <c r="I572" i="143"/>
  <c r="I566" i="143"/>
  <c r="I575" i="143"/>
  <c r="I582" i="143"/>
  <c r="I574" i="143"/>
  <c r="I573" i="143"/>
  <c r="I580" i="143"/>
  <c r="I581" i="143"/>
  <c r="I567" i="143"/>
  <c r="I571" i="143"/>
  <c r="I583" i="143"/>
  <c r="I565" i="143"/>
  <c r="K565" i="143" s="1"/>
  <c r="M565" i="143" s="1"/>
  <c r="I576" i="143"/>
  <c r="I578" i="143"/>
  <c r="I569" i="143"/>
  <c r="I579" i="143"/>
  <c r="I570" i="143"/>
  <c r="I584" i="143"/>
  <c r="I568" i="143"/>
  <c r="O507" i="143"/>
  <c r="G508" i="143" s="1"/>
  <c r="N477" i="143"/>
  <c r="D136" i="143"/>
  <c r="C137" i="143" s="1"/>
  <c r="B137" i="143" s="1"/>
  <c r="F135" i="143"/>
  <c r="E135" i="143"/>
  <c r="N291" i="143"/>
  <c r="O195" i="143"/>
  <c r="G196" i="143" s="1"/>
  <c r="O477" i="143"/>
  <c r="G478" i="143" s="1"/>
  <c r="N565" i="143"/>
  <c r="F571" i="143"/>
  <c r="D572" i="143"/>
  <c r="C572" i="143"/>
  <c r="B572" i="143" s="1"/>
  <c r="E571" i="143"/>
  <c r="C393" i="143"/>
  <c r="B393" i="143" s="1"/>
  <c r="F392" i="143"/>
  <c r="E392" i="143"/>
  <c r="D393" i="143"/>
  <c r="H418" i="143"/>
  <c r="N507" i="143"/>
  <c r="D424" i="143"/>
  <c r="F423" i="143"/>
  <c r="C424" i="143"/>
  <c r="B424" i="143" s="1"/>
  <c r="E423" i="143"/>
  <c r="D363" i="143"/>
  <c r="F362" i="143"/>
  <c r="E362" i="143"/>
  <c r="C363" i="143"/>
  <c r="B363" i="143" s="1"/>
  <c r="D543" i="143"/>
  <c r="E542" i="143"/>
  <c r="F542" i="143"/>
  <c r="C543" i="143"/>
  <c r="B543" i="143" s="1"/>
  <c r="H386" i="143"/>
  <c r="H323" i="143"/>
  <c r="H536" i="143"/>
  <c r="E329" i="143"/>
  <c r="F329" i="143"/>
  <c r="D330" i="143"/>
  <c r="C330" i="143"/>
  <c r="B330" i="143" s="1"/>
  <c r="F455" i="143"/>
  <c r="E455" i="143"/>
  <c r="D456" i="143"/>
  <c r="C456" i="143"/>
  <c r="B456" i="143" s="1"/>
  <c r="F513" i="143"/>
  <c r="D514" i="143"/>
  <c r="E513" i="143"/>
  <c r="C514" i="143"/>
  <c r="B514" i="143" s="1"/>
  <c r="G356" i="143"/>
  <c r="D485" i="143"/>
  <c r="E484" i="143"/>
  <c r="C485" i="143"/>
  <c r="B485" i="143" s="1"/>
  <c r="F484" i="143"/>
  <c r="H449" i="143"/>
  <c r="O291" i="143"/>
  <c r="G292" i="143" s="1"/>
  <c r="N195" i="143"/>
  <c r="H260" i="143"/>
  <c r="D69" i="143"/>
  <c r="F68" i="143"/>
  <c r="E68" i="143"/>
  <c r="C69" i="143"/>
  <c r="B69" i="143" s="1"/>
  <c r="F297" i="143"/>
  <c r="C298" i="143"/>
  <c r="B298" i="143" s="1"/>
  <c r="E297" i="143"/>
  <c r="D298" i="143"/>
  <c r="H96" i="143"/>
  <c r="H227" i="143"/>
  <c r="D267" i="143"/>
  <c r="C267" i="143"/>
  <c r="B267" i="143" s="1"/>
  <c r="F266" i="143"/>
  <c r="E266" i="143"/>
  <c r="H63" i="143"/>
  <c r="C169" i="143"/>
  <c r="B169" i="143" s="1"/>
  <c r="E168" i="143"/>
  <c r="F168" i="143"/>
  <c r="D169" i="143"/>
  <c r="D234" i="143"/>
  <c r="F233" i="143"/>
  <c r="E233" i="143"/>
  <c r="C234" i="143"/>
  <c r="B234" i="143" s="1"/>
  <c r="H162" i="143"/>
  <c r="F102" i="143"/>
  <c r="D103" i="143"/>
  <c r="E102" i="143"/>
  <c r="C103" i="143"/>
  <c r="B103" i="143" s="1"/>
  <c r="H130" i="143"/>
  <c r="F203" i="143"/>
  <c r="D204" i="143"/>
  <c r="E203" i="143"/>
  <c r="C204" i="143"/>
  <c r="B204" i="143" s="1"/>
  <c r="K61" i="186" l="1"/>
  <c r="J16" i="186"/>
  <c r="N61" i="185"/>
  <c r="K61" i="185"/>
  <c r="J18" i="185"/>
  <c r="N61" i="186"/>
  <c r="N232" i="160"/>
  <c r="F240" i="160"/>
  <c r="C241" i="160"/>
  <c r="B241" i="160" s="1"/>
  <c r="D241" i="160"/>
  <c r="E240" i="160"/>
  <c r="O232" i="160"/>
  <c r="H201" i="160"/>
  <c r="C208" i="160"/>
  <c r="B208" i="160" s="1"/>
  <c r="D208" i="160"/>
  <c r="F207" i="160"/>
  <c r="E207" i="160"/>
  <c r="R44" i="143"/>
  <c r="Q44" i="143"/>
  <c r="O565" i="143"/>
  <c r="G566" i="143" s="1"/>
  <c r="J566" i="143" s="1"/>
  <c r="K566" i="143" s="1"/>
  <c r="M566" i="143" s="1"/>
  <c r="N536" i="143"/>
  <c r="E136" i="143"/>
  <c r="O449" i="143"/>
  <c r="G450" i="143" s="1"/>
  <c r="H450" i="143" s="1"/>
  <c r="I456" i="143" s="1"/>
  <c r="F136" i="143"/>
  <c r="D137" i="143"/>
  <c r="C138" i="143" s="1"/>
  <c r="B138" i="143" s="1"/>
  <c r="N418" i="143"/>
  <c r="O386" i="143"/>
  <c r="G387" i="143" s="1"/>
  <c r="N323" i="143"/>
  <c r="N260" i="143"/>
  <c r="N227" i="143"/>
  <c r="O162" i="143"/>
  <c r="G163" i="143" s="1"/>
  <c r="O130" i="143"/>
  <c r="G131" i="143" s="1"/>
  <c r="N96" i="143"/>
  <c r="N449" i="143"/>
  <c r="O418" i="143"/>
  <c r="G419" i="143" s="1"/>
  <c r="O536" i="143"/>
  <c r="G537" i="143" s="1"/>
  <c r="O63" i="143"/>
  <c r="G64" i="143" s="1"/>
  <c r="F572" i="143"/>
  <c r="D573" i="143"/>
  <c r="E572" i="143"/>
  <c r="C573" i="143"/>
  <c r="B573" i="143" s="1"/>
  <c r="D515" i="143"/>
  <c r="E514" i="143"/>
  <c r="C515" i="143"/>
  <c r="B515" i="143" s="1"/>
  <c r="F514" i="143"/>
  <c r="H356" i="143"/>
  <c r="O323" i="143"/>
  <c r="N386" i="143"/>
  <c r="E393" i="143"/>
  <c r="D394" i="143"/>
  <c r="C394" i="143"/>
  <c r="B394" i="143" s="1"/>
  <c r="F393" i="143"/>
  <c r="C486" i="143"/>
  <c r="B486" i="143" s="1"/>
  <c r="E485" i="143"/>
  <c r="F485" i="143"/>
  <c r="D486" i="143"/>
  <c r="D457" i="143"/>
  <c r="E456" i="143"/>
  <c r="F456" i="143"/>
  <c r="C457" i="143"/>
  <c r="B457" i="143" s="1"/>
  <c r="D331" i="143"/>
  <c r="F330" i="143"/>
  <c r="C331" i="143"/>
  <c r="B331" i="143" s="1"/>
  <c r="E330" i="143"/>
  <c r="H478" i="143"/>
  <c r="C544" i="143"/>
  <c r="B544" i="143" s="1"/>
  <c r="F543" i="143"/>
  <c r="E543" i="143"/>
  <c r="D544" i="143"/>
  <c r="C364" i="143"/>
  <c r="B364" i="143" s="1"/>
  <c r="D364" i="143"/>
  <c r="F363" i="143"/>
  <c r="E363" i="143"/>
  <c r="C425" i="143"/>
  <c r="B425" i="143" s="1"/>
  <c r="E424" i="143"/>
  <c r="D425" i="143"/>
  <c r="F424" i="143"/>
  <c r="H508" i="143"/>
  <c r="O227" i="143"/>
  <c r="G228" i="143" s="1"/>
  <c r="N63" i="143"/>
  <c r="O96" i="143"/>
  <c r="G97" i="143" s="1"/>
  <c r="N130" i="143"/>
  <c r="D299" i="143"/>
  <c r="E298" i="143"/>
  <c r="F298" i="143"/>
  <c r="C299" i="143"/>
  <c r="B299" i="143" s="1"/>
  <c r="D170" i="143"/>
  <c r="F169" i="143"/>
  <c r="C170" i="143"/>
  <c r="B170" i="143" s="1"/>
  <c r="E169" i="143"/>
  <c r="H292" i="143"/>
  <c r="C70" i="143"/>
  <c r="B70" i="143" s="1"/>
  <c r="F69" i="143"/>
  <c r="E69" i="143"/>
  <c r="D70" i="143"/>
  <c r="O260" i="143"/>
  <c r="N162" i="143"/>
  <c r="F234" i="143"/>
  <c r="C235" i="143"/>
  <c r="B235" i="143" s="1"/>
  <c r="E234" i="143"/>
  <c r="D235" i="143"/>
  <c r="D205" i="143"/>
  <c r="E204" i="143"/>
  <c r="C205" i="143"/>
  <c r="B205" i="143" s="1"/>
  <c r="F204" i="143"/>
  <c r="C104" i="143"/>
  <c r="B104" i="143" s="1"/>
  <c r="E103" i="143"/>
  <c r="D104" i="143"/>
  <c r="F103" i="143"/>
  <c r="C268" i="143"/>
  <c r="B268" i="143" s="1"/>
  <c r="D268" i="143"/>
  <c r="E267" i="143"/>
  <c r="F267" i="143"/>
  <c r="H196" i="143"/>
  <c r="M61" i="185" l="1"/>
  <c r="K18" i="185"/>
  <c r="M61" i="186"/>
  <c r="K16" i="186"/>
  <c r="N201" i="160"/>
  <c r="E208" i="160"/>
  <c r="D209" i="160"/>
  <c r="F208" i="160"/>
  <c r="C209" i="160"/>
  <c r="B209" i="160" s="1"/>
  <c r="O201" i="160"/>
  <c r="D242" i="160"/>
  <c r="E241" i="160"/>
  <c r="F241" i="160"/>
  <c r="C242" i="160"/>
  <c r="B242" i="160" s="1"/>
  <c r="G233" i="160"/>
  <c r="N566" i="143"/>
  <c r="R45" i="143"/>
  <c r="Q45" i="143"/>
  <c r="O508" i="143"/>
  <c r="G509" i="143" s="1"/>
  <c r="E137" i="143"/>
  <c r="F137" i="143"/>
  <c r="N478" i="143"/>
  <c r="I450" i="143"/>
  <c r="K450" i="143" s="1"/>
  <c r="M450" i="143" s="1"/>
  <c r="I467" i="143"/>
  <c r="I463" i="143"/>
  <c r="I469" i="143"/>
  <c r="I464" i="143"/>
  <c r="I461" i="143"/>
  <c r="D138" i="143"/>
  <c r="D139" i="143" s="1"/>
  <c r="I453" i="143"/>
  <c r="I460" i="143"/>
  <c r="I454" i="143"/>
  <c r="I459" i="143"/>
  <c r="I466" i="143"/>
  <c r="N450" i="143"/>
  <c r="I458" i="143"/>
  <c r="I455" i="143"/>
  <c r="I465" i="143"/>
  <c r="I452" i="143"/>
  <c r="I468" i="143"/>
  <c r="I451" i="143"/>
  <c r="I457" i="143"/>
  <c r="I462" i="143"/>
  <c r="N356" i="143"/>
  <c r="O292" i="143"/>
  <c r="G293" i="143" s="1"/>
  <c r="N196" i="143"/>
  <c r="O450" i="143"/>
  <c r="G451" i="143" s="1"/>
  <c r="O566" i="143"/>
  <c r="D574" i="143"/>
  <c r="E573" i="143"/>
  <c r="C574" i="143"/>
  <c r="B574" i="143" s="1"/>
  <c r="F573" i="143"/>
  <c r="D365" i="143"/>
  <c r="C365" i="143"/>
  <c r="B365" i="143" s="1"/>
  <c r="F364" i="143"/>
  <c r="E364" i="143"/>
  <c r="D395" i="143"/>
  <c r="E394" i="143"/>
  <c r="C395" i="143"/>
  <c r="B395" i="143" s="1"/>
  <c r="F394" i="143"/>
  <c r="H419" i="143"/>
  <c r="O419" i="143" s="1"/>
  <c r="G420" i="143" s="1"/>
  <c r="N508" i="143"/>
  <c r="O478" i="143"/>
  <c r="C332" i="143"/>
  <c r="B332" i="143" s="1"/>
  <c r="F331" i="143"/>
  <c r="D332" i="143"/>
  <c r="E331" i="143"/>
  <c r="C458" i="143"/>
  <c r="B458" i="143" s="1"/>
  <c r="E457" i="143"/>
  <c r="F457" i="143"/>
  <c r="D458" i="143"/>
  <c r="O356" i="143"/>
  <c r="D545" i="143"/>
  <c r="C545" i="143"/>
  <c r="B545" i="143" s="1"/>
  <c r="E544" i="143"/>
  <c r="F544" i="143"/>
  <c r="E486" i="143"/>
  <c r="C487" i="143"/>
  <c r="B487" i="143" s="1"/>
  <c r="D487" i="143"/>
  <c r="F486" i="143"/>
  <c r="H537" i="143"/>
  <c r="C516" i="143"/>
  <c r="B516" i="143" s="1"/>
  <c r="E515" i="143"/>
  <c r="D516" i="143"/>
  <c r="F515" i="143"/>
  <c r="C426" i="143"/>
  <c r="B426" i="143" s="1"/>
  <c r="F425" i="143"/>
  <c r="E425" i="143"/>
  <c r="D426" i="143"/>
  <c r="G324" i="143"/>
  <c r="H387" i="143"/>
  <c r="O196" i="143"/>
  <c r="G197" i="143" s="1"/>
  <c r="N292" i="143"/>
  <c r="F268" i="143"/>
  <c r="D269" i="143"/>
  <c r="E268" i="143"/>
  <c r="C269" i="143"/>
  <c r="B269" i="143" s="1"/>
  <c r="H97" i="143"/>
  <c r="D105" i="143"/>
  <c r="C105" i="143"/>
  <c r="B105" i="143" s="1"/>
  <c r="F104" i="143"/>
  <c r="E104" i="143"/>
  <c r="H131" i="143"/>
  <c r="C206" i="143"/>
  <c r="B206" i="143" s="1"/>
  <c r="E205" i="143"/>
  <c r="D206" i="143"/>
  <c r="F205" i="143"/>
  <c r="G261" i="143"/>
  <c r="D236" i="143"/>
  <c r="E235" i="143"/>
  <c r="C236" i="143"/>
  <c r="B236" i="143" s="1"/>
  <c r="F235" i="143"/>
  <c r="F70" i="143"/>
  <c r="D71" i="143"/>
  <c r="C71" i="143"/>
  <c r="B71" i="143" s="1"/>
  <c r="E70" i="143"/>
  <c r="H228" i="143"/>
  <c r="F170" i="143"/>
  <c r="C171" i="143"/>
  <c r="B171" i="143" s="1"/>
  <c r="E170" i="143"/>
  <c r="D171" i="143"/>
  <c r="C300" i="143"/>
  <c r="B300" i="143" s="1"/>
  <c r="D300" i="143"/>
  <c r="F299" i="143"/>
  <c r="E299" i="143"/>
  <c r="H64" i="143"/>
  <c r="N64" i="143" s="1"/>
  <c r="H163" i="143"/>
  <c r="M16" i="186" l="1"/>
  <c r="M18" i="185"/>
  <c r="O61" i="186"/>
  <c r="G62" i="186" s="1"/>
  <c r="O61" i="185"/>
  <c r="G62" i="185" s="1"/>
  <c r="H233" i="160"/>
  <c r="C243" i="160"/>
  <c r="B243" i="160" s="1"/>
  <c r="D243" i="160"/>
  <c r="E242" i="160"/>
  <c r="F242" i="160"/>
  <c r="F209" i="160"/>
  <c r="D210" i="160"/>
  <c r="C210" i="160"/>
  <c r="B210" i="160" s="1"/>
  <c r="E209" i="160"/>
  <c r="G202" i="160"/>
  <c r="R46" i="143"/>
  <c r="Q46" i="143"/>
  <c r="O537" i="143"/>
  <c r="G538" i="143" s="1"/>
  <c r="F138" i="143"/>
  <c r="E138" i="143"/>
  <c r="C139" i="143"/>
  <c r="B139" i="143" s="1"/>
  <c r="O451" i="143"/>
  <c r="G452" i="143" s="1"/>
  <c r="J451" i="143"/>
  <c r="K451" i="143" s="1"/>
  <c r="M451" i="143" s="1"/>
  <c r="O387" i="143"/>
  <c r="G388" i="143" s="1"/>
  <c r="O228" i="143"/>
  <c r="G229" i="143" s="1"/>
  <c r="O163" i="143"/>
  <c r="G164" i="143" s="1"/>
  <c r="N131" i="143"/>
  <c r="O97" i="143"/>
  <c r="G98" i="143" s="1"/>
  <c r="N228" i="143"/>
  <c r="N387" i="143"/>
  <c r="N537" i="143"/>
  <c r="N163" i="143"/>
  <c r="C575" i="143"/>
  <c r="B575" i="143" s="1"/>
  <c r="F574" i="143"/>
  <c r="E574" i="143"/>
  <c r="D575" i="143"/>
  <c r="G567" i="143"/>
  <c r="J452" i="143"/>
  <c r="H471" i="143"/>
  <c r="H420" i="143"/>
  <c r="F545" i="143"/>
  <c r="D546" i="143"/>
  <c r="C546" i="143"/>
  <c r="B546" i="143" s="1"/>
  <c r="E545" i="143"/>
  <c r="H324" i="143"/>
  <c r="G357" i="143"/>
  <c r="N419" i="143"/>
  <c r="C396" i="143"/>
  <c r="B396" i="143" s="1"/>
  <c r="E395" i="143"/>
  <c r="D396" i="143"/>
  <c r="F395" i="143"/>
  <c r="F365" i="143"/>
  <c r="C366" i="143"/>
  <c r="B366" i="143" s="1"/>
  <c r="E365" i="143"/>
  <c r="D366" i="143"/>
  <c r="F426" i="143"/>
  <c r="D427" i="143"/>
  <c r="C427" i="143"/>
  <c r="B427" i="143" s="1"/>
  <c r="E426" i="143"/>
  <c r="F487" i="143"/>
  <c r="D488" i="143"/>
  <c r="C488" i="143"/>
  <c r="B488" i="143" s="1"/>
  <c r="E487" i="143"/>
  <c r="C459" i="143"/>
  <c r="B459" i="143" s="1"/>
  <c r="F458" i="143"/>
  <c r="D459" i="143"/>
  <c r="E458" i="143"/>
  <c r="G479" i="143"/>
  <c r="E516" i="143"/>
  <c r="F516" i="143"/>
  <c r="D517" i="143"/>
  <c r="C517" i="143"/>
  <c r="B517" i="143" s="1"/>
  <c r="F332" i="143"/>
  <c r="E332" i="143"/>
  <c r="D333" i="143"/>
  <c r="C333" i="143"/>
  <c r="B333" i="143" s="1"/>
  <c r="H509" i="143"/>
  <c r="O64" i="143"/>
  <c r="G65" i="143" s="1"/>
  <c r="H65" i="143" s="1"/>
  <c r="N65" i="143" s="1"/>
  <c r="O131" i="143"/>
  <c r="G132" i="143" s="1"/>
  <c r="H132" i="143" s="1"/>
  <c r="N132" i="143" s="1"/>
  <c r="H261" i="143"/>
  <c r="N261" i="143" s="1"/>
  <c r="F105" i="143"/>
  <c r="C106" i="143"/>
  <c r="B106" i="143" s="1"/>
  <c r="E105" i="143"/>
  <c r="D106" i="143"/>
  <c r="H293" i="143"/>
  <c r="F139" i="143"/>
  <c r="D140" i="143"/>
  <c r="C140" i="143"/>
  <c r="B140" i="143" s="1"/>
  <c r="D301" i="143"/>
  <c r="F300" i="143"/>
  <c r="C301" i="143"/>
  <c r="B301" i="143" s="1"/>
  <c r="E300" i="143"/>
  <c r="D72" i="143"/>
  <c r="E71" i="143"/>
  <c r="C72" i="143"/>
  <c r="B72" i="143" s="1"/>
  <c r="F71" i="143"/>
  <c r="F269" i="143"/>
  <c r="D270" i="143"/>
  <c r="E269" i="143"/>
  <c r="C270" i="143"/>
  <c r="B270" i="143" s="1"/>
  <c r="C237" i="143"/>
  <c r="B237" i="143" s="1"/>
  <c r="D237" i="143"/>
  <c r="F236" i="143"/>
  <c r="E236" i="143"/>
  <c r="D207" i="143"/>
  <c r="F206" i="143"/>
  <c r="C207" i="143"/>
  <c r="B207" i="143" s="1"/>
  <c r="E206" i="143"/>
  <c r="N97" i="143"/>
  <c r="H197" i="143"/>
  <c r="O197" i="143" s="1"/>
  <c r="G198" i="143" s="1"/>
  <c r="D172" i="143"/>
  <c r="E171" i="143"/>
  <c r="C172" i="143"/>
  <c r="B172" i="143" s="1"/>
  <c r="F171" i="143"/>
  <c r="J62" i="186" l="1"/>
  <c r="J62" i="185"/>
  <c r="N62" i="185" s="1"/>
  <c r="O233" i="160"/>
  <c r="G234" i="160" s="1"/>
  <c r="N233" i="160"/>
  <c r="C211" i="160"/>
  <c r="B211" i="160" s="1"/>
  <c r="D211" i="160"/>
  <c r="E210" i="160"/>
  <c r="F210" i="160"/>
  <c r="C244" i="160"/>
  <c r="B244" i="160" s="1"/>
  <c r="F243" i="160"/>
  <c r="D244" i="160"/>
  <c r="E243" i="160"/>
  <c r="H202" i="160"/>
  <c r="R47" i="143"/>
  <c r="Q47" i="143"/>
  <c r="N509" i="143"/>
  <c r="I522" i="143"/>
  <c r="I511" i="143"/>
  <c r="I519" i="143"/>
  <c r="I527" i="143"/>
  <c r="I516" i="143"/>
  <c r="I524" i="143"/>
  <c r="I513" i="143"/>
  <c r="I521" i="143"/>
  <c r="I510" i="143"/>
  <c r="I518" i="143"/>
  <c r="I526" i="143"/>
  <c r="I515" i="143"/>
  <c r="I523" i="143"/>
  <c r="I512" i="143"/>
  <c r="I520" i="143"/>
  <c r="I528" i="143"/>
  <c r="I517" i="143"/>
  <c r="I525" i="143"/>
  <c r="I514" i="143"/>
  <c r="N451" i="143"/>
  <c r="E139" i="143"/>
  <c r="N420" i="143"/>
  <c r="I436" i="143"/>
  <c r="I428" i="143"/>
  <c r="I437" i="143"/>
  <c r="I430" i="143"/>
  <c r="I424" i="143"/>
  <c r="I426" i="143"/>
  <c r="I439" i="143"/>
  <c r="I432" i="143"/>
  <c r="I423" i="143"/>
  <c r="I438" i="143"/>
  <c r="I421" i="143"/>
  <c r="I422" i="143"/>
  <c r="I425" i="143"/>
  <c r="I431" i="143"/>
  <c r="I427" i="143"/>
  <c r="I435" i="143"/>
  <c r="I429" i="143"/>
  <c r="I433" i="143"/>
  <c r="I434" i="143"/>
  <c r="O324" i="143"/>
  <c r="G325" i="143" s="1"/>
  <c r="N324" i="143"/>
  <c r="D576" i="143"/>
  <c r="E575" i="143"/>
  <c r="F575" i="143"/>
  <c r="C576" i="143"/>
  <c r="B576" i="143" s="1"/>
  <c r="H586" i="143"/>
  <c r="J567" i="143"/>
  <c r="D489" i="143"/>
  <c r="E488" i="143"/>
  <c r="C489" i="143"/>
  <c r="B489" i="143" s="1"/>
  <c r="F488" i="143"/>
  <c r="D428" i="143"/>
  <c r="E427" i="143"/>
  <c r="C428" i="143"/>
  <c r="B428" i="143" s="1"/>
  <c r="F427" i="143"/>
  <c r="H357" i="143"/>
  <c r="O357" i="143" s="1"/>
  <c r="G358" i="143" s="1"/>
  <c r="F333" i="143"/>
  <c r="D334" i="143"/>
  <c r="E333" i="143"/>
  <c r="C334" i="143"/>
  <c r="B334" i="143" s="1"/>
  <c r="F517" i="143"/>
  <c r="D518" i="143"/>
  <c r="E517" i="143"/>
  <c r="C518" i="143"/>
  <c r="B518" i="143" s="1"/>
  <c r="H479" i="143"/>
  <c r="O479" i="143" s="1"/>
  <c r="G480" i="143" s="1"/>
  <c r="N452" i="143"/>
  <c r="D367" i="143"/>
  <c r="E366" i="143"/>
  <c r="C367" i="143"/>
  <c r="B367" i="143" s="1"/>
  <c r="F366" i="143"/>
  <c r="H538" i="143"/>
  <c r="F459" i="143"/>
  <c r="D460" i="143"/>
  <c r="E459" i="143"/>
  <c r="C460" i="143"/>
  <c r="B460" i="143" s="1"/>
  <c r="C397" i="143"/>
  <c r="B397" i="143" s="1"/>
  <c r="F396" i="143"/>
  <c r="E396" i="143"/>
  <c r="D397" i="143"/>
  <c r="D547" i="143"/>
  <c r="E546" i="143"/>
  <c r="C547" i="143"/>
  <c r="B547" i="143" s="1"/>
  <c r="F546" i="143"/>
  <c r="H388" i="143"/>
  <c r="N388" i="143" s="1"/>
  <c r="N197" i="143"/>
  <c r="H198" i="143"/>
  <c r="N198" i="143" s="1"/>
  <c r="D107" i="143"/>
  <c r="E106" i="143"/>
  <c r="C107" i="143"/>
  <c r="B107" i="143" s="1"/>
  <c r="F106" i="143"/>
  <c r="N293" i="143"/>
  <c r="O261" i="143"/>
  <c r="G262" i="143" s="1"/>
  <c r="O65" i="143"/>
  <c r="G66" i="143" s="1"/>
  <c r="H164" i="143"/>
  <c r="N164" i="143" s="1"/>
  <c r="O132" i="143"/>
  <c r="G133" i="143" s="1"/>
  <c r="C238" i="143"/>
  <c r="B238" i="143" s="1"/>
  <c r="E237" i="143"/>
  <c r="D238" i="143"/>
  <c r="F237" i="143"/>
  <c r="D271" i="143"/>
  <c r="E270" i="143"/>
  <c r="C271" i="143"/>
  <c r="B271" i="143" s="1"/>
  <c r="F270" i="143"/>
  <c r="D141" i="143"/>
  <c r="E140" i="143"/>
  <c r="C141" i="143"/>
  <c r="B141" i="143" s="1"/>
  <c r="F140" i="143"/>
  <c r="C173" i="143"/>
  <c r="B173" i="143" s="1"/>
  <c r="D173" i="143"/>
  <c r="F172" i="143"/>
  <c r="E172" i="143"/>
  <c r="F207" i="143"/>
  <c r="C208" i="143"/>
  <c r="B208" i="143" s="1"/>
  <c r="E207" i="143"/>
  <c r="D208" i="143"/>
  <c r="C73" i="143"/>
  <c r="B73" i="143" s="1"/>
  <c r="D73" i="143"/>
  <c r="F72" i="143"/>
  <c r="E72" i="143"/>
  <c r="F301" i="143"/>
  <c r="D302" i="143"/>
  <c r="C302" i="143"/>
  <c r="B302" i="143" s="1"/>
  <c r="E301" i="143"/>
  <c r="H229" i="143"/>
  <c r="N229" i="143" s="1"/>
  <c r="H98" i="143"/>
  <c r="O98" i="143" s="1"/>
  <c r="G99" i="143" s="1"/>
  <c r="K62" i="185" l="1"/>
  <c r="J19" i="185"/>
  <c r="N62" i="186"/>
  <c r="J17" i="186"/>
  <c r="K62" i="186"/>
  <c r="O202" i="160"/>
  <c r="G203" i="160" s="1"/>
  <c r="N202" i="160"/>
  <c r="C212" i="160"/>
  <c r="B212" i="160" s="1"/>
  <c r="D212" i="160"/>
  <c r="E211" i="160"/>
  <c r="F211" i="160"/>
  <c r="F244" i="160"/>
  <c r="E244" i="160"/>
  <c r="D245" i="160"/>
  <c r="C245" i="160"/>
  <c r="B245" i="160" s="1"/>
  <c r="H234" i="160"/>
  <c r="R48" i="143"/>
  <c r="Q48" i="143"/>
  <c r="H559" i="143"/>
  <c r="I555" i="143"/>
  <c r="I541" i="143"/>
  <c r="I553" i="143"/>
  <c r="I551" i="143"/>
  <c r="I548" i="143"/>
  <c r="I543" i="143"/>
  <c r="I544" i="143"/>
  <c r="I549" i="143"/>
  <c r="I538" i="143"/>
  <c r="I542" i="143"/>
  <c r="I550" i="143"/>
  <c r="I554" i="143"/>
  <c r="I557" i="143"/>
  <c r="I547" i="143"/>
  <c r="I539" i="143"/>
  <c r="I545" i="143"/>
  <c r="I552" i="143"/>
  <c r="I556" i="143"/>
  <c r="I540" i="143"/>
  <c r="I546" i="143"/>
  <c r="N567" i="143"/>
  <c r="N479" i="143"/>
  <c r="O388" i="143"/>
  <c r="G389" i="143" s="1"/>
  <c r="H389" i="143" s="1"/>
  <c r="N389" i="143" s="1"/>
  <c r="O198" i="143"/>
  <c r="G199" i="143" s="1"/>
  <c r="H199" i="143" s="1"/>
  <c r="O199" i="143" s="1"/>
  <c r="G200" i="143" s="1"/>
  <c r="F576" i="143"/>
  <c r="C577" i="143"/>
  <c r="B577" i="143" s="1"/>
  <c r="D577" i="143"/>
  <c r="E576" i="143"/>
  <c r="H358" i="143"/>
  <c r="N358" i="143" s="1"/>
  <c r="D461" i="143"/>
  <c r="E460" i="143"/>
  <c r="C461" i="143"/>
  <c r="B461" i="143" s="1"/>
  <c r="F460" i="143"/>
  <c r="N357" i="143"/>
  <c r="C429" i="143"/>
  <c r="B429" i="143" s="1"/>
  <c r="D429" i="143"/>
  <c r="F428" i="143"/>
  <c r="E428" i="143"/>
  <c r="C490" i="143"/>
  <c r="B490" i="143" s="1"/>
  <c r="D490" i="143"/>
  <c r="E489" i="143"/>
  <c r="F489" i="143"/>
  <c r="C548" i="143"/>
  <c r="B548" i="143" s="1"/>
  <c r="E547" i="143"/>
  <c r="F547" i="143"/>
  <c r="D548" i="143"/>
  <c r="N538" i="143"/>
  <c r="C368" i="143"/>
  <c r="B368" i="143" s="1"/>
  <c r="F367" i="143"/>
  <c r="E367" i="143"/>
  <c r="D368" i="143"/>
  <c r="H480" i="143"/>
  <c r="F397" i="143"/>
  <c r="D398" i="143"/>
  <c r="C398" i="143"/>
  <c r="B398" i="143" s="1"/>
  <c r="E397" i="143"/>
  <c r="E518" i="143"/>
  <c r="D519" i="143"/>
  <c r="C519" i="143"/>
  <c r="B519" i="143" s="1"/>
  <c r="F518" i="143"/>
  <c r="D335" i="143"/>
  <c r="E334" i="143"/>
  <c r="C335" i="143"/>
  <c r="B335" i="143" s="1"/>
  <c r="F334" i="143"/>
  <c r="H325" i="143"/>
  <c r="O325" i="143" s="1"/>
  <c r="G326" i="143" s="1"/>
  <c r="O229" i="143"/>
  <c r="G230" i="143" s="1"/>
  <c r="H230" i="143" s="1"/>
  <c r="N230" i="143" s="1"/>
  <c r="O164" i="143"/>
  <c r="G165" i="143" s="1"/>
  <c r="H165" i="143" s="1"/>
  <c r="O165" i="143" s="1"/>
  <c r="G166" i="143" s="1"/>
  <c r="N98" i="143"/>
  <c r="H99" i="143"/>
  <c r="N99" i="143" s="1"/>
  <c r="C108" i="143"/>
  <c r="B108" i="143" s="1"/>
  <c r="D108" i="143"/>
  <c r="F107" i="143"/>
  <c r="E107" i="143"/>
  <c r="D209" i="143"/>
  <c r="E208" i="143"/>
  <c r="C209" i="143"/>
  <c r="B209" i="143" s="1"/>
  <c r="F208" i="143"/>
  <c r="C142" i="143"/>
  <c r="B142" i="143" s="1"/>
  <c r="D142" i="143"/>
  <c r="F141" i="143"/>
  <c r="E141" i="143"/>
  <c r="C272" i="143"/>
  <c r="B272" i="143" s="1"/>
  <c r="E271" i="143"/>
  <c r="D272" i="143"/>
  <c r="F271" i="143"/>
  <c r="H133" i="143"/>
  <c r="N133" i="143" s="1"/>
  <c r="H66" i="143"/>
  <c r="N66" i="143" s="1"/>
  <c r="D303" i="143"/>
  <c r="E302" i="143"/>
  <c r="C303" i="143"/>
  <c r="B303" i="143" s="1"/>
  <c r="F302" i="143"/>
  <c r="C74" i="143"/>
  <c r="B74" i="143" s="1"/>
  <c r="F73" i="143"/>
  <c r="E73" i="143"/>
  <c r="D74" i="143"/>
  <c r="D174" i="143"/>
  <c r="F173" i="143"/>
  <c r="C174" i="143"/>
  <c r="B174" i="143" s="1"/>
  <c r="E173" i="143"/>
  <c r="F238" i="143"/>
  <c r="D239" i="143"/>
  <c r="C239" i="143"/>
  <c r="B239" i="143" s="1"/>
  <c r="E238" i="143"/>
  <c r="H262" i="143"/>
  <c r="M62" i="186" l="1"/>
  <c r="O62" i="186" s="1"/>
  <c r="G63" i="186" s="1"/>
  <c r="K17" i="186"/>
  <c r="K19" i="185"/>
  <c r="M62" i="185"/>
  <c r="N234" i="160"/>
  <c r="I252" i="160"/>
  <c r="I241" i="160"/>
  <c r="I238" i="160"/>
  <c r="I242" i="160"/>
  <c r="I240" i="160"/>
  <c r="I249" i="160"/>
  <c r="I253" i="160"/>
  <c r="I244" i="160"/>
  <c r="I248" i="160"/>
  <c r="I246" i="160"/>
  <c r="I245" i="160"/>
  <c r="I234" i="160"/>
  <c r="K234" i="160" s="1"/>
  <c r="M234" i="160" s="1"/>
  <c r="I235" i="160"/>
  <c r="I247" i="160"/>
  <c r="I251" i="160"/>
  <c r="I250" i="160"/>
  <c r="I237" i="160"/>
  <c r="I243" i="160"/>
  <c r="I236" i="160"/>
  <c r="I239" i="160"/>
  <c r="F212" i="160"/>
  <c r="D213" i="160"/>
  <c r="C213" i="160"/>
  <c r="B213" i="160" s="1"/>
  <c r="E212" i="160"/>
  <c r="D246" i="160"/>
  <c r="E245" i="160"/>
  <c r="F245" i="160"/>
  <c r="C246" i="160"/>
  <c r="B246" i="160" s="1"/>
  <c r="H203" i="160"/>
  <c r="N203" i="160" s="1"/>
  <c r="R49" i="143"/>
  <c r="Q49" i="143"/>
  <c r="I488" i="143"/>
  <c r="I496" i="143"/>
  <c r="I485" i="143"/>
  <c r="I493" i="143"/>
  <c r="I482" i="143"/>
  <c r="I499" i="143"/>
  <c r="I490" i="143"/>
  <c r="I498" i="143"/>
  <c r="I487" i="143"/>
  <c r="I495" i="143"/>
  <c r="I484" i="143"/>
  <c r="I492" i="143"/>
  <c r="I481" i="143"/>
  <c r="I489" i="143"/>
  <c r="I497" i="143"/>
  <c r="I486" i="143"/>
  <c r="I494" i="143"/>
  <c r="I483" i="143"/>
  <c r="I491" i="143"/>
  <c r="I480" i="143"/>
  <c r="K480" i="143" s="1"/>
  <c r="M480" i="143" s="1"/>
  <c r="N325" i="143"/>
  <c r="N480" i="143"/>
  <c r="O389" i="143"/>
  <c r="G390" i="143" s="1"/>
  <c r="N199" i="143"/>
  <c r="D578" i="143"/>
  <c r="E577" i="143"/>
  <c r="C578" i="143"/>
  <c r="B578" i="143" s="1"/>
  <c r="F577" i="143"/>
  <c r="H326" i="143"/>
  <c r="N326" i="143" s="1"/>
  <c r="H501" i="143"/>
  <c r="C336" i="143"/>
  <c r="B336" i="143" s="1"/>
  <c r="D336" i="143"/>
  <c r="E335" i="143"/>
  <c r="F335" i="143"/>
  <c r="D369" i="143"/>
  <c r="C369" i="143"/>
  <c r="B369" i="143" s="1"/>
  <c r="F368" i="143"/>
  <c r="E368" i="143"/>
  <c r="C549" i="143"/>
  <c r="B549" i="143" s="1"/>
  <c r="F548" i="143"/>
  <c r="D549" i="143"/>
  <c r="E548" i="143"/>
  <c r="C491" i="143"/>
  <c r="B491" i="143" s="1"/>
  <c r="D491" i="143"/>
  <c r="F490" i="143"/>
  <c r="E490" i="143"/>
  <c r="E429" i="143"/>
  <c r="D430" i="143"/>
  <c r="C430" i="143"/>
  <c r="B430" i="143" s="1"/>
  <c r="F429" i="143"/>
  <c r="O358" i="143"/>
  <c r="G359" i="143" s="1"/>
  <c r="D520" i="143"/>
  <c r="E519" i="143"/>
  <c r="C520" i="143"/>
  <c r="B520" i="143" s="1"/>
  <c r="F519" i="143"/>
  <c r="D399" i="143"/>
  <c r="E398" i="143"/>
  <c r="C399" i="143"/>
  <c r="B399" i="143" s="1"/>
  <c r="F398" i="143"/>
  <c r="C462" i="143"/>
  <c r="B462" i="143" s="1"/>
  <c r="E461" i="143"/>
  <c r="F461" i="143"/>
  <c r="D462" i="143"/>
  <c r="O66" i="143"/>
  <c r="G67" i="143" s="1"/>
  <c r="H67" i="143" s="1"/>
  <c r="O67" i="143" s="1"/>
  <c r="G68" i="143" s="1"/>
  <c r="N165" i="143"/>
  <c r="N262" i="143"/>
  <c r="O99" i="143"/>
  <c r="G100" i="143" s="1"/>
  <c r="H200" i="143"/>
  <c r="D240" i="143"/>
  <c r="E239" i="143"/>
  <c r="C240" i="143"/>
  <c r="B240" i="143" s="1"/>
  <c r="F239" i="143"/>
  <c r="F272" i="143"/>
  <c r="C273" i="143"/>
  <c r="B273" i="143" s="1"/>
  <c r="D273" i="143"/>
  <c r="E272" i="143"/>
  <c r="D109" i="143"/>
  <c r="C109" i="143"/>
  <c r="B109" i="143" s="1"/>
  <c r="F108" i="143"/>
  <c r="E108" i="143"/>
  <c r="H166" i="143"/>
  <c r="N166" i="143" s="1"/>
  <c r="F174" i="143"/>
  <c r="D175" i="143"/>
  <c r="C175" i="143"/>
  <c r="B175" i="143" s="1"/>
  <c r="E174" i="143"/>
  <c r="C304" i="143"/>
  <c r="B304" i="143" s="1"/>
  <c r="D304" i="143"/>
  <c r="F303" i="143"/>
  <c r="E303" i="143"/>
  <c r="D143" i="143"/>
  <c r="F142" i="143"/>
  <c r="C143" i="143"/>
  <c r="B143" i="143" s="1"/>
  <c r="E142" i="143"/>
  <c r="O230" i="143"/>
  <c r="G231" i="143" s="1"/>
  <c r="F74" i="143"/>
  <c r="D75" i="143"/>
  <c r="C75" i="143"/>
  <c r="B75" i="143" s="1"/>
  <c r="E74" i="143"/>
  <c r="O133" i="143"/>
  <c r="G134" i="143" s="1"/>
  <c r="D210" i="143"/>
  <c r="F209" i="143"/>
  <c r="E209" i="143"/>
  <c r="C210" i="143"/>
  <c r="B210" i="143" s="1"/>
  <c r="J63" i="186" l="1"/>
  <c r="M17" i="186"/>
  <c r="M19" i="185"/>
  <c r="O62" i="185"/>
  <c r="G63" i="185" s="1"/>
  <c r="O234" i="160"/>
  <c r="G235" i="160" s="1"/>
  <c r="J235" i="160" s="1"/>
  <c r="K235" i="160" s="1"/>
  <c r="M235" i="160" s="1"/>
  <c r="O203" i="160"/>
  <c r="G204" i="160" s="1"/>
  <c r="H204" i="160" s="1"/>
  <c r="C247" i="160"/>
  <c r="B247" i="160" s="1"/>
  <c r="D247" i="160"/>
  <c r="E246" i="160"/>
  <c r="F246" i="160"/>
  <c r="D214" i="160"/>
  <c r="E213" i="160"/>
  <c r="F213" i="160"/>
  <c r="C214" i="160"/>
  <c r="B214" i="160" s="1"/>
  <c r="R50" i="143"/>
  <c r="Q50" i="143"/>
  <c r="O480" i="143"/>
  <c r="G481" i="143" s="1"/>
  <c r="J481" i="143" s="1"/>
  <c r="H221" i="143"/>
  <c r="I213" i="143"/>
  <c r="I211" i="143"/>
  <c r="I214" i="143"/>
  <c r="I200" i="143"/>
  <c r="I207" i="143"/>
  <c r="I215" i="143"/>
  <c r="I208" i="143"/>
  <c r="I206" i="143"/>
  <c r="I201" i="143"/>
  <c r="I209" i="143"/>
  <c r="I202" i="143"/>
  <c r="I210" i="143"/>
  <c r="I218" i="143"/>
  <c r="I216" i="143"/>
  <c r="I219" i="143"/>
  <c r="I204" i="143"/>
  <c r="I212" i="143"/>
  <c r="I217" i="143"/>
  <c r="I205" i="143"/>
  <c r="I203" i="143"/>
  <c r="H390" i="143"/>
  <c r="C579" i="143"/>
  <c r="B579" i="143" s="1"/>
  <c r="F578" i="143"/>
  <c r="D579" i="143"/>
  <c r="E578" i="143"/>
  <c r="E462" i="143"/>
  <c r="C463" i="143"/>
  <c r="B463" i="143" s="1"/>
  <c r="D463" i="143"/>
  <c r="F462" i="143"/>
  <c r="O326" i="143"/>
  <c r="G327" i="143" s="1"/>
  <c r="C400" i="143"/>
  <c r="B400" i="143" s="1"/>
  <c r="D400" i="143"/>
  <c r="F399" i="143"/>
  <c r="E399" i="143"/>
  <c r="C521" i="143"/>
  <c r="B521" i="143" s="1"/>
  <c r="E520" i="143"/>
  <c r="F520" i="143"/>
  <c r="D521" i="143"/>
  <c r="F430" i="143"/>
  <c r="D431" i="143"/>
  <c r="C431" i="143"/>
  <c r="B431" i="143" s="1"/>
  <c r="E430" i="143"/>
  <c r="F491" i="143"/>
  <c r="C492" i="143"/>
  <c r="B492" i="143" s="1"/>
  <c r="E491" i="143"/>
  <c r="D492" i="143"/>
  <c r="F549" i="143"/>
  <c r="C550" i="143"/>
  <c r="B550" i="143" s="1"/>
  <c r="D550" i="143"/>
  <c r="E549" i="143"/>
  <c r="F369" i="143"/>
  <c r="E369" i="143"/>
  <c r="D370" i="143"/>
  <c r="C370" i="143"/>
  <c r="B370" i="143" s="1"/>
  <c r="H359" i="143"/>
  <c r="F336" i="143"/>
  <c r="D337" i="143"/>
  <c r="C337" i="143"/>
  <c r="B337" i="143" s="1"/>
  <c r="E336" i="143"/>
  <c r="O166" i="143"/>
  <c r="G167" i="143" s="1"/>
  <c r="H167" i="143" s="1"/>
  <c r="N167" i="143" s="1"/>
  <c r="N67" i="143"/>
  <c r="H100" i="143"/>
  <c r="O100" i="143" s="1"/>
  <c r="G101" i="143" s="1"/>
  <c r="H101" i="143" s="1"/>
  <c r="O101" i="143" s="1"/>
  <c r="G102" i="143" s="1"/>
  <c r="H68" i="143"/>
  <c r="F273" i="143"/>
  <c r="D274" i="143"/>
  <c r="E273" i="143"/>
  <c r="C274" i="143"/>
  <c r="B274" i="143" s="1"/>
  <c r="D76" i="143"/>
  <c r="E75" i="143"/>
  <c r="C76" i="143"/>
  <c r="B76" i="143" s="1"/>
  <c r="F75" i="143"/>
  <c r="C211" i="143"/>
  <c r="B211" i="143" s="1"/>
  <c r="D211" i="143"/>
  <c r="F210" i="143"/>
  <c r="E210" i="143"/>
  <c r="C305" i="143"/>
  <c r="B305" i="143" s="1"/>
  <c r="E304" i="143"/>
  <c r="D305" i="143"/>
  <c r="F304" i="143"/>
  <c r="D176" i="143"/>
  <c r="E175" i="143"/>
  <c r="C176" i="143"/>
  <c r="B176" i="143" s="1"/>
  <c r="F175" i="143"/>
  <c r="F109" i="143"/>
  <c r="C110" i="143"/>
  <c r="B110" i="143" s="1"/>
  <c r="E109" i="143"/>
  <c r="D110" i="143"/>
  <c r="C241" i="143"/>
  <c r="B241" i="143" s="1"/>
  <c r="D241" i="143"/>
  <c r="F240" i="143"/>
  <c r="E240" i="143"/>
  <c r="H134" i="143"/>
  <c r="N134" i="143" s="1"/>
  <c r="H231" i="143"/>
  <c r="F143" i="143"/>
  <c r="D144" i="143"/>
  <c r="C144" i="143"/>
  <c r="B144" i="143" s="1"/>
  <c r="E143" i="143"/>
  <c r="N200" i="143"/>
  <c r="J63" i="185" l="1"/>
  <c r="N63" i="185" s="1"/>
  <c r="N63" i="186"/>
  <c r="K63" i="186"/>
  <c r="J18" i="186"/>
  <c r="N235" i="160"/>
  <c r="I222" i="160"/>
  <c r="I213" i="160"/>
  <c r="I219" i="160"/>
  <c r="I215" i="160"/>
  <c r="I216" i="160"/>
  <c r="I206" i="160"/>
  <c r="I217" i="160"/>
  <c r="I207" i="160"/>
  <c r="I214" i="160"/>
  <c r="I208" i="160"/>
  <c r="I210" i="160"/>
  <c r="I212" i="160"/>
  <c r="I205" i="160"/>
  <c r="I221" i="160"/>
  <c r="I211" i="160"/>
  <c r="I220" i="160"/>
  <c r="I223" i="160"/>
  <c r="I218" i="160"/>
  <c r="I204" i="160"/>
  <c r="K204" i="160" s="1"/>
  <c r="M204" i="160" s="1"/>
  <c r="I209" i="160"/>
  <c r="N204" i="160"/>
  <c r="C215" i="160"/>
  <c r="B215" i="160" s="1"/>
  <c r="D215" i="160"/>
  <c r="E214" i="160"/>
  <c r="F214" i="160"/>
  <c r="O235" i="160"/>
  <c r="G236" i="160" s="1"/>
  <c r="J236" i="160" s="1"/>
  <c r="C248" i="160"/>
  <c r="B248" i="160" s="1"/>
  <c r="D248" i="160"/>
  <c r="E247" i="160"/>
  <c r="F247" i="160"/>
  <c r="R51" i="143"/>
  <c r="Q51" i="143"/>
  <c r="N481" i="143"/>
  <c r="N390" i="143"/>
  <c r="I401" i="143"/>
  <c r="I399" i="143"/>
  <c r="I405" i="143"/>
  <c r="I408" i="143"/>
  <c r="I393" i="143"/>
  <c r="I403" i="143"/>
  <c r="I398" i="143"/>
  <c r="I409" i="143"/>
  <c r="I395" i="143"/>
  <c r="I391" i="143"/>
  <c r="I392" i="143"/>
  <c r="I396" i="143"/>
  <c r="I394" i="143"/>
  <c r="I400" i="143"/>
  <c r="I407" i="143"/>
  <c r="I406" i="143"/>
  <c r="I402" i="143"/>
  <c r="I397" i="143"/>
  <c r="I404" i="143"/>
  <c r="I390" i="143"/>
  <c r="K390" i="143" s="1"/>
  <c r="M390" i="143" s="1"/>
  <c r="N359" i="143"/>
  <c r="I360" i="143"/>
  <c r="I359" i="143"/>
  <c r="K359" i="143" s="1"/>
  <c r="M359" i="143" s="1"/>
  <c r="I87" i="143"/>
  <c r="I82" i="143"/>
  <c r="I86" i="143"/>
  <c r="I68" i="143"/>
  <c r="I84" i="143"/>
  <c r="I78" i="143"/>
  <c r="I73" i="143"/>
  <c r="I80" i="143"/>
  <c r="I83" i="143"/>
  <c r="I76" i="143"/>
  <c r="I71" i="143"/>
  <c r="I74" i="143"/>
  <c r="I85" i="143"/>
  <c r="I79" i="143"/>
  <c r="I81" i="143"/>
  <c r="I70" i="143"/>
  <c r="I72" i="143"/>
  <c r="I77" i="143"/>
  <c r="I75" i="143"/>
  <c r="E579" i="143"/>
  <c r="F579" i="143"/>
  <c r="D580" i="143"/>
  <c r="C580" i="143"/>
  <c r="B580" i="143" s="1"/>
  <c r="D551" i="143"/>
  <c r="E550" i="143"/>
  <c r="C551" i="143"/>
  <c r="B551" i="143" s="1"/>
  <c r="F550" i="143"/>
  <c r="F463" i="143"/>
  <c r="D464" i="143"/>
  <c r="C464" i="143"/>
  <c r="B464" i="143" s="1"/>
  <c r="E463" i="143"/>
  <c r="F337" i="143"/>
  <c r="D338" i="143"/>
  <c r="E337" i="143"/>
  <c r="C338" i="143"/>
  <c r="B338" i="143" s="1"/>
  <c r="D493" i="143"/>
  <c r="E492" i="143"/>
  <c r="F492" i="143"/>
  <c r="C493" i="143"/>
  <c r="B493" i="143" s="1"/>
  <c r="C522" i="143"/>
  <c r="B522" i="143" s="1"/>
  <c r="F521" i="143"/>
  <c r="D522" i="143"/>
  <c r="E521" i="143"/>
  <c r="H327" i="143"/>
  <c r="D371" i="143"/>
  <c r="E370" i="143"/>
  <c r="C371" i="143"/>
  <c r="B371" i="143" s="1"/>
  <c r="F370" i="143"/>
  <c r="D432" i="143"/>
  <c r="E431" i="143"/>
  <c r="F431" i="143"/>
  <c r="C432" i="143"/>
  <c r="B432" i="143" s="1"/>
  <c r="E400" i="143"/>
  <c r="D401" i="143"/>
  <c r="C401" i="143"/>
  <c r="B401" i="143" s="1"/>
  <c r="F400" i="143"/>
  <c r="N68" i="143"/>
  <c r="N100" i="143"/>
  <c r="I69" i="143"/>
  <c r="H102" i="143"/>
  <c r="D111" i="143"/>
  <c r="E110" i="143"/>
  <c r="C111" i="143"/>
  <c r="B111" i="143" s="1"/>
  <c r="F110" i="143"/>
  <c r="D145" i="143"/>
  <c r="E144" i="143"/>
  <c r="C145" i="143"/>
  <c r="B145" i="143" s="1"/>
  <c r="F144" i="143"/>
  <c r="O134" i="143"/>
  <c r="G135" i="143" s="1"/>
  <c r="F305" i="143"/>
  <c r="D306" i="143"/>
  <c r="C306" i="143"/>
  <c r="B306" i="143" s="1"/>
  <c r="E305" i="143"/>
  <c r="C77" i="143"/>
  <c r="B77" i="143" s="1"/>
  <c r="D77" i="143"/>
  <c r="F76" i="143"/>
  <c r="E76" i="143"/>
  <c r="D275" i="143"/>
  <c r="E274" i="143"/>
  <c r="C275" i="143"/>
  <c r="B275" i="143" s="1"/>
  <c r="F274" i="143"/>
  <c r="O167" i="143"/>
  <c r="G168" i="143" s="1"/>
  <c r="N231" i="143"/>
  <c r="C242" i="143"/>
  <c r="B242" i="143" s="1"/>
  <c r="E241" i="143"/>
  <c r="D242" i="143"/>
  <c r="F241" i="143"/>
  <c r="C212" i="143"/>
  <c r="B212" i="143" s="1"/>
  <c r="E211" i="143"/>
  <c r="D212" i="143"/>
  <c r="F211" i="143"/>
  <c r="N101" i="143"/>
  <c r="C177" i="143"/>
  <c r="B177" i="143" s="1"/>
  <c r="D177" i="143"/>
  <c r="F176" i="143"/>
  <c r="E176" i="143"/>
  <c r="M63" i="186" l="1"/>
  <c r="M18" i="186" s="1"/>
  <c r="K18" i="186"/>
  <c r="J20" i="185"/>
  <c r="K63" i="185"/>
  <c r="O204" i="160"/>
  <c r="G205" i="160" s="1"/>
  <c r="H225" i="160"/>
  <c r="H255" i="160"/>
  <c r="F248" i="160"/>
  <c r="C249" i="160"/>
  <c r="B249" i="160" s="1"/>
  <c r="D249" i="160"/>
  <c r="E248" i="160"/>
  <c r="C216" i="160"/>
  <c r="B216" i="160" s="1"/>
  <c r="D216" i="160"/>
  <c r="E215" i="160"/>
  <c r="F215" i="160"/>
  <c r="K68" i="143"/>
  <c r="R52" i="143"/>
  <c r="Q52" i="143"/>
  <c r="O390" i="143"/>
  <c r="G391" i="143" s="1"/>
  <c r="J391" i="143" s="1"/>
  <c r="K391" i="143" s="1"/>
  <c r="M391" i="143" s="1"/>
  <c r="O359" i="143"/>
  <c r="G360" i="143" s="1"/>
  <c r="J360" i="143" s="1"/>
  <c r="K360" i="143" s="1"/>
  <c r="M360" i="143" s="1"/>
  <c r="N327" i="143"/>
  <c r="I331" i="143"/>
  <c r="I339" i="143"/>
  <c r="I328" i="143"/>
  <c r="I336" i="143"/>
  <c r="I344" i="143"/>
  <c r="I333" i="143"/>
  <c r="I341" i="143"/>
  <c r="I330" i="143"/>
  <c r="I338" i="143"/>
  <c r="I346" i="143"/>
  <c r="I335" i="143"/>
  <c r="I343" i="143"/>
  <c r="I332" i="143"/>
  <c r="I340" i="143"/>
  <c r="I329" i="143"/>
  <c r="I337" i="143"/>
  <c r="I345" i="143"/>
  <c r="I334" i="143"/>
  <c r="I342" i="143"/>
  <c r="I108" i="143"/>
  <c r="I102" i="143"/>
  <c r="K102" i="143" s="1"/>
  <c r="M102" i="143" s="1"/>
  <c r="I104" i="143"/>
  <c r="I120" i="143"/>
  <c r="I109" i="143"/>
  <c r="I119" i="143"/>
  <c r="I103" i="143"/>
  <c r="I112" i="143"/>
  <c r="I114" i="143"/>
  <c r="I113" i="143"/>
  <c r="I118" i="143"/>
  <c r="I115" i="143"/>
  <c r="I106" i="143"/>
  <c r="I110" i="143"/>
  <c r="I121" i="143"/>
  <c r="I107" i="143"/>
  <c r="I116" i="143"/>
  <c r="I111" i="143"/>
  <c r="I117" i="143"/>
  <c r="I105" i="143"/>
  <c r="O68" i="143"/>
  <c r="G69" i="143" s="1"/>
  <c r="J69" i="143" s="1"/>
  <c r="F580" i="143"/>
  <c r="C581" i="143"/>
  <c r="B581" i="143" s="1"/>
  <c r="D581" i="143"/>
  <c r="E580" i="143"/>
  <c r="C433" i="143"/>
  <c r="B433" i="143" s="1"/>
  <c r="D433" i="143"/>
  <c r="F432" i="143"/>
  <c r="E432" i="143"/>
  <c r="C494" i="143"/>
  <c r="B494" i="143" s="1"/>
  <c r="D494" i="143"/>
  <c r="F493" i="143"/>
  <c r="E493" i="143"/>
  <c r="C552" i="143"/>
  <c r="B552" i="143" s="1"/>
  <c r="E551" i="143"/>
  <c r="D552" i="143"/>
  <c r="F551" i="143"/>
  <c r="D339" i="143"/>
  <c r="E338" i="143"/>
  <c r="C339" i="143"/>
  <c r="B339" i="143" s="1"/>
  <c r="F338" i="143"/>
  <c r="F401" i="143"/>
  <c r="D402" i="143"/>
  <c r="C402" i="143"/>
  <c r="B402" i="143" s="1"/>
  <c r="E401" i="143"/>
  <c r="D465" i="143"/>
  <c r="E464" i="143"/>
  <c r="C465" i="143"/>
  <c r="B465" i="143" s="1"/>
  <c r="F464" i="143"/>
  <c r="C372" i="143"/>
  <c r="B372" i="143" s="1"/>
  <c r="E371" i="143"/>
  <c r="F371" i="143"/>
  <c r="D372" i="143"/>
  <c r="F522" i="143"/>
  <c r="C523" i="143"/>
  <c r="B523" i="143" s="1"/>
  <c r="D523" i="143"/>
  <c r="E522" i="143"/>
  <c r="N102" i="143"/>
  <c r="H123" i="143"/>
  <c r="H135" i="143"/>
  <c r="C146" i="143"/>
  <c r="B146" i="143" s="1"/>
  <c r="E145" i="143"/>
  <c r="D146" i="143"/>
  <c r="F145" i="143"/>
  <c r="K231" i="143"/>
  <c r="C178" i="143"/>
  <c r="B178" i="143" s="1"/>
  <c r="E177" i="143"/>
  <c r="F177" i="143"/>
  <c r="D178" i="143"/>
  <c r="D78" i="143"/>
  <c r="C78" i="143"/>
  <c r="B78" i="143" s="1"/>
  <c r="F77" i="143"/>
  <c r="E77" i="143"/>
  <c r="F306" i="143"/>
  <c r="D307" i="143"/>
  <c r="E306" i="143"/>
  <c r="C307" i="143"/>
  <c r="B307" i="143" s="1"/>
  <c r="F212" i="143"/>
  <c r="D213" i="143"/>
  <c r="C213" i="143"/>
  <c r="B213" i="143" s="1"/>
  <c r="E212" i="143"/>
  <c r="F242" i="143"/>
  <c r="D243" i="143"/>
  <c r="C243" i="143"/>
  <c r="B243" i="143" s="1"/>
  <c r="E242" i="143"/>
  <c r="H168" i="143"/>
  <c r="F275" i="143"/>
  <c r="D276" i="143"/>
  <c r="E275" i="143"/>
  <c r="C276" i="143"/>
  <c r="B276" i="143" s="1"/>
  <c r="C112" i="143"/>
  <c r="B112" i="143" s="1"/>
  <c r="D112" i="143"/>
  <c r="F111" i="143"/>
  <c r="E111" i="143"/>
  <c r="H89" i="143"/>
  <c r="O63" i="186" l="1"/>
  <c r="G64" i="186" s="1"/>
  <c r="J64" i="186" s="1"/>
  <c r="M63" i="185"/>
  <c r="K20" i="185"/>
  <c r="J205" i="160"/>
  <c r="K205" i="160" s="1"/>
  <c r="M205" i="160" s="1"/>
  <c r="O205" i="160"/>
  <c r="G206" i="160" s="1"/>
  <c r="J206" i="160" s="1"/>
  <c r="N236" i="160"/>
  <c r="D250" i="160"/>
  <c r="E249" i="160"/>
  <c r="F249" i="160"/>
  <c r="C250" i="160"/>
  <c r="B250" i="160" s="1"/>
  <c r="F216" i="160"/>
  <c r="D217" i="160"/>
  <c r="E216" i="160"/>
  <c r="C217" i="160"/>
  <c r="B217" i="160" s="1"/>
  <c r="M68" i="143"/>
  <c r="O391" i="143"/>
  <c r="G392" i="143" s="1"/>
  <c r="O392" i="143" s="1"/>
  <c r="G393" i="143" s="1"/>
  <c r="H411" i="143" s="1"/>
  <c r="O360" i="143"/>
  <c r="G361" i="143" s="1"/>
  <c r="J361" i="143" s="1"/>
  <c r="N391" i="143"/>
  <c r="N360" i="143"/>
  <c r="I373" i="143"/>
  <c r="I362" i="143"/>
  <c r="I370" i="143"/>
  <c r="I378" i="143"/>
  <c r="I363" i="143"/>
  <c r="I371" i="143"/>
  <c r="I361" i="143"/>
  <c r="I368" i="143"/>
  <c r="I376" i="143"/>
  <c r="I369" i="143"/>
  <c r="I377" i="143"/>
  <c r="I366" i="143"/>
  <c r="I374" i="143"/>
  <c r="I367" i="143"/>
  <c r="I375" i="143"/>
  <c r="I364" i="143"/>
  <c r="I372" i="143"/>
  <c r="I365" i="143"/>
  <c r="N69" i="143"/>
  <c r="I185" i="143"/>
  <c r="I186" i="143"/>
  <c r="I187" i="143"/>
  <c r="H189" i="143"/>
  <c r="I182" i="143"/>
  <c r="I181" i="143"/>
  <c r="I172" i="143"/>
  <c r="I175" i="143"/>
  <c r="I178" i="143"/>
  <c r="I177" i="143"/>
  <c r="I173" i="143"/>
  <c r="I168" i="143"/>
  <c r="I179" i="143"/>
  <c r="I174" i="143"/>
  <c r="I184" i="143"/>
  <c r="I183" i="143"/>
  <c r="I180" i="143"/>
  <c r="I169" i="143"/>
  <c r="I176" i="143"/>
  <c r="I171" i="143"/>
  <c r="I170" i="143"/>
  <c r="N135" i="143"/>
  <c r="I146" i="143"/>
  <c r="I145" i="143"/>
  <c r="I138" i="143"/>
  <c r="I150" i="143"/>
  <c r="I147" i="143"/>
  <c r="I148" i="143"/>
  <c r="I142" i="143"/>
  <c r="I143" i="143"/>
  <c r="I149" i="143"/>
  <c r="I144" i="143"/>
  <c r="I139" i="143"/>
  <c r="I152" i="143"/>
  <c r="I151" i="143"/>
  <c r="I137" i="143"/>
  <c r="I154" i="143"/>
  <c r="I141" i="143"/>
  <c r="I140" i="143"/>
  <c r="I153" i="143"/>
  <c r="O102" i="143"/>
  <c r="G103" i="143" s="1"/>
  <c r="J103" i="143" s="1"/>
  <c r="D582" i="143"/>
  <c r="E581" i="143"/>
  <c r="C582" i="143"/>
  <c r="B582" i="143" s="1"/>
  <c r="F581" i="143"/>
  <c r="H380" i="143"/>
  <c r="C466" i="143"/>
  <c r="B466" i="143" s="1"/>
  <c r="D466" i="143"/>
  <c r="E465" i="143"/>
  <c r="F465" i="143"/>
  <c r="E552" i="143"/>
  <c r="C553" i="143"/>
  <c r="B553" i="143" s="1"/>
  <c r="F552" i="143"/>
  <c r="D553" i="143"/>
  <c r="E494" i="143"/>
  <c r="D495" i="143"/>
  <c r="F494" i="143"/>
  <c r="C495" i="143"/>
  <c r="B495" i="143" s="1"/>
  <c r="D434" i="143"/>
  <c r="E433" i="143"/>
  <c r="C434" i="143"/>
  <c r="B434" i="143" s="1"/>
  <c r="F433" i="143"/>
  <c r="D524" i="143"/>
  <c r="E523" i="143"/>
  <c r="C524" i="143"/>
  <c r="B524" i="143" s="1"/>
  <c r="F523" i="143"/>
  <c r="C373" i="143"/>
  <c r="B373" i="143" s="1"/>
  <c r="F372" i="143"/>
  <c r="E372" i="143"/>
  <c r="D373" i="143"/>
  <c r="D403" i="143"/>
  <c r="E402" i="143"/>
  <c r="F402" i="143"/>
  <c r="C403" i="143"/>
  <c r="B403" i="143" s="1"/>
  <c r="C340" i="143"/>
  <c r="B340" i="143" s="1"/>
  <c r="F339" i="143"/>
  <c r="D340" i="143"/>
  <c r="E339" i="143"/>
  <c r="D113" i="143"/>
  <c r="C113" i="143"/>
  <c r="B113" i="143" s="1"/>
  <c r="F112" i="143"/>
  <c r="E112" i="143"/>
  <c r="F178" i="143"/>
  <c r="D179" i="143"/>
  <c r="C179" i="143"/>
  <c r="B179" i="143" s="1"/>
  <c r="E178" i="143"/>
  <c r="D277" i="143"/>
  <c r="E276" i="143"/>
  <c r="C277" i="143"/>
  <c r="B277" i="143" s="1"/>
  <c r="F276" i="143"/>
  <c r="D244" i="143"/>
  <c r="E243" i="143"/>
  <c r="C244" i="143"/>
  <c r="B244" i="143" s="1"/>
  <c r="F243" i="143"/>
  <c r="D214" i="143"/>
  <c r="E213" i="143"/>
  <c r="C214" i="143"/>
  <c r="B214" i="143" s="1"/>
  <c r="F213" i="143"/>
  <c r="F78" i="143"/>
  <c r="D79" i="143"/>
  <c r="C79" i="143"/>
  <c r="B79" i="143" s="1"/>
  <c r="E78" i="143"/>
  <c r="N168" i="143"/>
  <c r="D308" i="143"/>
  <c r="E307" i="143"/>
  <c r="C308" i="143"/>
  <c r="B308" i="143" s="1"/>
  <c r="F307" i="143"/>
  <c r="D147" i="143"/>
  <c r="F146" i="143"/>
  <c r="C147" i="143"/>
  <c r="B147" i="143" s="1"/>
  <c r="E146" i="143"/>
  <c r="J19" i="186" l="1"/>
  <c r="K64" i="186"/>
  <c r="N64" i="186"/>
  <c r="M20" i="185"/>
  <c r="O63" i="185"/>
  <c r="G64" i="185" s="1"/>
  <c r="N205" i="160"/>
  <c r="N206" i="160"/>
  <c r="D218" i="160"/>
  <c r="E217" i="160"/>
  <c r="F217" i="160"/>
  <c r="C218" i="160"/>
  <c r="B218" i="160" s="1"/>
  <c r="C251" i="160"/>
  <c r="B251" i="160" s="1"/>
  <c r="D251" i="160"/>
  <c r="E250" i="160"/>
  <c r="F250" i="160"/>
  <c r="J392" i="143"/>
  <c r="K392" i="143" s="1"/>
  <c r="M392" i="143" s="1"/>
  <c r="N361" i="143"/>
  <c r="K361" i="143"/>
  <c r="M361" i="143" s="1"/>
  <c r="J393" i="143"/>
  <c r="N393" i="143" s="1"/>
  <c r="O361" i="143"/>
  <c r="G362" i="143" s="1"/>
  <c r="J362" i="143" s="1"/>
  <c r="K362" i="143" s="1"/>
  <c r="O103" i="143"/>
  <c r="G104" i="143" s="1"/>
  <c r="O104" i="143" s="1"/>
  <c r="G105" i="143" s="1"/>
  <c r="K200" i="143"/>
  <c r="N103" i="143"/>
  <c r="I380" i="143"/>
  <c r="C583" i="143"/>
  <c r="B583" i="143" s="1"/>
  <c r="F582" i="143"/>
  <c r="D583" i="143"/>
  <c r="E582" i="143"/>
  <c r="F434" i="143"/>
  <c r="C435" i="143"/>
  <c r="B435" i="143" s="1"/>
  <c r="E434" i="143"/>
  <c r="D435" i="143"/>
  <c r="C404" i="143"/>
  <c r="B404" i="143" s="1"/>
  <c r="D404" i="143"/>
  <c r="F403" i="143"/>
  <c r="E403" i="143"/>
  <c r="C525" i="143"/>
  <c r="B525" i="143" s="1"/>
  <c r="F524" i="143"/>
  <c r="D525" i="143"/>
  <c r="E524" i="143"/>
  <c r="C467" i="143"/>
  <c r="B467" i="143" s="1"/>
  <c r="D467" i="143"/>
  <c r="F466" i="143"/>
  <c r="E466" i="143"/>
  <c r="F373" i="143"/>
  <c r="D374" i="143"/>
  <c r="C374" i="143"/>
  <c r="B374" i="143" s="1"/>
  <c r="E373" i="143"/>
  <c r="F495" i="143"/>
  <c r="D496" i="143"/>
  <c r="E495" i="143"/>
  <c r="C496" i="143"/>
  <c r="B496" i="143" s="1"/>
  <c r="F340" i="143"/>
  <c r="E340" i="143"/>
  <c r="D341" i="143"/>
  <c r="C341" i="143"/>
  <c r="B341" i="143" s="1"/>
  <c r="F553" i="143"/>
  <c r="D554" i="143"/>
  <c r="C554" i="143"/>
  <c r="B554" i="143" s="1"/>
  <c r="E553" i="143"/>
  <c r="C278" i="143"/>
  <c r="B278" i="143" s="1"/>
  <c r="E277" i="143"/>
  <c r="D278" i="143"/>
  <c r="F277" i="143"/>
  <c r="C309" i="143"/>
  <c r="B309" i="143" s="1"/>
  <c r="D309" i="143"/>
  <c r="F308" i="143"/>
  <c r="E308" i="143"/>
  <c r="F147" i="143"/>
  <c r="D148" i="143"/>
  <c r="C148" i="143"/>
  <c r="B148" i="143" s="1"/>
  <c r="E147" i="143"/>
  <c r="D80" i="143"/>
  <c r="E79" i="143"/>
  <c r="C80" i="143"/>
  <c r="B80" i="143" s="1"/>
  <c r="F79" i="143"/>
  <c r="D180" i="143"/>
  <c r="E179" i="143"/>
  <c r="C180" i="143"/>
  <c r="B180" i="143" s="1"/>
  <c r="F179" i="143"/>
  <c r="C215" i="143"/>
  <c r="B215" i="143" s="1"/>
  <c r="D215" i="143"/>
  <c r="F214" i="143"/>
  <c r="E214" i="143"/>
  <c r="C245" i="143"/>
  <c r="B245" i="143" s="1"/>
  <c r="D245" i="143"/>
  <c r="F244" i="143"/>
  <c r="E244" i="143"/>
  <c r="K103" i="143"/>
  <c r="I123" i="143"/>
  <c r="F113" i="143"/>
  <c r="C114" i="143"/>
  <c r="B114" i="143" s="1"/>
  <c r="E113" i="143"/>
  <c r="D114" i="143"/>
  <c r="J64" i="185" l="1"/>
  <c r="N64" i="185" s="1"/>
  <c r="G66" i="185"/>
  <c r="K19" i="186"/>
  <c r="M64" i="186"/>
  <c r="M19" i="186" s="1"/>
  <c r="C252" i="160"/>
  <c r="B252" i="160" s="1"/>
  <c r="F251" i="160"/>
  <c r="E251" i="160"/>
  <c r="D252" i="160"/>
  <c r="C219" i="160"/>
  <c r="B219" i="160" s="1"/>
  <c r="D219" i="160"/>
  <c r="E218" i="160"/>
  <c r="F218" i="160"/>
  <c r="C584" i="143"/>
  <c r="B584" i="143" s="1"/>
  <c r="D584" i="143"/>
  <c r="D555" i="143"/>
  <c r="C555" i="143"/>
  <c r="B555" i="143" s="1"/>
  <c r="N392" i="143"/>
  <c r="N362" i="143"/>
  <c r="O362" i="143"/>
  <c r="G363" i="143" s="1"/>
  <c r="J363" i="143" s="1"/>
  <c r="C310" i="143"/>
  <c r="B310" i="143" s="1"/>
  <c r="D310" i="143"/>
  <c r="D279" i="143"/>
  <c r="C279" i="143"/>
  <c r="B279" i="143" s="1"/>
  <c r="J104" i="143"/>
  <c r="K104" i="143" s="1"/>
  <c r="M104" i="143" s="1"/>
  <c r="I471" i="143"/>
  <c r="I221" i="143"/>
  <c r="K452" i="143"/>
  <c r="F583" i="143"/>
  <c r="E583" i="143"/>
  <c r="E525" i="143"/>
  <c r="F525" i="143"/>
  <c r="C526" i="143"/>
  <c r="B526" i="143" s="1"/>
  <c r="D526" i="143"/>
  <c r="D436" i="143"/>
  <c r="E435" i="143"/>
  <c r="C436" i="143"/>
  <c r="B436" i="143" s="1"/>
  <c r="F435" i="143"/>
  <c r="E554" i="143"/>
  <c r="F554" i="143"/>
  <c r="F341" i="143"/>
  <c r="D342" i="143"/>
  <c r="E341" i="143"/>
  <c r="C342" i="143"/>
  <c r="B342" i="143" s="1"/>
  <c r="M362" i="143"/>
  <c r="D497" i="143"/>
  <c r="E496" i="143"/>
  <c r="F496" i="143"/>
  <c r="C497" i="143"/>
  <c r="B497" i="143" s="1"/>
  <c r="D375" i="143"/>
  <c r="E374" i="143"/>
  <c r="C375" i="143"/>
  <c r="B375" i="143" s="1"/>
  <c r="F374" i="143"/>
  <c r="F467" i="143"/>
  <c r="C468" i="143"/>
  <c r="B468" i="143" s="1"/>
  <c r="E467" i="143"/>
  <c r="D468" i="143"/>
  <c r="D405" i="143"/>
  <c r="E404" i="143"/>
  <c r="C405" i="143"/>
  <c r="B405" i="143" s="1"/>
  <c r="F404" i="143"/>
  <c r="D115" i="143"/>
  <c r="E114" i="143"/>
  <c r="C115" i="143"/>
  <c r="B115" i="143" s="1"/>
  <c r="F114" i="143"/>
  <c r="M103" i="143"/>
  <c r="C181" i="143"/>
  <c r="B181" i="143" s="1"/>
  <c r="D181" i="143"/>
  <c r="F180" i="143"/>
  <c r="E180" i="143"/>
  <c r="D149" i="143"/>
  <c r="E148" i="143"/>
  <c r="F148" i="143"/>
  <c r="C149" i="143"/>
  <c r="B149" i="143" s="1"/>
  <c r="F309" i="143"/>
  <c r="E309" i="143"/>
  <c r="D246" i="143"/>
  <c r="F245" i="143"/>
  <c r="C246" i="143"/>
  <c r="B246" i="143" s="1"/>
  <c r="E245" i="143"/>
  <c r="D216" i="143"/>
  <c r="F215" i="143"/>
  <c r="C216" i="143"/>
  <c r="B216" i="143" s="1"/>
  <c r="E215" i="143"/>
  <c r="C81" i="143"/>
  <c r="B81" i="143" s="1"/>
  <c r="E80" i="143"/>
  <c r="D81" i="143"/>
  <c r="F80" i="143"/>
  <c r="O105" i="143"/>
  <c r="G106" i="143" s="1"/>
  <c r="J105" i="143"/>
  <c r="K105" i="143" s="1"/>
  <c r="M105" i="143" s="1"/>
  <c r="F278" i="143"/>
  <c r="E278" i="143"/>
  <c r="O64" i="186" l="1"/>
  <c r="G65" i="186" s="1"/>
  <c r="J65" i="186" s="1"/>
  <c r="N66" i="185"/>
  <c r="J21" i="185"/>
  <c r="J22" i="185" s="1"/>
  <c r="K64" i="185"/>
  <c r="J66" i="185"/>
  <c r="F252" i="160"/>
  <c r="E252" i="160"/>
  <c r="D253" i="160"/>
  <c r="C253" i="160"/>
  <c r="B253" i="160" s="1"/>
  <c r="C220" i="160"/>
  <c r="B220" i="160" s="1"/>
  <c r="D220" i="160"/>
  <c r="E219" i="160"/>
  <c r="F219" i="160"/>
  <c r="F584" i="143"/>
  <c r="E584" i="143"/>
  <c r="O363" i="143"/>
  <c r="G364" i="143" s="1"/>
  <c r="O364" i="143" s="1"/>
  <c r="G365" i="143" s="1"/>
  <c r="E555" i="143"/>
  <c r="C556" i="143"/>
  <c r="B556" i="143" s="1"/>
  <c r="F555" i="143"/>
  <c r="D556" i="143"/>
  <c r="C527" i="143"/>
  <c r="B527" i="143" s="1"/>
  <c r="D527" i="143"/>
  <c r="D498" i="143"/>
  <c r="C498" i="143"/>
  <c r="B498" i="143" s="1"/>
  <c r="C469" i="143"/>
  <c r="B469" i="143" s="1"/>
  <c r="D469" i="143"/>
  <c r="N104" i="143"/>
  <c r="F310" i="143"/>
  <c r="C311" i="143"/>
  <c r="B311" i="143" s="1"/>
  <c r="E310" i="143"/>
  <c r="D311" i="143"/>
  <c r="F279" i="143"/>
  <c r="E279" i="143"/>
  <c r="D280" i="143"/>
  <c r="C280" i="143"/>
  <c r="B280" i="143" s="1"/>
  <c r="D217" i="143"/>
  <c r="C217" i="143"/>
  <c r="B217" i="143" s="1"/>
  <c r="L559" i="143"/>
  <c r="L586" i="143"/>
  <c r="J364" i="143"/>
  <c r="K364" i="143" s="1"/>
  <c r="M364" i="143" s="1"/>
  <c r="F405" i="143"/>
  <c r="C406" i="143"/>
  <c r="B406" i="143" s="1"/>
  <c r="E405" i="143"/>
  <c r="D406" i="143"/>
  <c r="F497" i="143"/>
  <c r="E497" i="143"/>
  <c r="E468" i="143"/>
  <c r="F468" i="143"/>
  <c r="K363" i="143"/>
  <c r="N363" i="143"/>
  <c r="D343" i="143"/>
  <c r="E342" i="143"/>
  <c r="C343" i="143"/>
  <c r="B343" i="143" s="1"/>
  <c r="F342" i="143"/>
  <c r="F526" i="143"/>
  <c r="E526" i="143"/>
  <c r="C376" i="143"/>
  <c r="B376" i="143" s="1"/>
  <c r="D376" i="143"/>
  <c r="E375" i="143"/>
  <c r="F375" i="143"/>
  <c r="C437" i="143"/>
  <c r="B437" i="143" s="1"/>
  <c r="F436" i="143"/>
  <c r="E436" i="143"/>
  <c r="D437" i="143"/>
  <c r="F216" i="143"/>
  <c r="E216" i="143"/>
  <c r="F246" i="143"/>
  <c r="C247" i="143"/>
  <c r="B247" i="143" s="1"/>
  <c r="E246" i="143"/>
  <c r="D247" i="143"/>
  <c r="C116" i="143"/>
  <c r="B116" i="143" s="1"/>
  <c r="F115" i="143"/>
  <c r="E115" i="143"/>
  <c r="D116" i="143"/>
  <c r="J106" i="143"/>
  <c r="K106" i="143" s="1"/>
  <c r="M106" i="143" s="1"/>
  <c r="O106" i="143"/>
  <c r="G107" i="143" s="1"/>
  <c r="D182" i="143"/>
  <c r="F181" i="143"/>
  <c r="C182" i="143"/>
  <c r="B182" i="143" s="1"/>
  <c r="E181" i="143"/>
  <c r="N105" i="143"/>
  <c r="D82" i="143"/>
  <c r="C82" i="143"/>
  <c r="B82" i="143" s="1"/>
  <c r="F81" i="143"/>
  <c r="E81" i="143"/>
  <c r="L317" i="143"/>
  <c r="C150" i="143"/>
  <c r="B150" i="143" s="1"/>
  <c r="D150" i="143"/>
  <c r="F149" i="143"/>
  <c r="E149" i="143"/>
  <c r="J20" i="186" l="1"/>
  <c r="K65" i="186"/>
  <c r="K21" i="185"/>
  <c r="K22" i="185" s="1"/>
  <c r="M64" i="185"/>
  <c r="K66" i="185"/>
  <c r="N65" i="186"/>
  <c r="E253" i="160"/>
  <c r="F253" i="160"/>
  <c r="F220" i="160"/>
  <c r="D221" i="160"/>
  <c r="C221" i="160"/>
  <c r="B221" i="160" s="1"/>
  <c r="E220" i="160"/>
  <c r="E556" i="143"/>
  <c r="F556" i="143"/>
  <c r="D557" i="143"/>
  <c r="C557" i="143"/>
  <c r="B557" i="143" s="1"/>
  <c r="F527" i="143"/>
  <c r="C528" i="143"/>
  <c r="B528" i="143" s="1"/>
  <c r="D528" i="143"/>
  <c r="E527" i="143"/>
  <c r="F498" i="143"/>
  <c r="C499" i="143"/>
  <c r="B499" i="143" s="1"/>
  <c r="E498" i="143"/>
  <c r="D499" i="143"/>
  <c r="F469" i="143"/>
  <c r="E469" i="143"/>
  <c r="D312" i="143"/>
  <c r="E311" i="143"/>
  <c r="C312" i="143"/>
  <c r="B312" i="143" s="1"/>
  <c r="F311" i="143"/>
  <c r="E280" i="143"/>
  <c r="C281" i="143"/>
  <c r="B281" i="143" s="1"/>
  <c r="F280" i="143"/>
  <c r="D281" i="143"/>
  <c r="D248" i="143"/>
  <c r="C248" i="143"/>
  <c r="B248" i="143" s="1"/>
  <c r="F217" i="143"/>
  <c r="E217" i="143"/>
  <c r="D218" i="143"/>
  <c r="C218" i="143"/>
  <c r="B218" i="143" s="1"/>
  <c r="L501" i="143"/>
  <c r="C344" i="143"/>
  <c r="B344" i="143" s="1"/>
  <c r="D344" i="143"/>
  <c r="E343" i="143"/>
  <c r="F343" i="143"/>
  <c r="M363" i="143"/>
  <c r="E376" i="143"/>
  <c r="C377" i="143"/>
  <c r="B377" i="143" s="1"/>
  <c r="F376" i="143"/>
  <c r="D377" i="143"/>
  <c r="D407" i="143"/>
  <c r="E406" i="143"/>
  <c r="C407" i="143"/>
  <c r="B407" i="143" s="1"/>
  <c r="F406" i="143"/>
  <c r="O365" i="143"/>
  <c r="G366" i="143" s="1"/>
  <c r="J365" i="143"/>
  <c r="D438" i="143"/>
  <c r="C438" i="143"/>
  <c r="B438" i="143" s="1"/>
  <c r="F437" i="143"/>
  <c r="E437" i="143"/>
  <c r="N364" i="143"/>
  <c r="N106" i="143"/>
  <c r="C117" i="143"/>
  <c r="B117" i="143" s="1"/>
  <c r="F116" i="143"/>
  <c r="D117" i="143"/>
  <c r="E116" i="143"/>
  <c r="F82" i="143"/>
  <c r="D83" i="143"/>
  <c r="C83" i="143"/>
  <c r="B83" i="143" s="1"/>
  <c r="E82" i="143"/>
  <c r="F182" i="143"/>
  <c r="D183" i="143"/>
  <c r="E182" i="143"/>
  <c r="C183" i="143"/>
  <c r="B183" i="143" s="1"/>
  <c r="E247" i="143"/>
  <c r="F247" i="143"/>
  <c r="C151" i="143"/>
  <c r="B151" i="143" s="1"/>
  <c r="E150" i="143"/>
  <c r="D151" i="143"/>
  <c r="F150" i="143"/>
  <c r="L253" i="143"/>
  <c r="O231" i="143"/>
  <c r="G232" i="143" s="1"/>
  <c r="H232" i="143" s="1"/>
  <c r="M231" i="143"/>
  <c r="O107" i="143"/>
  <c r="G108" i="143" s="1"/>
  <c r="J107" i="143"/>
  <c r="K107" i="143" s="1"/>
  <c r="M107" i="143" s="1"/>
  <c r="C33" i="197" l="1"/>
  <c r="C32" i="197"/>
  <c r="D32" i="197"/>
  <c r="E33" i="197"/>
  <c r="B33" i="197"/>
  <c r="B32" i="197"/>
  <c r="F32" i="197" s="1"/>
  <c r="E32" i="197"/>
  <c r="D33" i="197"/>
  <c r="M65" i="186"/>
  <c r="M20" i="186" s="1"/>
  <c r="K20" i="186"/>
  <c r="M21" i="185"/>
  <c r="M22" i="185" s="1"/>
  <c r="M66" i="185"/>
  <c r="O64" i="185"/>
  <c r="O66" i="185" s="1"/>
  <c r="D222" i="160"/>
  <c r="E221" i="160"/>
  <c r="F221" i="160"/>
  <c r="C222" i="160"/>
  <c r="B222" i="160" s="1"/>
  <c r="E557" i="143"/>
  <c r="F557" i="143"/>
  <c r="F528" i="143"/>
  <c r="E528" i="143"/>
  <c r="E499" i="143"/>
  <c r="F499" i="143"/>
  <c r="K365" i="143"/>
  <c r="D313" i="143"/>
  <c r="C313" i="143"/>
  <c r="B313" i="143" s="1"/>
  <c r="F312" i="143"/>
  <c r="E312" i="143"/>
  <c r="F281" i="143"/>
  <c r="D282" i="143"/>
  <c r="E281" i="143"/>
  <c r="C282" i="143"/>
  <c r="B282" i="143" s="1"/>
  <c r="D249" i="143"/>
  <c r="C249" i="143"/>
  <c r="B249" i="143" s="1"/>
  <c r="E248" i="143"/>
  <c r="F248" i="143"/>
  <c r="I233" i="143"/>
  <c r="I237" i="143"/>
  <c r="I244" i="143"/>
  <c r="I245" i="143"/>
  <c r="I246" i="143"/>
  <c r="I234" i="143"/>
  <c r="I242" i="143"/>
  <c r="I241" i="143"/>
  <c r="I235" i="143"/>
  <c r="I239" i="143"/>
  <c r="I236" i="143"/>
  <c r="I249" i="143"/>
  <c r="I251" i="143"/>
  <c r="I243" i="143"/>
  <c r="I248" i="143"/>
  <c r="I250" i="143"/>
  <c r="I247" i="143"/>
  <c r="I238" i="143"/>
  <c r="I232" i="143"/>
  <c r="I240" i="143"/>
  <c r="H253" i="143"/>
  <c r="D219" i="143"/>
  <c r="E218" i="143"/>
  <c r="C219" i="143"/>
  <c r="B219" i="143" s="1"/>
  <c r="F218" i="143"/>
  <c r="N365" i="143"/>
  <c r="L530" i="143"/>
  <c r="F438" i="143"/>
  <c r="C439" i="143"/>
  <c r="B439" i="143" s="1"/>
  <c r="E438" i="143"/>
  <c r="D439" i="143"/>
  <c r="C408" i="143"/>
  <c r="B408" i="143" s="1"/>
  <c r="F407" i="143"/>
  <c r="E407" i="143"/>
  <c r="D408" i="143"/>
  <c r="J366" i="143"/>
  <c r="K366" i="143" s="1"/>
  <c r="M366" i="143" s="1"/>
  <c r="O366" i="143"/>
  <c r="G367" i="143" s="1"/>
  <c r="F377" i="143"/>
  <c r="D378" i="143"/>
  <c r="C378" i="143"/>
  <c r="B378" i="143" s="1"/>
  <c r="E377" i="143"/>
  <c r="F344" i="143"/>
  <c r="D345" i="143"/>
  <c r="C345" i="143"/>
  <c r="B345" i="143" s="1"/>
  <c r="E344" i="143"/>
  <c r="N107" i="143"/>
  <c r="N232" i="143"/>
  <c r="F117" i="143"/>
  <c r="E117" i="143"/>
  <c r="D118" i="143"/>
  <c r="C118" i="143"/>
  <c r="B118" i="143" s="1"/>
  <c r="J108" i="143"/>
  <c r="K108" i="143" s="1"/>
  <c r="O108" i="143"/>
  <c r="G109" i="143" s="1"/>
  <c r="F151" i="143"/>
  <c r="D152" i="143"/>
  <c r="C152" i="143"/>
  <c r="B152" i="143" s="1"/>
  <c r="E151" i="143"/>
  <c r="L285" i="143"/>
  <c r="D184" i="143"/>
  <c r="E183" i="143"/>
  <c r="C184" i="143"/>
  <c r="B184" i="143" s="1"/>
  <c r="F183" i="143"/>
  <c r="D84" i="143"/>
  <c r="E83" i="143"/>
  <c r="C84" i="143"/>
  <c r="B84" i="143" s="1"/>
  <c r="F83" i="143"/>
  <c r="F33" i="197" l="1"/>
  <c r="O65" i="186"/>
  <c r="G66" i="186" s="1"/>
  <c r="D223" i="160"/>
  <c r="E222" i="160"/>
  <c r="F222" i="160"/>
  <c r="C223" i="160"/>
  <c r="B223" i="160" s="1"/>
  <c r="M365" i="143"/>
  <c r="F313" i="143"/>
  <c r="D314" i="143"/>
  <c r="E313" i="143"/>
  <c r="C314" i="143"/>
  <c r="B314" i="143" s="1"/>
  <c r="D283" i="143"/>
  <c r="E282" i="143"/>
  <c r="C283" i="143"/>
  <c r="B283" i="143" s="1"/>
  <c r="F282" i="143"/>
  <c r="I253" i="143"/>
  <c r="O232" i="143"/>
  <c r="G233" i="143" s="1"/>
  <c r="J233" i="143" s="1"/>
  <c r="K233" i="143" s="1"/>
  <c r="M233" i="143" s="1"/>
  <c r="C250" i="143"/>
  <c r="B250" i="143" s="1"/>
  <c r="D250" i="143"/>
  <c r="F249" i="143"/>
  <c r="E249" i="143"/>
  <c r="I501" i="143"/>
  <c r="K481" i="143"/>
  <c r="M481" i="143" s="1"/>
  <c r="O481" i="143"/>
  <c r="G482" i="143" s="1"/>
  <c r="E219" i="143"/>
  <c r="F219" i="143"/>
  <c r="D185" i="143"/>
  <c r="C185" i="143"/>
  <c r="B185" i="143" s="1"/>
  <c r="D153" i="143"/>
  <c r="C153" i="143"/>
  <c r="B153" i="143" s="1"/>
  <c r="M108" i="143"/>
  <c r="N366" i="143"/>
  <c r="F345" i="143"/>
  <c r="D346" i="143"/>
  <c r="E345" i="143"/>
  <c r="C346" i="143"/>
  <c r="B346" i="143" s="1"/>
  <c r="E378" i="143"/>
  <c r="F378" i="143"/>
  <c r="E439" i="143"/>
  <c r="F439" i="143"/>
  <c r="O367" i="143"/>
  <c r="G368" i="143" s="1"/>
  <c r="J367" i="143"/>
  <c r="D409" i="143"/>
  <c r="C409" i="143"/>
  <c r="B409" i="143" s="1"/>
  <c r="F408" i="143"/>
  <c r="E408" i="143"/>
  <c r="N108" i="143"/>
  <c r="E152" i="143"/>
  <c r="F152" i="143"/>
  <c r="O109" i="143"/>
  <c r="G110" i="143" s="1"/>
  <c r="J109" i="143"/>
  <c r="D119" i="143"/>
  <c r="E118" i="143"/>
  <c r="C119" i="143"/>
  <c r="B119" i="143" s="1"/>
  <c r="F118" i="143"/>
  <c r="K232" i="143"/>
  <c r="C85" i="143"/>
  <c r="B85" i="143" s="1"/>
  <c r="E84" i="143"/>
  <c r="D85" i="143"/>
  <c r="F84" i="143"/>
  <c r="E184" i="143"/>
  <c r="F184" i="143"/>
  <c r="J66" i="186" l="1"/>
  <c r="N66" i="186" s="1"/>
  <c r="N68" i="186" s="1"/>
  <c r="G68" i="186"/>
  <c r="E223" i="160"/>
  <c r="F223" i="160"/>
  <c r="O233" i="143"/>
  <c r="G234" i="143" s="1"/>
  <c r="J234" i="143" s="1"/>
  <c r="K234" i="143" s="1"/>
  <c r="M234" i="143" s="1"/>
  <c r="K367" i="143"/>
  <c r="C315" i="143"/>
  <c r="B315" i="143" s="1"/>
  <c r="F314" i="143"/>
  <c r="D315" i="143"/>
  <c r="E314" i="143"/>
  <c r="F283" i="143"/>
  <c r="E283" i="143"/>
  <c r="J482" i="143"/>
  <c r="N482" i="143" s="1"/>
  <c r="O482" i="143"/>
  <c r="G483" i="143" s="1"/>
  <c r="K262" i="143"/>
  <c r="M262" i="143" s="1"/>
  <c r="O262" i="143"/>
  <c r="G263" i="143" s="1"/>
  <c r="H263" i="143" s="1"/>
  <c r="C251" i="143"/>
  <c r="B251" i="143" s="1"/>
  <c r="F250" i="143"/>
  <c r="D251" i="143"/>
  <c r="E250" i="143"/>
  <c r="F185" i="143"/>
  <c r="E185" i="143"/>
  <c r="D186" i="143"/>
  <c r="C186" i="143"/>
  <c r="B186" i="143" s="1"/>
  <c r="F153" i="143"/>
  <c r="C154" i="143"/>
  <c r="B154" i="143" s="1"/>
  <c r="E153" i="143"/>
  <c r="D154" i="143"/>
  <c r="D120" i="143"/>
  <c r="C120" i="143"/>
  <c r="B120" i="143" s="1"/>
  <c r="K109" i="143"/>
  <c r="C86" i="143"/>
  <c r="B86" i="143" s="1"/>
  <c r="D86" i="143"/>
  <c r="L471" i="143"/>
  <c r="O452" i="143"/>
  <c r="G453" i="143" s="1"/>
  <c r="M452" i="143"/>
  <c r="L441" i="143"/>
  <c r="F409" i="143"/>
  <c r="E409" i="143"/>
  <c r="N367" i="143"/>
  <c r="O368" i="143"/>
  <c r="G369" i="143" s="1"/>
  <c r="J368" i="143"/>
  <c r="K368" i="143" s="1"/>
  <c r="M368" i="143" s="1"/>
  <c r="E346" i="143"/>
  <c r="F346" i="143"/>
  <c r="F85" i="143"/>
  <c r="E85" i="143"/>
  <c r="L221" i="143"/>
  <c r="O200" i="143"/>
  <c r="G201" i="143" s="1"/>
  <c r="M200" i="143"/>
  <c r="M232" i="143"/>
  <c r="J110" i="143"/>
  <c r="K110" i="143" s="1"/>
  <c r="M110" i="143" s="1"/>
  <c r="O110" i="143"/>
  <c r="G111" i="143" s="1"/>
  <c r="F119" i="143"/>
  <c r="E119" i="143"/>
  <c r="L189" i="143"/>
  <c r="N233" i="143"/>
  <c r="N109" i="143"/>
  <c r="O234" i="143" l="1"/>
  <c r="G235" i="143" s="1"/>
  <c r="J21" i="186"/>
  <c r="J22" i="186" s="1"/>
  <c r="K66" i="186"/>
  <c r="J68" i="186"/>
  <c r="M367" i="143"/>
  <c r="F315" i="143"/>
  <c r="E315" i="143"/>
  <c r="F251" i="143"/>
  <c r="E251" i="143"/>
  <c r="O263" i="143"/>
  <c r="G264" i="143" s="1"/>
  <c r="H264" i="143" s="1"/>
  <c r="J483" i="143"/>
  <c r="O483" i="143"/>
  <c r="G484" i="143" s="1"/>
  <c r="K482" i="143"/>
  <c r="E186" i="143"/>
  <c r="C187" i="143"/>
  <c r="B187" i="143" s="1"/>
  <c r="F186" i="143"/>
  <c r="D187" i="143"/>
  <c r="F154" i="143"/>
  <c r="E154" i="143"/>
  <c r="F120" i="143"/>
  <c r="D121" i="143"/>
  <c r="E120" i="143"/>
  <c r="C121" i="143"/>
  <c r="B121" i="143" s="1"/>
  <c r="M109" i="143"/>
  <c r="F86" i="143"/>
  <c r="C87" i="143"/>
  <c r="B87" i="143" s="1"/>
  <c r="D87" i="143"/>
  <c r="E86" i="143"/>
  <c r="L411" i="143"/>
  <c r="N368" i="143"/>
  <c r="O453" i="143"/>
  <c r="G454" i="143" s="1"/>
  <c r="J453" i="143"/>
  <c r="N453" i="143" s="1"/>
  <c r="O369" i="143"/>
  <c r="G370" i="143" s="1"/>
  <c r="J369" i="143"/>
  <c r="N110" i="143"/>
  <c r="O201" i="143"/>
  <c r="G202" i="143" s="1"/>
  <c r="J201" i="143"/>
  <c r="J235" i="143"/>
  <c r="K235" i="143" s="1"/>
  <c r="M235" i="143" s="1"/>
  <c r="O235" i="143"/>
  <c r="G236" i="143" s="1"/>
  <c r="O111" i="143"/>
  <c r="G112" i="143" s="1"/>
  <c r="J111" i="143"/>
  <c r="K111" i="143" s="1"/>
  <c r="M111" i="143" s="1"/>
  <c r="L156" i="143"/>
  <c r="N234" i="143"/>
  <c r="M66" i="186" l="1"/>
  <c r="K21" i="186"/>
  <c r="K22" i="186" s="1"/>
  <c r="K68" i="186"/>
  <c r="K369" i="143"/>
  <c r="H285" i="143"/>
  <c r="I278" i="143"/>
  <c r="I271" i="143"/>
  <c r="I266" i="143"/>
  <c r="I270" i="143"/>
  <c r="I274" i="143"/>
  <c r="I268" i="143"/>
  <c r="I281" i="143"/>
  <c r="I267" i="143"/>
  <c r="I280" i="143"/>
  <c r="I275" i="143"/>
  <c r="I279" i="143"/>
  <c r="I264" i="143"/>
  <c r="O264" i="143" s="1"/>
  <c r="G265" i="143" s="1"/>
  <c r="J265" i="143" s="1"/>
  <c r="I276" i="143"/>
  <c r="I272" i="143"/>
  <c r="I283" i="143"/>
  <c r="I282" i="143"/>
  <c r="I265" i="143"/>
  <c r="I269" i="143"/>
  <c r="I273" i="143"/>
  <c r="I277" i="143"/>
  <c r="N263" i="143"/>
  <c r="K263" i="143"/>
  <c r="O484" i="143"/>
  <c r="G485" i="143" s="1"/>
  <c r="J484" i="143"/>
  <c r="M482" i="143"/>
  <c r="K483" i="143"/>
  <c r="M483" i="143" s="1"/>
  <c r="N483" i="143"/>
  <c r="F187" i="143"/>
  <c r="E187" i="143"/>
  <c r="F121" i="143"/>
  <c r="E121" i="143"/>
  <c r="F87" i="143"/>
  <c r="E87" i="143"/>
  <c r="O454" i="143"/>
  <c r="G455" i="143" s="1"/>
  <c r="J454" i="143"/>
  <c r="K454" i="143" s="1"/>
  <c r="M454" i="143" s="1"/>
  <c r="K453" i="143"/>
  <c r="J370" i="143"/>
  <c r="K370" i="143" s="1"/>
  <c r="M370" i="143" s="1"/>
  <c r="O370" i="143"/>
  <c r="G371" i="143" s="1"/>
  <c r="N369" i="143"/>
  <c r="J112" i="143"/>
  <c r="K112" i="143" s="1"/>
  <c r="O112" i="143"/>
  <c r="G113" i="143" s="1"/>
  <c r="O236" i="143"/>
  <c r="G237" i="143" s="1"/>
  <c r="J236" i="143"/>
  <c r="K236" i="143" s="1"/>
  <c r="O202" i="143"/>
  <c r="G203" i="143" s="1"/>
  <c r="J202" i="143"/>
  <c r="K202" i="143" s="1"/>
  <c r="M202" i="143" s="1"/>
  <c r="N111" i="143"/>
  <c r="N235" i="143"/>
  <c r="K201" i="143"/>
  <c r="N201" i="143"/>
  <c r="O66" i="186" l="1"/>
  <c r="O68" i="186" s="1"/>
  <c r="M21" i="186"/>
  <c r="M22" i="186" s="1"/>
  <c r="M68" i="186"/>
  <c r="M369" i="143"/>
  <c r="K265" i="143"/>
  <c r="O293" i="143"/>
  <c r="G294" i="143" s="1"/>
  <c r="H294" i="143" s="1"/>
  <c r="I285" i="143"/>
  <c r="K484" i="143"/>
  <c r="N484" i="143"/>
  <c r="K264" i="143"/>
  <c r="M264" i="143" s="1"/>
  <c r="N264" i="143"/>
  <c r="J485" i="143"/>
  <c r="O485" i="143"/>
  <c r="G486" i="143" s="1"/>
  <c r="M263" i="143"/>
  <c r="O265" i="143"/>
  <c r="G266" i="143" s="1"/>
  <c r="J266" i="143" s="1"/>
  <c r="K266" i="143" s="1"/>
  <c r="M236" i="143"/>
  <c r="M112" i="143"/>
  <c r="N454" i="143"/>
  <c r="M453" i="143"/>
  <c r="O455" i="143"/>
  <c r="G456" i="143" s="1"/>
  <c r="J455" i="143"/>
  <c r="O371" i="143"/>
  <c r="G372" i="143" s="1"/>
  <c r="J371" i="143"/>
  <c r="N370" i="143"/>
  <c r="N202" i="143"/>
  <c r="M201" i="143"/>
  <c r="O203" i="143"/>
  <c r="G204" i="143" s="1"/>
  <c r="J203" i="143"/>
  <c r="K203" i="143" s="1"/>
  <c r="M203" i="143" s="1"/>
  <c r="N236" i="143"/>
  <c r="N112" i="143"/>
  <c r="O237" i="143"/>
  <c r="G238" i="143" s="1"/>
  <c r="J237" i="143"/>
  <c r="K237" i="143" s="1"/>
  <c r="M237" i="143" s="1"/>
  <c r="O113" i="143"/>
  <c r="G114" i="143" s="1"/>
  <c r="J113" i="143"/>
  <c r="K113" i="143" s="1"/>
  <c r="M113" i="143" s="1"/>
  <c r="M484" i="143" l="1"/>
  <c r="K455" i="143"/>
  <c r="K371" i="143"/>
  <c r="M293" i="143"/>
  <c r="O294" i="143"/>
  <c r="G295" i="143" s="1"/>
  <c r="H295" i="143" s="1"/>
  <c r="M265" i="143"/>
  <c r="N265" i="143"/>
  <c r="O266" i="143"/>
  <c r="G267" i="143" s="1"/>
  <c r="J267" i="143" s="1"/>
  <c r="K267" i="143" s="1"/>
  <c r="J486" i="143"/>
  <c r="O486" i="143"/>
  <c r="G487" i="143" s="1"/>
  <c r="K485" i="143"/>
  <c r="M485" i="143" s="1"/>
  <c r="N485" i="143"/>
  <c r="N203" i="143"/>
  <c r="N237" i="143"/>
  <c r="J456" i="143"/>
  <c r="K456" i="143" s="1"/>
  <c r="M456" i="143" s="1"/>
  <c r="O456" i="143"/>
  <c r="G457" i="143" s="1"/>
  <c r="N455" i="143"/>
  <c r="O372" i="143"/>
  <c r="G373" i="143" s="1"/>
  <c r="J372" i="143"/>
  <c r="K372" i="143" s="1"/>
  <c r="M372" i="143" s="1"/>
  <c r="N371" i="143"/>
  <c r="O238" i="143"/>
  <c r="G239" i="143" s="1"/>
  <c r="J238" i="143"/>
  <c r="J204" i="143"/>
  <c r="K204" i="143" s="1"/>
  <c r="M204" i="143" s="1"/>
  <c r="O204" i="143"/>
  <c r="G205" i="143" s="1"/>
  <c r="J114" i="143"/>
  <c r="K114" i="143" s="1"/>
  <c r="M114" i="143" s="1"/>
  <c r="O114" i="143"/>
  <c r="G115" i="143" s="1"/>
  <c r="N113" i="143"/>
  <c r="M455" i="143" l="1"/>
  <c r="M371" i="143"/>
  <c r="M295" i="143"/>
  <c r="O295" i="143"/>
  <c r="G296" i="143" s="1"/>
  <c r="H296" i="143" s="1"/>
  <c r="N294" i="143"/>
  <c r="O487" i="143"/>
  <c r="G488" i="143" s="1"/>
  <c r="J487" i="143"/>
  <c r="K487" i="143" s="1"/>
  <c r="M487" i="143" s="1"/>
  <c r="M266" i="143"/>
  <c r="N266" i="143"/>
  <c r="K486" i="143"/>
  <c r="M486" i="143" s="1"/>
  <c r="N486" i="143"/>
  <c r="O267" i="143"/>
  <c r="G268" i="143" s="1"/>
  <c r="J268" i="143" s="1"/>
  <c r="K238" i="143"/>
  <c r="N456" i="143"/>
  <c r="O457" i="143"/>
  <c r="G458" i="143" s="1"/>
  <c r="J457" i="143"/>
  <c r="K457" i="143" s="1"/>
  <c r="M457" i="143" s="1"/>
  <c r="O373" i="143"/>
  <c r="G374" i="143" s="1"/>
  <c r="J373" i="143"/>
  <c r="N372" i="143"/>
  <c r="N114" i="143"/>
  <c r="J239" i="143"/>
  <c r="K239" i="143" s="1"/>
  <c r="M239" i="143" s="1"/>
  <c r="O239" i="143"/>
  <c r="G240" i="143" s="1"/>
  <c r="O205" i="143"/>
  <c r="G206" i="143" s="1"/>
  <c r="J205" i="143"/>
  <c r="O115" i="143"/>
  <c r="G116" i="143" s="1"/>
  <c r="J115" i="143"/>
  <c r="K115" i="143" s="1"/>
  <c r="M115" i="143" s="1"/>
  <c r="N204" i="143"/>
  <c r="N238" i="143"/>
  <c r="K373" i="143" l="1"/>
  <c r="I297" i="143"/>
  <c r="I299" i="143"/>
  <c r="S36" i="143" s="1"/>
  <c r="I303" i="143"/>
  <c r="S40" i="143" s="1"/>
  <c r="I300" i="143"/>
  <c r="S37" i="143" s="1"/>
  <c r="I304" i="143"/>
  <c r="S41" i="143" s="1"/>
  <c r="I296" i="143"/>
  <c r="I298" i="143"/>
  <c r="S35" i="143" s="1"/>
  <c r="I308" i="143"/>
  <c r="S45" i="143" s="1"/>
  <c r="I306" i="143"/>
  <c r="S43" i="143" s="1"/>
  <c r="I307" i="143"/>
  <c r="S44" i="143" s="1"/>
  <c r="I312" i="143"/>
  <c r="S49" i="143" s="1"/>
  <c r="I311" i="143"/>
  <c r="S48" i="143" s="1"/>
  <c r="I314" i="143"/>
  <c r="S51" i="143" s="1"/>
  <c r="I305" i="143"/>
  <c r="S42" i="143" s="1"/>
  <c r="I309" i="143"/>
  <c r="S46" i="143" s="1"/>
  <c r="I313" i="143"/>
  <c r="S50" i="143" s="1"/>
  <c r="I302" i="143"/>
  <c r="S39" i="143" s="1"/>
  <c r="I315" i="143"/>
  <c r="S52" i="143" s="1"/>
  <c r="I301" i="143"/>
  <c r="S38" i="143" s="1"/>
  <c r="I310" i="143"/>
  <c r="S47" i="143" s="1"/>
  <c r="H317" i="143"/>
  <c r="N295" i="143"/>
  <c r="K268" i="143"/>
  <c r="M294" i="143"/>
  <c r="M267" i="143"/>
  <c r="N267" i="143"/>
  <c r="J488" i="143"/>
  <c r="K488" i="143" s="1"/>
  <c r="M488" i="143" s="1"/>
  <c r="O488" i="143"/>
  <c r="G489" i="143" s="1"/>
  <c r="O268" i="143"/>
  <c r="G269" i="143" s="1"/>
  <c r="J269" i="143" s="1"/>
  <c r="K269" i="143" s="1"/>
  <c r="N487" i="143"/>
  <c r="M238" i="143"/>
  <c r="K205" i="143"/>
  <c r="N457" i="143"/>
  <c r="O458" i="143"/>
  <c r="G459" i="143" s="1"/>
  <c r="J458" i="143"/>
  <c r="K458" i="143" s="1"/>
  <c r="M458" i="143" s="1"/>
  <c r="J374" i="143"/>
  <c r="K374" i="143" s="1"/>
  <c r="M374" i="143" s="1"/>
  <c r="O374" i="143"/>
  <c r="G375" i="143" s="1"/>
  <c r="N373" i="143"/>
  <c r="N205" i="143"/>
  <c r="O116" i="143"/>
  <c r="G117" i="143" s="1"/>
  <c r="J116" i="143"/>
  <c r="K116" i="143" s="1"/>
  <c r="M116" i="143" s="1"/>
  <c r="N239" i="143"/>
  <c r="N115" i="143"/>
  <c r="J206" i="143"/>
  <c r="K206" i="143" s="1"/>
  <c r="M206" i="143" s="1"/>
  <c r="O206" i="143"/>
  <c r="G207" i="143" s="1"/>
  <c r="J240" i="143"/>
  <c r="K240" i="143" s="1"/>
  <c r="M240" i="143" s="1"/>
  <c r="O240" i="143"/>
  <c r="G241" i="143" s="1"/>
  <c r="M373" i="143" l="1"/>
  <c r="I317" i="143"/>
  <c r="K567" i="143"/>
  <c r="I586" i="143"/>
  <c r="O567" i="143"/>
  <c r="G568" i="143" s="1"/>
  <c r="K538" i="143"/>
  <c r="O538" i="143"/>
  <c r="G539" i="143" s="1"/>
  <c r="I559" i="143"/>
  <c r="O296" i="143"/>
  <c r="G297" i="143" s="1"/>
  <c r="J297" i="143" s="1"/>
  <c r="K297" i="143" s="1"/>
  <c r="K296" i="143"/>
  <c r="N296" i="143"/>
  <c r="O269" i="143"/>
  <c r="G270" i="143" s="1"/>
  <c r="J270" i="143" s="1"/>
  <c r="K270" i="143" s="1"/>
  <c r="M268" i="143"/>
  <c r="N268" i="143"/>
  <c r="O489" i="143"/>
  <c r="G490" i="143" s="1"/>
  <c r="J489" i="143"/>
  <c r="N488" i="143"/>
  <c r="M205" i="143"/>
  <c r="N458" i="143"/>
  <c r="N374" i="143"/>
  <c r="O459" i="143"/>
  <c r="G460" i="143" s="1"/>
  <c r="J459" i="143"/>
  <c r="K459" i="143" s="1"/>
  <c r="M459" i="143" s="1"/>
  <c r="J375" i="143"/>
  <c r="K375" i="143" s="1"/>
  <c r="M375" i="143" s="1"/>
  <c r="O375" i="143"/>
  <c r="G376" i="143" s="1"/>
  <c r="O241" i="143"/>
  <c r="G242" i="143" s="1"/>
  <c r="J241" i="143"/>
  <c r="K241" i="143" s="1"/>
  <c r="O117" i="143"/>
  <c r="G118" i="143" s="1"/>
  <c r="J117" i="143"/>
  <c r="K117" i="143" s="1"/>
  <c r="M117" i="143" s="1"/>
  <c r="N206" i="143"/>
  <c r="N240" i="143"/>
  <c r="O207" i="143"/>
  <c r="G208" i="143" s="1"/>
  <c r="J207" i="143"/>
  <c r="K207" i="143" s="1"/>
  <c r="M207" i="143" s="1"/>
  <c r="N116" i="143"/>
  <c r="M297" i="143" l="1"/>
  <c r="O297" i="143"/>
  <c r="G298" i="143" s="1"/>
  <c r="J298" i="143" s="1"/>
  <c r="K298" i="143" s="1"/>
  <c r="O539" i="143"/>
  <c r="G540" i="143" s="1"/>
  <c r="J539" i="143"/>
  <c r="O568" i="143"/>
  <c r="G569" i="143" s="1"/>
  <c r="J568" i="143"/>
  <c r="N568" i="143" s="1"/>
  <c r="M567" i="143"/>
  <c r="M538" i="143"/>
  <c r="M296" i="143"/>
  <c r="N297" i="143"/>
  <c r="K489" i="143"/>
  <c r="N489" i="143"/>
  <c r="O270" i="143"/>
  <c r="G271" i="143" s="1"/>
  <c r="J271" i="143" s="1"/>
  <c r="K271" i="143" s="1"/>
  <c r="J490" i="143"/>
  <c r="O490" i="143"/>
  <c r="G491" i="143" s="1"/>
  <c r="M269" i="143"/>
  <c r="N269" i="143"/>
  <c r="M241" i="143"/>
  <c r="N459" i="143"/>
  <c r="O460" i="143"/>
  <c r="G461" i="143" s="1"/>
  <c r="J460" i="143"/>
  <c r="O376" i="143"/>
  <c r="G377" i="143" s="1"/>
  <c r="J376" i="143"/>
  <c r="K376" i="143" s="1"/>
  <c r="M376" i="143" s="1"/>
  <c r="N375" i="143"/>
  <c r="N207" i="143"/>
  <c r="N241" i="143"/>
  <c r="N117" i="143"/>
  <c r="J208" i="143"/>
  <c r="K208" i="143" s="1"/>
  <c r="M208" i="143" s="1"/>
  <c r="O208" i="143"/>
  <c r="G209" i="143" s="1"/>
  <c r="O242" i="143"/>
  <c r="G243" i="143" s="1"/>
  <c r="J242" i="143"/>
  <c r="K242" i="143" s="1"/>
  <c r="M242" i="143" s="1"/>
  <c r="J118" i="143"/>
  <c r="K118" i="143" s="1"/>
  <c r="M118" i="143" s="1"/>
  <c r="O118" i="143"/>
  <c r="G119" i="143" s="1"/>
  <c r="M489" i="143" l="1"/>
  <c r="K460" i="143"/>
  <c r="O298" i="143"/>
  <c r="G299" i="143" s="1"/>
  <c r="J299" i="143" s="1"/>
  <c r="K299" i="143" s="1"/>
  <c r="M299" i="143" s="1"/>
  <c r="M298" i="143"/>
  <c r="N539" i="143"/>
  <c r="K539" i="143"/>
  <c r="K568" i="143"/>
  <c r="J569" i="143"/>
  <c r="K569" i="143" s="1"/>
  <c r="M569" i="143" s="1"/>
  <c r="O569" i="143"/>
  <c r="G570" i="143" s="1"/>
  <c r="O540" i="143"/>
  <c r="G541" i="143" s="1"/>
  <c r="J540" i="143"/>
  <c r="K540" i="143" s="1"/>
  <c r="M540" i="143" s="1"/>
  <c r="N298" i="143"/>
  <c r="K490" i="143"/>
  <c r="M490" i="143" s="1"/>
  <c r="N490" i="143"/>
  <c r="M270" i="143"/>
  <c r="N270" i="143"/>
  <c r="O271" i="143"/>
  <c r="G272" i="143" s="1"/>
  <c r="J272" i="143" s="1"/>
  <c r="K272" i="143" s="1"/>
  <c r="M271" i="143"/>
  <c r="O491" i="143"/>
  <c r="G492" i="143" s="1"/>
  <c r="J491" i="143"/>
  <c r="N376" i="143"/>
  <c r="N460" i="143"/>
  <c r="O461" i="143"/>
  <c r="G462" i="143" s="1"/>
  <c r="J461" i="143"/>
  <c r="K461" i="143" s="1"/>
  <c r="M461" i="143" s="1"/>
  <c r="O377" i="143"/>
  <c r="G378" i="143" s="1"/>
  <c r="J377" i="143"/>
  <c r="K377" i="143" s="1"/>
  <c r="M377" i="143" s="1"/>
  <c r="N208" i="143"/>
  <c r="O119" i="143"/>
  <c r="J119" i="143"/>
  <c r="N242" i="143"/>
  <c r="J243" i="143"/>
  <c r="K243" i="143" s="1"/>
  <c r="O243" i="143"/>
  <c r="G244" i="143" s="1"/>
  <c r="J209" i="143"/>
  <c r="O209" i="143"/>
  <c r="G210" i="143" s="1"/>
  <c r="N118" i="143"/>
  <c r="M460" i="143" l="1"/>
  <c r="O299" i="143"/>
  <c r="G300" i="143" s="1"/>
  <c r="J300" i="143" s="1"/>
  <c r="K300" i="143" s="1"/>
  <c r="M300" i="143" s="1"/>
  <c r="N540" i="143"/>
  <c r="M539" i="143"/>
  <c r="N569" i="143"/>
  <c r="O570" i="143"/>
  <c r="G571" i="143" s="1"/>
  <c r="J570" i="143"/>
  <c r="K570" i="143" s="1"/>
  <c r="M570" i="143" s="1"/>
  <c r="J541" i="143"/>
  <c r="K541" i="143" s="1"/>
  <c r="M541" i="143" s="1"/>
  <c r="O541" i="143"/>
  <c r="G542" i="143" s="1"/>
  <c r="M568" i="143"/>
  <c r="N299" i="143"/>
  <c r="K491" i="143"/>
  <c r="M491" i="143" s="1"/>
  <c r="N491" i="143"/>
  <c r="O492" i="143"/>
  <c r="G493" i="143" s="1"/>
  <c r="J492" i="143"/>
  <c r="K492" i="143" s="1"/>
  <c r="M492" i="143" s="1"/>
  <c r="O272" i="143"/>
  <c r="G273" i="143" s="1"/>
  <c r="J273" i="143" s="1"/>
  <c r="K273" i="143" s="1"/>
  <c r="M272" i="143"/>
  <c r="N271" i="143"/>
  <c r="M243" i="143"/>
  <c r="K209" i="143"/>
  <c r="M209" i="143" s="1"/>
  <c r="G120" i="143"/>
  <c r="K119" i="143"/>
  <c r="N377" i="143"/>
  <c r="J462" i="143"/>
  <c r="K462" i="143" s="1"/>
  <c r="M462" i="143" s="1"/>
  <c r="O462" i="143"/>
  <c r="G463" i="143" s="1"/>
  <c r="N461" i="143"/>
  <c r="J378" i="143"/>
  <c r="O378" i="143"/>
  <c r="N119" i="143"/>
  <c r="O210" i="143"/>
  <c r="G211" i="143" s="1"/>
  <c r="J210" i="143"/>
  <c r="K210" i="143" s="1"/>
  <c r="M210" i="143" s="1"/>
  <c r="N243" i="143"/>
  <c r="N209" i="143"/>
  <c r="O244" i="143"/>
  <c r="G245" i="143" s="1"/>
  <c r="J244" i="143"/>
  <c r="K244" i="143" s="1"/>
  <c r="M244" i="143" s="1"/>
  <c r="O300" i="143" l="1"/>
  <c r="G301" i="143" s="1"/>
  <c r="J301" i="143" s="1"/>
  <c r="K301" i="143" s="1"/>
  <c r="M301" i="143" s="1"/>
  <c r="K378" i="143"/>
  <c r="N570" i="143"/>
  <c r="O542" i="143"/>
  <c r="G543" i="143" s="1"/>
  <c r="J542" i="143"/>
  <c r="K542" i="143" s="1"/>
  <c r="M542" i="143" s="1"/>
  <c r="J571" i="143"/>
  <c r="O571" i="143"/>
  <c r="G572" i="143" s="1"/>
  <c r="N541" i="143"/>
  <c r="O301" i="143"/>
  <c r="G302" i="143" s="1"/>
  <c r="J302" i="143" s="1"/>
  <c r="K302" i="143" s="1"/>
  <c r="N300" i="143"/>
  <c r="O493" i="143"/>
  <c r="G494" i="143" s="1"/>
  <c r="J493" i="143"/>
  <c r="N272" i="143"/>
  <c r="O273" i="143"/>
  <c r="G274" i="143" s="1"/>
  <c r="J274" i="143" s="1"/>
  <c r="K274" i="143" s="1"/>
  <c r="N492" i="143"/>
  <c r="O120" i="143"/>
  <c r="J120" i="143"/>
  <c r="M119" i="143"/>
  <c r="N462" i="143"/>
  <c r="O463" i="143"/>
  <c r="G464" i="143" s="1"/>
  <c r="J463" i="143"/>
  <c r="K463" i="143" s="1"/>
  <c r="M463" i="143" s="1"/>
  <c r="N378" i="143"/>
  <c r="N244" i="143"/>
  <c r="N210" i="143"/>
  <c r="O245" i="143"/>
  <c r="G246" i="143" s="1"/>
  <c r="J245" i="143"/>
  <c r="K245" i="143" s="1"/>
  <c r="O211" i="143"/>
  <c r="G212" i="143" s="1"/>
  <c r="J211" i="143"/>
  <c r="K211" i="143" s="1"/>
  <c r="M211" i="143" s="1"/>
  <c r="K571" i="143" l="1"/>
  <c r="M378" i="143"/>
  <c r="N571" i="143"/>
  <c r="N542" i="143"/>
  <c r="O572" i="143"/>
  <c r="G573" i="143" s="1"/>
  <c r="J572" i="143"/>
  <c r="K572" i="143" s="1"/>
  <c r="M572" i="143" s="1"/>
  <c r="J543" i="143"/>
  <c r="K543" i="143" s="1"/>
  <c r="O543" i="143"/>
  <c r="G544" i="143" s="1"/>
  <c r="N301" i="143"/>
  <c r="O302" i="143"/>
  <c r="G303" i="143" s="1"/>
  <c r="J303" i="143" s="1"/>
  <c r="K303" i="143" s="1"/>
  <c r="M302" i="143"/>
  <c r="M274" i="143"/>
  <c r="O274" i="143"/>
  <c r="G275" i="143" s="1"/>
  <c r="J275" i="143" s="1"/>
  <c r="K275" i="143" s="1"/>
  <c r="K493" i="143"/>
  <c r="M493" i="143" s="1"/>
  <c r="N493" i="143"/>
  <c r="J494" i="143"/>
  <c r="O494" i="143"/>
  <c r="G495" i="143" s="1"/>
  <c r="M273" i="143"/>
  <c r="N273" i="143"/>
  <c r="M245" i="143"/>
  <c r="K120" i="143"/>
  <c r="N120" i="143"/>
  <c r="G121" i="143"/>
  <c r="J464" i="143"/>
  <c r="K464" i="143" s="1"/>
  <c r="M464" i="143" s="1"/>
  <c r="O464" i="143"/>
  <c r="G465" i="143" s="1"/>
  <c r="N463" i="143"/>
  <c r="O246" i="143"/>
  <c r="G247" i="143" s="1"/>
  <c r="J246" i="143"/>
  <c r="K246" i="143" s="1"/>
  <c r="M246" i="143" s="1"/>
  <c r="O212" i="143"/>
  <c r="G213" i="143" s="1"/>
  <c r="J212" i="143"/>
  <c r="K212" i="143" s="1"/>
  <c r="M212" i="143" s="1"/>
  <c r="N211" i="143"/>
  <c r="N245" i="143"/>
  <c r="M571" i="143" l="1"/>
  <c r="M543" i="143"/>
  <c r="N572" i="143"/>
  <c r="N543" i="143"/>
  <c r="J544" i="143"/>
  <c r="K544" i="143" s="1"/>
  <c r="M544" i="143" s="1"/>
  <c r="O544" i="143"/>
  <c r="G545" i="143" s="1"/>
  <c r="J573" i="143"/>
  <c r="K573" i="143" s="1"/>
  <c r="M573" i="143" s="1"/>
  <c r="O573" i="143"/>
  <c r="G574" i="143" s="1"/>
  <c r="N274" i="143"/>
  <c r="N302" i="143"/>
  <c r="O303" i="143"/>
  <c r="G304" i="143" s="1"/>
  <c r="J304" i="143" s="1"/>
  <c r="K304" i="143" s="1"/>
  <c r="M303" i="143"/>
  <c r="J495" i="143"/>
  <c r="O495" i="143"/>
  <c r="G496" i="143" s="1"/>
  <c r="O275" i="143"/>
  <c r="G276" i="143" s="1"/>
  <c r="J276" i="143" s="1"/>
  <c r="K276" i="143" s="1"/>
  <c r="K494" i="143"/>
  <c r="M494" i="143" s="1"/>
  <c r="N494" i="143"/>
  <c r="O121" i="143"/>
  <c r="O123" i="143" s="1"/>
  <c r="J121" i="143"/>
  <c r="G123" i="143"/>
  <c r="M120" i="143"/>
  <c r="N246" i="143"/>
  <c r="N464" i="143"/>
  <c r="J465" i="143"/>
  <c r="K465" i="143" s="1"/>
  <c r="M465" i="143" s="1"/>
  <c r="O465" i="143"/>
  <c r="G466" i="143" s="1"/>
  <c r="N212" i="143"/>
  <c r="J247" i="143"/>
  <c r="O247" i="143"/>
  <c r="J213" i="143"/>
  <c r="K213" i="143" s="1"/>
  <c r="M213" i="143" s="1"/>
  <c r="O213" i="143"/>
  <c r="G214" i="143" s="1"/>
  <c r="O380" i="143" l="1"/>
  <c r="G380" i="143"/>
  <c r="N573" i="143"/>
  <c r="N544" i="143"/>
  <c r="J545" i="143"/>
  <c r="O545" i="143"/>
  <c r="G546" i="143" s="1"/>
  <c r="O574" i="143"/>
  <c r="G575" i="143" s="1"/>
  <c r="J574" i="143"/>
  <c r="K574" i="143" s="1"/>
  <c r="N303" i="143"/>
  <c r="O304" i="143"/>
  <c r="G305" i="143" s="1"/>
  <c r="J305" i="143" s="1"/>
  <c r="K305" i="143" s="1"/>
  <c r="M275" i="143"/>
  <c r="N275" i="143"/>
  <c r="O496" i="143"/>
  <c r="G497" i="143" s="1"/>
  <c r="J496" i="143"/>
  <c r="K495" i="143"/>
  <c r="M495" i="143" s="1"/>
  <c r="N495" i="143"/>
  <c r="O276" i="143"/>
  <c r="G277" i="143" s="1"/>
  <c r="J277" i="143" s="1"/>
  <c r="K277" i="143" s="1"/>
  <c r="G248" i="143"/>
  <c r="K247" i="143"/>
  <c r="K121" i="143"/>
  <c r="J123" i="143"/>
  <c r="N121" i="143"/>
  <c r="N123" i="143" s="1"/>
  <c r="J466" i="143"/>
  <c r="K466" i="143" s="1"/>
  <c r="M466" i="143" s="1"/>
  <c r="O466" i="143"/>
  <c r="G467" i="143" s="1"/>
  <c r="N465" i="143"/>
  <c r="N247" i="143"/>
  <c r="O214" i="143"/>
  <c r="G215" i="143" s="1"/>
  <c r="J214" i="143"/>
  <c r="K214" i="143" s="1"/>
  <c r="M214" i="143" s="1"/>
  <c r="N213" i="143"/>
  <c r="M574" i="143" l="1"/>
  <c r="K545" i="143"/>
  <c r="J380" i="143"/>
  <c r="N380" i="143"/>
  <c r="N574" i="143"/>
  <c r="N545" i="143"/>
  <c r="M304" i="143"/>
  <c r="O546" i="143"/>
  <c r="G547" i="143" s="1"/>
  <c r="J546" i="143"/>
  <c r="K546" i="143" s="1"/>
  <c r="M546" i="143" s="1"/>
  <c r="O575" i="143"/>
  <c r="G576" i="143" s="1"/>
  <c r="J575" i="143"/>
  <c r="K575" i="143" s="1"/>
  <c r="M575" i="143" s="1"/>
  <c r="O305" i="143"/>
  <c r="G306" i="143" s="1"/>
  <c r="J306" i="143" s="1"/>
  <c r="K306" i="143" s="1"/>
  <c r="M305" i="143"/>
  <c r="N304" i="143"/>
  <c r="K496" i="143"/>
  <c r="M496" i="143" s="1"/>
  <c r="N496" i="143"/>
  <c r="M276" i="143"/>
  <c r="N276" i="143"/>
  <c r="M277" i="143"/>
  <c r="O277" i="143"/>
  <c r="G278" i="143" s="1"/>
  <c r="O497" i="143"/>
  <c r="J497" i="143"/>
  <c r="J248" i="143"/>
  <c r="O248" i="143"/>
  <c r="M247" i="143"/>
  <c r="M121" i="143"/>
  <c r="M123" i="143" s="1"/>
  <c r="K123" i="143"/>
  <c r="N466" i="143"/>
  <c r="J467" i="143"/>
  <c r="K467" i="143" s="1"/>
  <c r="M467" i="143" s="1"/>
  <c r="O467" i="143"/>
  <c r="G468" i="143" s="1"/>
  <c r="N214" i="143"/>
  <c r="O215" i="143"/>
  <c r="G216" i="143" s="1"/>
  <c r="J215" i="143"/>
  <c r="K215" i="143" s="1"/>
  <c r="M215" i="143" s="1"/>
  <c r="M545" i="143" l="1"/>
  <c r="G498" i="143"/>
  <c r="M380" i="143"/>
  <c r="K380" i="143"/>
  <c r="N546" i="143"/>
  <c r="N575" i="143"/>
  <c r="O576" i="143"/>
  <c r="G577" i="143" s="1"/>
  <c r="J576" i="143"/>
  <c r="K576" i="143" s="1"/>
  <c r="J547" i="143"/>
  <c r="O547" i="143"/>
  <c r="G548" i="143" s="1"/>
  <c r="J278" i="143"/>
  <c r="O306" i="143"/>
  <c r="G307" i="143" s="1"/>
  <c r="J307" i="143" s="1"/>
  <c r="K307" i="143" s="1"/>
  <c r="N305" i="143"/>
  <c r="K497" i="143"/>
  <c r="N497" i="143"/>
  <c r="O278" i="143"/>
  <c r="N277" i="143"/>
  <c r="G249" i="143"/>
  <c r="K248" i="143"/>
  <c r="N248" i="143"/>
  <c r="N467" i="143"/>
  <c r="J468" i="143"/>
  <c r="K468" i="143" s="1"/>
  <c r="M468" i="143" s="1"/>
  <c r="O468" i="143"/>
  <c r="N215" i="143"/>
  <c r="O216" i="143"/>
  <c r="J216" i="143"/>
  <c r="M576" i="143" l="1"/>
  <c r="K547" i="143"/>
  <c r="O498" i="143"/>
  <c r="J498" i="143"/>
  <c r="N498" i="143" s="1"/>
  <c r="M497" i="143"/>
  <c r="G469" i="143"/>
  <c r="G471" i="143" s="1"/>
  <c r="N547" i="143"/>
  <c r="N576" i="143"/>
  <c r="M306" i="143"/>
  <c r="J548" i="143"/>
  <c r="K548" i="143" s="1"/>
  <c r="M548" i="143" s="1"/>
  <c r="O548" i="143"/>
  <c r="G549" i="143" s="1"/>
  <c r="J577" i="143"/>
  <c r="K577" i="143" s="1"/>
  <c r="M577" i="143" s="1"/>
  <c r="O577" i="143"/>
  <c r="G578" i="143" s="1"/>
  <c r="G279" i="143"/>
  <c r="N306" i="143"/>
  <c r="K278" i="143"/>
  <c r="M307" i="143"/>
  <c r="O307" i="143"/>
  <c r="G308" i="143" s="1"/>
  <c r="J308" i="143" s="1"/>
  <c r="K308" i="143" s="1"/>
  <c r="N278" i="143"/>
  <c r="M248" i="143"/>
  <c r="J249" i="143"/>
  <c r="N249" i="143" s="1"/>
  <c r="O249" i="143"/>
  <c r="G217" i="143"/>
  <c r="K216" i="143"/>
  <c r="N468" i="143"/>
  <c r="N216" i="143"/>
  <c r="M547" i="143" l="1"/>
  <c r="K498" i="143"/>
  <c r="G499" i="143"/>
  <c r="O469" i="143"/>
  <c r="O471" i="143" s="1"/>
  <c r="J469" i="143"/>
  <c r="N577" i="143"/>
  <c r="N548" i="143"/>
  <c r="O549" i="143"/>
  <c r="G550" i="143" s="1"/>
  <c r="J549" i="143"/>
  <c r="K549" i="143" s="1"/>
  <c r="M549" i="143" s="1"/>
  <c r="N307" i="143"/>
  <c r="J578" i="143"/>
  <c r="K578" i="143" s="1"/>
  <c r="O578" i="143"/>
  <c r="G579" i="143" s="1"/>
  <c r="M278" i="143"/>
  <c r="O279" i="143"/>
  <c r="J279" i="143"/>
  <c r="O308" i="143"/>
  <c r="G309" i="143" s="1"/>
  <c r="J309" i="143" s="1"/>
  <c r="K309" i="143" s="1"/>
  <c r="M308" i="143"/>
  <c r="G250" i="143"/>
  <c r="K249" i="143"/>
  <c r="O217" i="143"/>
  <c r="J217" i="143"/>
  <c r="M216" i="143"/>
  <c r="M578" i="143" l="1"/>
  <c r="M498" i="143"/>
  <c r="O499" i="143"/>
  <c r="O501" i="143" s="1"/>
  <c r="J499" i="143"/>
  <c r="N499" i="143" s="1"/>
  <c r="N501" i="143" s="1"/>
  <c r="G501" i="143"/>
  <c r="K469" i="143"/>
  <c r="J471" i="143"/>
  <c r="N469" i="143"/>
  <c r="N471" i="143" s="1"/>
  <c r="N578" i="143"/>
  <c r="N549" i="143"/>
  <c r="J579" i="143"/>
  <c r="K579" i="143" s="1"/>
  <c r="M579" i="143" s="1"/>
  <c r="O579" i="143"/>
  <c r="G580" i="143" s="1"/>
  <c r="O550" i="143"/>
  <c r="G551" i="143" s="1"/>
  <c r="J550" i="143"/>
  <c r="K550" i="143" s="1"/>
  <c r="M550" i="143" s="1"/>
  <c r="G280" i="143"/>
  <c r="K279" i="143"/>
  <c r="N279" i="143"/>
  <c r="M309" i="143"/>
  <c r="O309" i="143"/>
  <c r="N308" i="143"/>
  <c r="O250" i="143"/>
  <c r="J250" i="143"/>
  <c r="M249" i="143"/>
  <c r="K217" i="143"/>
  <c r="N217" i="143"/>
  <c r="G218" i="143"/>
  <c r="K499" i="143" l="1"/>
  <c r="J501" i="143"/>
  <c r="M469" i="143"/>
  <c r="M471" i="143" s="1"/>
  <c r="K471" i="143"/>
  <c r="N579" i="143"/>
  <c r="N550" i="143"/>
  <c r="G310" i="143"/>
  <c r="J580" i="143"/>
  <c r="K580" i="143" s="1"/>
  <c r="O580" i="143"/>
  <c r="G581" i="143" s="1"/>
  <c r="O551" i="143"/>
  <c r="G552" i="143" s="1"/>
  <c r="J551" i="143"/>
  <c r="K551" i="143" s="1"/>
  <c r="M551" i="143" s="1"/>
  <c r="M279" i="143"/>
  <c r="J280" i="143"/>
  <c r="O280" i="143"/>
  <c r="N309" i="143"/>
  <c r="K250" i="143"/>
  <c r="N250" i="143"/>
  <c r="G251" i="143"/>
  <c r="O218" i="143"/>
  <c r="J218" i="143"/>
  <c r="M217" i="143"/>
  <c r="M580" i="143" l="1"/>
  <c r="M499" i="143"/>
  <c r="M501" i="143" s="1"/>
  <c r="K501" i="143"/>
  <c r="N551" i="143"/>
  <c r="N580" i="143"/>
  <c r="O310" i="143"/>
  <c r="J310" i="143"/>
  <c r="J581" i="143"/>
  <c r="K581" i="143" s="1"/>
  <c r="M581" i="143" s="1"/>
  <c r="O581" i="143"/>
  <c r="G582" i="143" s="1"/>
  <c r="J552" i="143"/>
  <c r="K552" i="143" s="1"/>
  <c r="M552" i="143" s="1"/>
  <c r="O552" i="143"/>
  <c r="G553" i="143" s="1"/>
  <c r="G281" i="143"/>
  <c r="K280" i="143"/>
  <c r="N280" i="143"/>
  <c r="O251" i="143"/>
  <c r="O253" i="143" s="1"/>
  <c r="J251" i="143"/>
  <c r="N251" i="143" s="1"/>
  <c r="N253" i="143" s="1"/>
  <c r="G253" i="143"/>
  <c r="M250" i="143"/>
  <c r="G219" i="143"/>
  <c r="K218" i="143"/>
  <c r="N218" i="143"/>
  <c r="N581" i="143" l="1"/>
  <c r="N552" i="143"/>
  <c r="K310" i="143"/>
  <c r="N310" i="143"/>
  <c r="G311" i="143"/>
  <c r="J582" i="143"/>
  <c r="K582" i="143" s="1"/>
  <c r="M582" i="143" s="1"/>
  <c r="O582" i="143"/>
  <c r="G583" i="143" s="1"/>
  <c r="J553" i="143"/>
  <c r="K553" i="143" s="1"/>
  <c r="M553" i="143" s="1"/>
  <c r="O553" i="143"/>
  <c r="G554" i="143" s="1"/>
  <c r="M280" i="143"/>
  <c r="O281" i="143"/>
  <c r="J281" i="143"/>
  <c r="K251" i="143"/>
  <c r="J253" i="143"/>
  <c r="M218" i="143"/>
  <c r="J219" i="143"/>
  <c r="O219" i="143"/>
  <c r="O221" i="143" s="1"/>
  <c r="G221" i="143"/>
  <c r="N582" i="143" l="1"/>
  <c r="J311" i="143"/>
  <c r="N311" i="143" s="1"/>
  <c r="O311" i="143"/>
  <c r="M310" i="143"/>
  <c r="N553" i="143"/>
  <c r="J583" i="143"/>
  <c r="K583" i="143" s="1"/>
  <c r="M583" i="143" s="1"/>
  <c r="O583" i="143"/>
  <c r="J554" i="143"/>
  <c r="O554" i="143"/>
  <c r="G555" i="143" s="1"/>
  <c r="G282" i="143"/>
  <c r="K281" i="143"/>
  <c r="N281" i="143"/>
  <c r="M251" i="143"/>
  <c r="M253" i="143" s="1"/>
  <c r="K253" i="143"/>
  <c r="K219" i="143"/>
  <c r="J221" i="143"/>
  <c r="N219" i="143"/>
  <c r="N221" i="143" s="1"/>
  <c r="G584" i="143" l="1"/>
  <c r="G586" i="143" s="1"/>
  <c r="J555" i="143"/>
  <c r="K555" i="143" s="1"/>
  <c r="M555" i="143" s="1"/>
  <c r="O555" i="143"/>
  <c r="G556" i="143" s="1"/>
  <c r="K554" i="143"/>
  <c r="N554" i="143"/>
  <c r="G312" i="143"/>
  <c r="K311" i="143"/>
  <c r="N583" i="143"/>
  <c r="M281" i="143"/>
  <c r="O282" i="143"/>
  <c r="J282" i="143"/>
  <c r="N282" i="143" s="1"/>
  <c r="M219" i="143"/>
  <c r="M221" i="143" s="1"/>
  <c r="K221" i="143"/>
  <c r="O584" i="143" l="1"/>
  <c r="O586" i="143" s="1"/>
  <c r="J584" i="143"/>
  <c r="J556" i="143"/>
  <c r="K556" i="143" s="1"/>
  <c r="M556" i="143" s="1"/>
  <c r="O556" i="143"/>
  <c r="G557" i="143" s="1"/>
  <c r="N555" i="143"/>
  <c r="M554" i="143"/>
  <c r="M311" i="143"/>
  <c r="O312" i="143"/>
  <c r="J312" i="143"/>
  <c r="N312" i="143" s="1"/>
  <c r="G283" i="143"/>
  <c r="K282" i="143"/>
  <c r="K584" i="143" l="1"/>
  <c r="J586" i="143"/>
  <c r="N584" i="143"/>
  <c r="N586" i="143" s="1"/>
  <c r="J557" i="143"/>
  <c r="K557" i="143" s="1"/>
  <c r="M557" i="143" s="1"/>
  <c r="O557" i="143"/>
  <c r="N556" i="143"/>
  <c r="G313" i="143"/>
  <c r="K312" i="143"/>
  <c r="M282" i="143"/>
  <c r="O283" i="143"/>
  <c r="O285" i="143" s="1"/>
  <c r="J283" i="143"/>
  <c r="N283" i="143" s="1"/>
  <c r="N285" i="143" s="1"/>
  <c r="G285" i="143"/>
  <c r="M584" i="143" l="1"/>
  <c r="M586" i="143" s="1"/>
  <c r="K586" i="143"/>
  <c r="N557" i="143"/>
  <c r="N559" i="143" s="1"/>
  <c r="O559" i="143"/>
  <c r="G559" i="143"/>
  <c r="M312" i="143"/>
  <c r="O313" i="143"/>
  <c r="J313" i="143"/>
  <c r="N313" i="143" s="1"/>
  <c r="K283" i="143"/>
  <c r="J285" i="143"/>
  <c r="J559" i="143" l="1"/>
  <c r="G314" i="143"/>
  <c r="K313" i="143"/>
  <c r="M283" i="143"/>
  <c r="M285" i="143" s="1"/>
  <c r="K285" i="143"/>
  <c r="M559" i="143" l="1"/>
  <c r="K559" i="143"/>
  <c r="M313" i="143"/>
  <c r="O314" i="143"/>
  <c r="J314" i="143"/>
  <c r="N314" i="143" s="1"/>
  <c r="G315" i="143" l="1"/>
  <c r="K314" i="143"/>
  <c r="M314" i="143" l="1"/>
  <c r="O315" i="143"/>
  <c r="O317" i="143" s="1"/>
  <c r="J315" i="143"/>
  <c r="N315" i="143" s="1"/>
  <c r="N317" i="143" s="1"/>
  <c r="G317" i="143"/>
  <c r="K315" i="143" l="1"/>
  <c r="J317" i="143"/>
  <c r="M315" i="143" l="1"/>
  <c r="M317" i="143" s="1"/>
  <c r="K317" i="143"/>
  <c r="M64" i="177" l="1"/>
  <c r="K63" i="177"/>
  <c r="M63" i="177" s="1"/>
  <c r="K62" i="177"/>
  <c r="M62" i="177" s="1"/>
  <c r="K61" i="177"/>
  <c r="M61" i="177" s="1"/>
  <c r="D61" i="177"/>
  <c r="K36" i="177"/>
  <c r="M36" i="177" s="1"/>
  <c r="K35" i="177"/>
  <c r="M35" i="177" s="1"/>
  <c r="K34" i="177"/>
  <c r="M34" i="177" s="1"/>
  <c r="K33" i="177"/>
  <c r="M33" i="177" s="1"/>
  <c r="C33" i="177"/>
  <c r="D33" i="177" s="1"/>
  <c r="F28" i="177"/>
  <c r="G89" i="177" s="1"/>
  <c r="F27" i="177"/>
  <c r="E26" i="177"/>
  <c r="E29" i="177" s="1"/>
  <c r="D26" i="177"/>
  <c r="D29" i="177" s="1"/>
  <c r="C26" i="177"/>
  <c r="F25" i="177"/>
  <c r="F24" i="177"/>
  <c r="F23" i="177"/>
  <c r="F22" i="177"/>
  <c r="F21" i="177"/>
  <c r="F20" i="177"/>
  <c r="F19" i="177"/>
  <c r="F18" i="177"/>
  <c r="F17" i="177"/>
  <c r="F16" i="177"/>
  <c r="F15" i="177"/>
  <c r="F14" i="177"/>
  <c r="F13" i="177"/>
  <c r="F12" i="177"/>
  <c r="F11" i="177"/>
  <c r="F10" i="177"/>
  <c r="F9" i="177"/>
  <c r="F8" i="177"/>
  <c r="F7" i="177"/>
  <c r="F6" i="177"/>
  <c r="F5" i="177"/>
  <c r="F4" i="177"/>
  <c r="F3" i="177"/>
  <c r="F2" i="177"/>
  <c r="L97" i="177" l="1"/>
  <c r="L99" i="177"/>
  <c r="L98" i="177"/>
  <c r="L100" i="177"/>
  <c r="L101" i="177"/>
  <c r="L102" i="177"/>
  <c r="H89" i="177"/>
  <c r="L40" i="177"/>
  <c r="L110" i="177" s="1"/>
  <c r="L56" i="177"/>
  <c r="L52" i="177"/>
  <c r="L48" i="177"/>
  <c r="L55" i="177"/>
  <c r="L51" i="177"/>
  <c r="L47" i="177"/>
  <c r="L54" i="177"/>
  <c r="L50" i="177"/>
  <c r="L46" i="177"/>
  <c r="L53" i="177"/>
  <c r="L49" i="177"/>
  <c r="L39" i="177"/>
  <c r="L109" i="177" s="1"/>
  <c r="C29" i="177"/>
  <c r="G8" i="197" s="1"/>
  <c r="L37" i="177"/>
  <c r="L107" i="177" s="1"/>
  <c r="G33" i="177"/>
  <c r="L44" i="177"/>
  <c r="L114" i="177" s="1"/>
  <c r="D62" i="177"/>
  <c r="D63" i="177" s="1"/>
  <c r="F63" i="177" s="1"/>
  <c r="F61" i="177"/>
  <c r="L42" i="177"/>
  <c r="L112" i="177" s="1"/>
  <c r="D34" i="177"/>
  <c r="F33" i="177"/>
  <c r="C34" i="177"/>
  <c r="E33" i="177"/>
  <c r="F26" i="177"/>
  <c r="F29" i="177" s="1"/>
  <c r="D64" i="177"/>
  <c r="L45" i="177"/>
  <c r="L115" i="177" s="1"/>
  <c r="L41" i="177"/>
  <c r="L111" i="177" s="1"/>
  <c r="L38" i="177"/>
  <c r="L108" i="177" s="1"/>
  <c r="L43" i="177"/>
  <c r="L113" i="177" s="1"/>
  <c r="C62" i="177"/>
  <c r="E61" i="177"/>
  <c r="L104" i="177" l="1"/>
  <c r="N89" i="177"/>
  <c r="F62" i="177"/>
  <c r="C63" i="177"/>
  <c r="E63" i="177" s="1"/>
  <c r="O89" i="177"/>
  <c r="G90" i="177" s="1"/>
  <c r="H33" i="177"/>
  <c r="O33" i="177" s="1"/>
  <c r="E62" i="177"/>
  <c r="C64" i="177"/>
  <c r="E64" i="177" s="1"/>
  <c r="L58" i="177"/>
  <c r="C65" i="177"/>
  <c r="B65" i="177" s="1"/>
  <c r="F64" i="177"/>
  <c r="D65" i="177"/>
  <c r="F34" i="177"/>
  <c r="D35" i="177"/>
  <c r="E34" i="177"/>
  <c r="C35" i="177"/>
  <c r="H90" i="177" l="1"/>
  <c r="N33" i="177"/>
  <c r="H61" i="177"/>
  <c r="L74" i="177"/>
  <c r="L116" i="177" s="1"/>
  <c r="L75" i="177"/>
  <c r="L117" i="177" s="1"/>
  <c r="L79" i="177"/>
  <c r="L121" i="177" s="1"/>
  <c r="L83" i="177"/>
  <c r="L125" i="177" s="1"/>
  <c r="L76" i="177"/>
  <c r="L118" i="177" s="1"/>
  <c r="L80" i="177"/>
  <c r="L122" i="177" s="1"/>
  <c r="L84" i="177"/>
  <c r="L126" i="177" s="1"/>
  <c r="L77" i="177"/>
  <c r="L119" i="177" s="1"/>
  <c r="L81" i="177"/>
  <c r="L123" i="177" s="1"/>
  <c r="L78" i="177"/>
  <c r="L120" i="177" s="1"/>
  <c r="L82" i="177"/>
  <c r="L124" i="177" s="1"/>
  <c r="C66" i="177"/>
  <c r="B66" i="177" s="1"/>
  <c r="E65" i="177"/>
  <c r="D66" i="177"/>
  <c r="F65" i="177"/>
  <c r="G34" i="177"/>
  <c r="D36" i="177"/>
  <c r="F35" i="177"/>
  <c r="C36" i="177"/>
  <c r="E35" i="177"/>
  <c r="N90" i="177" l="1"/>
  <c r="O90" i="177"/>
  <c r="G91" i="177" s="1"/>
  <c r="H91" i="177" s="1"/>
  <c r="O91" i="177" s="1"/>
  <c r="G92" i="177" s="1"/>
  <c r="N61" i="177"/>
  <c r="O61" i="177"/>
  <c r="G62" i="177" s="1"/>
  <c r="H62" i="177" s="1"/>
  <c r="L128" i="177"/>
  <c r="L86" i="177"/>
  <c r="D37" i="177"/>
  <c r="D107" i="177" s="1"/>
  <c r="C37" i="177"/>
  <c r="F36" i="177"/>
  <c r="E36" i="177"/>
  <c r="H34" i="177"/>
  <c r="N34" i="177" s="1"/>
  <c r="C67" i="177"/>
  <c r="B67" i="177" s="1"/>
  <c r="E66" i="177"/>
  <c r="F66" i="177"/>
  <c r="D67" i="177"/>
  <c r="N91" i="177" l="1"/>
  <c r="H92" i="177"/>
  <c r="B37" i="177"/>
  <c r="C107" i="177"/>
  <c r="B107" i="177" s="1"/>
  <c r="C68" i="177"/>
  <c r="B68" i="177" s="1"/>
  <c r="E67" i="177"/>
  <c r="D68" i="177"/>
  <c r="F67" i="177"/>
  <c r="O62" i="177"/>
  <c r="N62" i="177"/>
  <c r="O34" i="177"/>
  <c r="D38" i="177"/>
  <c r="D108" i="177" s="1"/>
  <c r="E37" i="177"/>
  <c r="E107" i="177" s="1"/>
  <c r="C38" i="177"/>
  <c r="F37" i="177"/>
  <c r="F107" i="177" s="1"/>
  <c r="O92" i="177" l="1"/>
  <c r="G93" i="177" s="1"/>
  <c r="N92" i="177"/>
  <c r="B38" i="177"/>
  <c r="C108" i="177"/>
  <c r="B108" i="177" s="1"/>
  <c r="C39" i="177"/>
  <c r="F38" i="177"/>
  <c r="F108" i="177" s="1"/>
  <c r="E38" i="177"/>
  <c r="E108" i="177" s="1"/>
  <c r="D39" i="177"/>
  <c r="D109" i="177" s="1"/>
  <c r="G63" i="177"/>
  <c r="C69" i="177"/>
  <c r="B69" i="177" s="1"/>
  <c r="E68" i="177"/>
  <c r="F68" i="177"/>
  <c r="D69" i="177"/>
  <c r="G35" i="177"/>
  <c r="H93" i="177" l="1"/>
  <c r="N93" i="177" s="1"/>
  <c r="B39" i="177"/>
  <c r="C109" i="177"/>
  <c r="B109" i="177" s="1"/>
  <c r="H63" i="177"/>
  <c r="H35" i="177"/>
  <c r="C70" i="177"/>
  <c r="B70" i="177" s="1"/>
  <c r="E69" i="177"/>
  <c r="D70" i="177"/>
  <c r="F69" i="177"/>
  <c r="D40" i="177"/>
  <c r="D110" i="177" s="1"/>
  <c r="C40" i="177"/>
  <c r="F39" i="177"/>
  <c r="F109" i="177" s="1"/>
  <c r="E39" i="177"/>
  <c r="E109" i="177" s="1"/>
  <c r="O93" i="177" l="1"/>
  <c r="G94" i="177" s="1"/>
  <c r="H94" i="177" s="1"/>
  <c r="O94" i="177" s="1"/>
  <c r="G95" i="177" s="1"/>
  <c r="B40" i="177"/>
  <c r="C110" i="177"/>
  <c r="B110" i="177" s="1"/>
  <c r="N35" i="177"/>
  <c r="O63" i="177"/>
  <c r="G64" i="177" s="1"/>
  <c r="C71" i="177"/>
  <c r="B71" i="177" s="1"/>
  <c r="E70" i="177"/>
  <c r="F70" i="177"/>
  <c r="D71" i="177"/>
  <c r="C41" i="177"/>
  <c r="D41" i="177"/>
  <c r="D111" i="177" s="1"/>
  <c r="F40" i="177"/>
  <c r="F110" i="177" s="1"/>
  <c r="E40" i="177"/>
  <c r="E110" i="177" s="1"/>
  <c r="O35" i="177"/>
  <c r="N63" i="177"/>
  <c r="N94" i="177" l="1"/>
  <c r="H95" i="177"/>
  <c r="N95" i="177" s="1"/>
  <c r="B41" i="177"/>
  <c r="C111" i="177"/>
  <c r="B111" i="177" s="1"/>
  <c r="H64" i="177"/>
  <c r="D42" i="177"/>
  <c r="D112" i="177" s="1"/>
  <c r="F41" i="177"/>
  <c r="F111" i="177" s="1"/>
  <c r="C42" i="177"/>
  <c r="E41" i="177"/>
  <c r="E111" i="177" s="1"/>
  <c r="C72" i="177"/>
  <c r="B72" i="177" s="1"/>
  <c r="E71" i="177"/>
  <c r="D72" i="177"/>
  <c r="F71" i="177"/>
  <c r="G36" i="177"/>
  <c r="O95" i="177" l="1"/>
  <c r="G96" i="177" s="1"/>
  <c r="H96" i="177" s="1"/>
  <c r="B42" i="177"/>
  <c r="C112" i="177"/>
  <c r="B112" i="177" s="1"/>
  <c r="N64" i="177"/>
  <c r="C73" i="177"/>
  <c r="B73" i="177" s="1"/>
  <c r="E72" i="177"/>
  <c r="F72" i="177"/>
  <c r="D73" i="177"/>
  <c r="H36" i="177"/>
  <c r="N36" i="177" s="1"/>
  <c r="F42" i="177"/>
  <c r="F112" i="177" s="1"/>
  <c r="D43" i="177"/>
  <c r="D113" i="177" s="1"/>
  <c r="C43" i="177"/>
  <c r="E42" i="177"/>
  <c r="E112" i="177" s="1"/>
  <c r="O64" i="177"/>
  <c r="N96" i="177" l="1"/>
  <c r="I97" i="177"/>
  <c r="H104" i="177"/>
  <c r="I99" i="177"/>
  <c r="I98" i="177"/>
  <c r="I102" i="177"/>
  <c r="I100" i="177"/>
  <c r="I101" i="177"/>
  <c r="B43" i="177"/>
  <c r="C113" i="177"/>
  <c r="B113" i="177" s="1"/>
  <c r="C74" i="177"/>
  <c r="B74" i="177" s="1"/>
  <c r="E73" i="177"/>
  <c r="D74" i="177"/>
  <c r="F73" i="177"/>
  <c r="D44" i="177"/>
  <c r="D114" i="177" s="1"/>
  <c r="E43" i="177"/>
  <c r="E113" i="177" s="1"/>
  <c r="C44" i="177"/>
  <c r="F43" i="177"/>
  <c r="F113" i="177" s="1"/>
  <c r="G65" i="177"/>
  <c r="O36" i="177"/>
  <c r="K96" i="177" l="1"/>
  <c r="M96" i="177" s="1"/>
  <c r="O96" i="177"/>
  <c r="G97" i="177" s="1"/>
  <c r="B44" i="177"/>
  <c r="C114" i="177"/>
  <c r="B114" i="177" s="1"/>
  <c r="C75" i="177"/>
  <c r="B75" i="177" s="1"/>
  <c r="E74" i="177"/>
  <c r="F74" i="177"/>
  <c r="D75" i="177"/>
  <c r="H65" i="177"/>
  <c r="G37" i="177"/>
  <c r="G107" i="177" s="1"/>
  <c r="C45" i="177"/>
  <c r="E44" i="177"/>
  <c r="E114" i="177" s="1"/>
  <c r="D45" i="177"/>
  <c r="D115" i="177" s="1"/>
  <c r="F44" i="177"/>
  <c r="F114" i="177" s="1"/>
  <c r="O97" i="177" l="1"/>
  <c r="G98" i="177" s="1"/>
  <c r="J97" i="177"/>
  <c r="K97" i="177" s="1"/>
  <c r="M97" i="177" s="1"/>
  <c r="I74" i="177"/>
  <c r="B45" i="177"/>
  <c r="C115" i="177"/>
  <c r="B115" i="177" s="1"/>
  <c r="K65" i="177"/>
  <c r="M65" i="177" s="1"/>
  <c r="N65" i="177"/>
  <c r="O65" i="177"/>
  <c r="G66" i="177" s="1"/>
  <c r="J66" i="177" s="1"/>
  <c r="D46" i="177"/>
  <c r="D116" i="177" s="1"/>
  <c r="F45" i="177"/>
  <c r="F115" i="177" s="1"/>
  <c r="C46" i="177"/>
  <c r="E45" i="177"/>
  <c r="E115" i="177" s="1"/>
  <c r="C76" i="177"/>
  <c r="B76" i="177" s="1"/>
  <c r="E75" i="177"/>
  <c r="D76" i="177"/>
  <c r="F75" i="177"/>
  <c r="H37" i="177"/>
  <c r="O98" i="177" l="1"/>
  <c r="G99" i="177" s="1"/>
  <c r="J98" i="177"/>
  <c r="N97" i="177"/>
  <c r="I104" i="177"/>
  <c r="B46" i="177"/>
  <c r="C116" i="177"/>
  <c r="B116" i="177" s="1"/>
  <c r="K66" i="177"/>
  <c r="N37" i="177"/>
  <c r="C77" i="177"/>
  <c r="B77" i="177" s="1"/>
  <c r="E76" i="177"/>
  <c r="F76" i="177"/>
  <c r="D77" i="177"/>
  <c r="N66" i="177"/>
  <c r="F46" i="177"/>
  <c r="F116" i="177" s="1"/>
  <c r="C47" i="177"/>
  <c r="E46" i="177"/>
  <c r="E116" i="177" s="1"/>
  <c r="D47" i="177"/>
  <c r="D117" i="177" s="1"/>
  <c r="K98" i="177" l="1"/>
  <c r="M98" i="177" s="1"/>
  <c r="N98" i="177"/>
  <c r="J99" i="177"/>
  <c r="O99" i="177"/>
  <c r="G100" i="177" s="1"/>
  <c r="B47" i="177"/>
  <c r="C117" i="177"/>
  <c r="B117" i="177" s="1"/>
  <c r="M66" i="177"/>
  <c r="O66" i="177"/>
  <c r="G67" i="177" s="1"/>
  <c r="D48" i="177"/>
  <c r="D118" i="177" s="1"/>
  <c r="E47" i="177"/>
  <c r="E117" i="177" s="1"/>
  <c r="C48" i="177"/>
  <c r="F47" i="177"/>
  <c r="F117" i="177" s="1"/>
  <c r="C78" i="177"/>
  <c r="B78" i="177" s="1"/>
  <c r="E77" i="177"/>
  <c r="D78" i="177"/>
  <c r="F77" i="177"/>
  <c r="J100" i="177" l="1"/>
  <c r="O100" i="177"/>
  <c r="G101" i="177" s="1"/>
  <c r="K99" i="177"/>
  <c r="M99" i="177" s="1"/>
  <c r="N99" i="177"/>
  <c r="B48" i="177"/>
  <c r="C118" i="177"/>
  <c r="B118" i="177" s="1"/>
  <c r="J67" i="177"/>
  <c r="K67" i="177" s="1"/>
  <c r="M67" i="177" s="1"/>
  <c r="I80" i="177"/>
  <c r="I78" i="177"/>
  <c r="I75" i="177"/>
  <c r="I82" i="177"/>
  <c r="I83" i="177"/>
  <c r="I77" i="177"/>
  <c r="I76" i="177"/>
  <c r="I84" i="177"/>
  <c r="I79" i="177"/>
  <c r="I81" i="177"/>
  <c r="O67" i="177"/>
  <c r="G68" i="177" s="1"/>
  <c r="J68" i="177" s="1"/>
  <c r="C79" i="177"/>
  <c r="B79" i="177" s="1"/>
  <c r="E78" i="177"/>
  <c r="F78" i="177"/>
  <c r="D79" i="177"/>
  <c r="C49" i="177"/>
  <c r="D49" i="177"/>
  <c r="D119" i="177" s="1"/>
  <c r="F48" i="177"/>
  <c r="F118" i="177" s="1"/>
  <c r="E48" i="177"/>
  <c r="E118" i="177" s="1"/>
  <c r="O101" i="177" l="1"/>
  <c r="G102" i="177" s="1"/>
  <c r="J101" i="177"/>
  <c r="K100" i="177"/>
  <c r="M100" i="177" s="1"/>
  <c r="N100" i="177"/>
  <c r="B49" i="177"/>
  <c r="C119" i="177"/>
  <c r="B119" i="177" s="1"/>
  <c r="N67" i="177"/>
  <c r="H86" i="177"/>
  <c r="K68" i="177"/>
  <c r="I86" i="177"/>
  <c r="O68" i="177"/>
  <c r="G69" i="177" s="1"/>
  <c r="J69" i="177" s="1"/>
  <c r="D50" i="177"/>
  <c r="D120" i="177" s="1"/>
  <c r="F49" i="177"/>
  <c r="F119" i="177" s="1"/>
  <c r="C50" i="177"/>
  <c r="E49" i="177"/>
  <c r="E119" i="177" s="1"/>
  <c r="C80" i="177"/>
  <c r="B80" i="177" s="1"/>
  <c r="E79" i="177"/>
  <c r="D80" i="177"/>
  <c r="F79" i="177"/>
  <c r="K101" i="177" l="1"/>
  <c r="M101" i="177" s="1"/>
  <c r="N101" i="177"/>
  <c r="J102" i="177"/>
  <c r="O102" i="177"/>
  <c r="B50" i="177"/>
  <c r="C120" i="177"/>
  <c r="B120" i="177" s="1"/>
  <c r="M68" i="177"/>
  <c r="O69" i="177"/>
  <c r="G70" i="177" s="1"/>
  <c r="K69" i="177"/>
  <c r="N68" i="177"/>
  <c r="C81" i="177"/>
  <c r="B81" i="177" s="1"/>
  <c r="E80" i="177"/>
  <c r="F80" i="177"/>
  <c r="D81" i="177"/>
  <c r="F50" i="177"/>
  <c r="F120" i="177" s="1"/>
  <c r="D51" i="177"/>
  <c r="D121" i="177" s="1"/>
  <c r="C51" i="177"/>
  <c r="E50" i="177"/>
  <c r="E120" i="177" s="1"/>
  <c r="N102" i="177" l="1"/>
  <c r="K102" i="177"/>
  <c r="M102" i="177" s="1"/>
  <c r="B51" i="177"/>
  <c r="C121" i="177"/>
  <c r="B121" i="177" s="1"/>
  <c r="J70" i="177"/>
  <c r="K70" i="177" s="1"/>
  <c r="M70" i="177" s="1"/>
  <c r="O70" i="177"/>
  <c r="G71" i="177" s="1"/>
  <c r="N69" i="177"/>
  <c r="C82" i="177"/>
  <c r="B82" i="177" s="1"/>
  <c r="E81" i="177"/>
  <c r="D82" i="177"/>
  <c r="F81" i="177"/>
  <c r="D52" i="177"/>
  <c r="D122" i="177" s="1"/>
  <c r="E51" i="177"/>
  <c r="E121" i="177" s="1"/>
  <c r="C52" i="177"/>
  <c r="F51" i="177"/>
  <c r="F121" i="177" s="1"/>
  <c r="M69" i="177"/>
  <c r="B52" i="177" l="1"/>
  <c r="C122" i="177"/>
  <c r="B122" i="177" s="1"/>
  <c r="N70" i="177"/>
  <c r="J71" i="177"/>
  <c r="K71" i="177" s="1"/>
  <c r="O71" i="177"/>
  <c r="G72" i="177" s="1"/>
  <c r="C83" i="177"/>
  <c r="B83" i="177" s="1"/>
  <c r="E82" i="177"/>
  <c r="F82" i="177"/>
  <c r="D83" i="177"/>
  <c r="C53" i="177"/>
  <c r="D53" i="177"/>
  <c r="D123" i="177" s="1"/>
  <c r="F52" i="177"/>
  <c r="F122" i="177" s="1"/>
  <c r="E52" i="177"/>
  <c r="E122" i="177" s="1"/>
  <c r="B53" i="177" l="1"/>
  <c r="C123" i="177"/>
  <c r="B123" i="177" s="1"/>
  <c r="N71" i="177"/>
  <c r="O72" i="177"/>
  <c r="G73" i="177" s="1"/>
  <c r="J73" i="177" s="1"/>
  <c r="K73" i="177" s="1"/>
  <c r="J72" i="177"/>
  <c r="K72" i="177" s="1"/>
  <c r="M72" i="177" s="1"/>
  <c r="C84" i="177"/>
  <c r="B84" i="177" s="1"/>
  <c r="E83" i="177"/>
  <c r="D84" i="177"/>
  <c r="F83" i="177"/>
  <c r="C54" i="177"/>
  <c r="E53" i="177"/>
  <c r="E123" i="177" s="1"/>
  <c r="D54" i="177"/>
  <c r="D124" i="177" s="1"/>
  <c r="F53" i="177"/>
  <c r="F123" i="177" s="1"/>
  <c r="M71" i="177"/>
  <c r="B54" i="177" l="1"/>
  <c r="C124" i="177"/>
  <c r="B124" i="177" s="1"/>
  <c r="O73" i="177"/>
  <c r="G74" i="177" s="1"/>
  <c r="J74" i="177" s="1"/>
  <c r="K74" i="177" s="1"/>
  <c r="M74" i="177" s="1"/>
  <c r="N72" i="177"/>
  <c r="M73" i="177"/>
  <c r="N73" i="177"/>
  <c r="F54" i="177"/>
  <c r="F124" i="177" s="1"/>
  <c r="D55" i="177"/>
  <c r="D125" i="177" s="1"/>
  <c r="C55" i="177"/>
  <c r="E54" i="177"/>
  <c r="E124" i="177" s="1"/>
  <c r="E84" i="177"/>
  <c r="F84" i="177"/>
  <c r="B55" i="177" l="1"/>
  <c r="C125" i="177"/>
  <c r="B125" i="177" s="1"/>
  <c r="O74" i="177"/>
  <c r="G75" i="177" s="1"/>
  <c r="J75" i="177" s="1"/>
  <c r="K75" i="177" s="1"/>
  <c r="M75" i="177" s="1"/>
  <c r="N74" i="177"/>
  <c r="D56" i="177"/>
  <c r="D126" i="177" s="1"/>
  <c r="H8" i="197" s="1"/>
  <c r="E55" i="177"/>
  <c r="E125" i="177" s="1"/>
  <c r="F55" i="177"/>
  <c r="F125" i="177" s="1"/>
  <c r="C56" i="177"/>
  <c r="I8" i="197" l="1"/>
  <c r="B56" i="177"/>
  <c r="C126" i="177"/>
  <c r="B126" i="177" s="1"/>
  <c r="O104" i="177"/>
  <c r="G104" i="177"/>
  <c r="O75" i="177"/>
  <c r="G76" i="177" s="1"/>
  <c r="J76" i="177" s="1"/>
  <c r="K76" i="177" s="1"/>
  <c r="M76" i="177" s="1"/>
  <c r="N75" i="177"/>
  <c r="F56" i="177"/>
  <c r="F126" i="177" s="1"/>
  <c r="E56" i="177"/>
  <c r="E126" i="177" s="1"/>
  <c r="J104" i="177" l="1"/>
  <c r="N104" i="177"/>
  <c r="O76" i="177"/>
  <c r="G77" i="177" s="1"/>
  <c r="J77" i="177" s="1"/>
  <c r="K77" i="177" s="1"/>
  <c r="M77" i="177" s="1"/>
  <c r="N76" i="177"/>
  <c r="M104" i="177" l="1"/>
  <c r="K104" i="177"/>
  <c r="O77" i="177"/>
  <c r="G78" i="177" s="1"/>
  <c r="O78" i="177" s="1"/>
  <c r="G79" i="177" s="1"/>
  <c r="N77" i="177"/>
  <c r="J78" i="177" l="1"/>
  <c r="K78" i="177" s="1"/>
  <c r="M78" i="177" s="1"/>
  <c r="J79" i="177"/>
  <c r="K79" i="177" s="1"/>
  <c r="M79" i="177" s="1"/>
  <c r="O79" i="177"/>
  <c r="G80" i="177" s="1"/>
  <c r="N78" i="177" l="1"/>
  <c r="J80" i="177"/>
  <c r="K80" i="177" s="1"/>
  <c r="M80" i="177" s="1"/>
  <c r="O80" i="177"/>
  <c r="G81" i="177" s="1"/>
  <c r="N79" i="177"/>
  <c r="N80" i="177" l="1"/>
  <c r="J81" i="177"/>
  <c r="K81" i="177" s="1"/>
  <c r="M81" i="177" s="1"/>
  <c r="O81" i="177"/>
  <c r="G82" i="177" s="1"/>
  <c r="N81" i="177" l="1"/>
  <c r="J82" i="177"/>
  <c r="K82" i="177" s="1"/>
  <c r="M82" i="177" s="1"/>
  <c r="O82" i="177"/>
  <c r="G83" i="177" s="1"/>
  <c r="N82" i="177" l="1"/>
  <c r="J83" i="177"/>
  <c r="K83" i="177" s="1"/>
  <c r="M83" i="177" s="1"/>
  <c r="O83" i="177"/>
  <c r="G84" i="177" s="1"/>
  <c r="N83" i="177" l="1"/>
  <c r="J84" i="177"/>
  <c r="K84" i="177" s="1"/>
  <c r="M84" i="177" s="1"/>
  <c r="O84" i="177"/>
  <c r="N84" i="177" l="1"/>
  <c r="O86" i="177" l="1"/>
  <c r="G86" i="177"/>
  <c r="J86" i="177" l="1"/>
  <c r="N86" i="177"/>
  <c r="M86" i="177" l="1"/>
  <c r="K86" i="177"/>
  <c r="L266" i="157" l="1"/>
  <c r="L240" i="157"/>
  <c r="L213" i="157"/>
  <c r="L185" i="157"/>
  <c r="L156" i="157"/>
  <c r="L126" i="157"/>
  <c r="L95" i="157"/>
  <c r="L266" i="150"/>
  <c r="L240" i="150"/>
  <c r="L213" i="150"/>
  <c r="L185" i="150"/>
  <c r="L156" i="150"/>
  <c r="L126" i="150"/>
  <c r="L95" i="150"/>
  <c r="L63" i="150"/>
  <c r="V32" i="157" l="1"/>
  <c r="K211" i="150" l="1"/>
  <c r="L37" i="133"/>
  <c r="F33" i="133"/>
  <c r="E33" i="133"/>
  <c r="D33" i="133"/>
  <c r="C33" i="133"/>
  <c r="K29" i="157" l="1"/>
  <c r="M29" i="157" s="1"/>
  <c r="G29" i="157"/>
  <c r="G29" i="150"/>
  <c r="L48" i="150" l="1"/>
  <c r="L44" i="150"/>
  <c r="L40" i="150"/>
  <c r="L36" i="150"/>
  <c r="L47" i="150"/>
  <c r="L43" i="150"/>
  <c r="L39" i="150"/>
  <c r="L42" i="150"/>
  <c r="L38" i="150"/>
  <c r="L34" i="150"/>
  <c r="L45" i="150"/>
  <c r="L41" i="150"/>
  <c r="L37" i="150"/>
  <c r="L35" i="150"/>
  <c r="L46" i="150"/>
  <c r="L48" i="157"/>
  <c r="L44" i="157"/>
  <c r="L40" i="157"/>
  <c r="L36" i="157"/>
  <c r="L46" i="157"/>
  <c r="L42" i="157"/>
  <c r="L38" i="157"/>
  <c r="L34" i="157"/>
  <c r="L43" i="157"/>
  <c r="L45" i="157"/>
  <c r="L41" i="157"/>
  <c r="L37" i="157"/>
  <c r="L33" i="157"/>
  <c r="L47" i="157"/>
  <c r="L39" i="157"/>
  <c r="L35" i="157"/>
  <c r="L32" i="157"/>
  <c r="L30" i="157"/>
  <c r="L31" i="157"/>
  <c r="L33" i="150"/>
  <c r="L32" i="150"/>
  <c r="L31" i="150"/>
  <c r="L30" i="150"/>
  <c r="D22" i="171" l="1"/>
  <c r="D25" i="171" s="1"/>
  <c r="G139" i="139" l="1"/>
  <c r="K169" i="139"/>
  <c r="M169" i="139" s="1"/>
  <c r="K168" i="139"/>
  <c r="M168" i="139" s="1"/>
  <c r="K167" i="139"/>
  <c r="M167" i="139" s="1"/>
  <c r="K166" i="139"/>
  <c r="G166" i="139"/>
  <c r="C166" i="139"/>
  <c r="D166" i="139" s="1"/>
  <c r="K142" i="139"/>
  <c r="M142" i="139" s="1"/>
  <c r="K141" i="139"/>
  <c r="M141" i="139" s="1"/>
  <c r="K140" i="139"/>
  <c r="M140" i="139" s="1"/>
  <c r="K139" i="139"/>
  <c r="M139" i="139" s="1"/>
  <c r="C139" i="139"/>
  <c r="D139" i="139" s="1"/>
  <c r="D140" i="139" s="1"/>
  <c r="K115" i="139"/>
  <c r="M115" i="139" s="1"/>
  <c r="K114" i="139"/>
  <c r="M114" i="139" s="1"/>
  <c r="K113" i="139"/>
  <c r="M113" i="139" s="1"/>
  <c r="K112" i="139"/>
  <c r="M112" i="139" s="1"/>
  <c r="K111" i="139"/>
  <c r="G111" i="139"/>
  <c r="C111" i="139"/>
  <c r="D111" i="139" s="1"/>
  <c r="L119" i="139" l="1"/>
  <c r="L118" i="139"/>
  <c r="L172" i="139"/>
  <c r="L173" i="139"/>
  <c r="L146" i="139"/>
  <c r="L145" i="139"/>
  <c r="M111" i="139"/>
  <c r="M166" i="139"/>
  <c r="L161" i="139"/>
  <c r="L134" i="139"/>
  <c r="L123" i="139"/>
  <c r="L150" i="139"/>
  <c r="L131" i="139"/>
  <c r="L154" i="139"/>
  <c r="L175" i="139"/>
  <c r="L179" i="139"/>
  <c r="L187" i="139"/>
  <c r="L127" i="139"/>
  <c r="L177" i="139"/>
  <c r="L185" i="139"/>
  <c r="L120" i="139"/>
  <c r="L128" i="139"/>
  <c r="L158" i="139"/>
  <c r="L174" i="139"/>
  <c r="L178" i="139"/>
  <c r="L182" i="139"/>
  <c r="L186" i="139"/>
  <c r="L183" i="139"/>
  <c r="L124" i="139"/>
  <c r="L132" i="139"/>
  <c r="L176" i="139"/>
  <c r="L180" i="139"/>
  <c r="L184" i="139"/>
  <c r="L188" i="139"/>
  <c r="L181" i="139"/>
  <c r="L147" i="139"/>
  <c r="L151" i="139"/>
  <c r="L155" i="139"/>
  <c r="L159" i="139"/>
  <c r="L121" i="139"/>
  <c r="L125" i="139"/>
  <c r="L129" i="139"/>
  <c r="L133" i="139"/>
  <c r="L148" i="139"/>
  <c r="L152" i="139"/>
  <c r="L156" i="139"/>
  <c r="L160" i="139"/>
  <c r="L122" i="139"/>
  <c r="L126" i="139"/>
  <c r="L130" i="139"/>
  <c r="L149" i="139"/>
  <c r="L153" i="139"/>
  <c r="L157" i="139"/>
  <c r="F139" i="139"/>
  <c r="C140" i="139"/>
  <c r="E139" i="139"/>
  <c r="C167" i="139"/>
  <c r="B167" i="139" s="1"/>
  <c r="E166" i="139"/>
  <c r="F166" i="139"/>
  <c r="D167" i="139"/>
  <c r="D141" i="139"/>
  <c r="F140" i="139"/>
  <c r="C141" i="139"/>
  <c r="B141" i="139" s="1"/>
  <c r="C112" i="139"/>
  <c r="B112" i="139" s="1"/>
  <c r="E111" i="139"/>
  <c r="D112" i="139"/>
  <c r="F111" i="139"/>
  <c r="L190" i="139" l="1"/>
  <c r="L136" i="139"/>
  <c r="L163" i="139"/>
  <c r="E140" i="139"/>
  <c r="B140" i="139"/>
  <c r="H166" i="139"/>
  <c r="H139" i="139"/>
  <c r="H111" i="139"/>
  <c r="D168" i="139"/>
  <c r="F167" i="139"/>
  <c r="C168" i="139"/>
  <c r="B168" i="139" s="1"/>
  <c r="E167" i="139"/>
  <c r="E141" i="139"/>
  <c r="D142" i="139"/>
  <c r="C142" i="139"/>
  <c r="B142" i="139" s="1"/>
  <c r="F141" i="139"/>
  <c r="D113" i="139"/>
  <c r="F112" i="139"/>
  <c r="C113" i="139"/>
  <c r="B113" i="139" s="1"/>
  <c r="E112" i="139"/>
  <c r="N111" i="139" l="1"/>
  <c r="N139" i="139"/>
  <c r="N166" i="139"/>
  <c r="O111" i="139"/>
  <c r="O139" i="139"/>
  <c r="G140" i="139" s="1"/>
  <c r="O166" i="139"/>
  <c r="C169" i="139"/>
  <c r="B169" i="139" s="1"/>
  <c r="E168" i="139"/>
  <c r="D169" i="139"/>
  <c r="F168" i="139"/>
  <c r="D143" i="139"/>
  <c r="F142" i="139"/>
  <c r="E142" i="139"/>
  <c r="C143" i="139"/>
  <c r="B143" i="139" s="1"/>
  <c r="C114" i="139"/>
  <c r="B114" i="139" s="1"/>
  <c r="E113" i="139"/>
  <c r="D114" i="139"/>
  <c r="F113" i="139"/>
  <c r="J24" i="174"/>
  <c r="C29" i="174" s="1"/>
  <c r="D29" i="174" s="1"/>
  <c r="F24" i="174"/>
  <c r="F23" i="174"/>
  <c r="E22" i="174"/>
  <c r="E25" i="174" s="1"/>
  <c r="D22" i="174"/>
  <c r="D25" i="174" s="1"/>
  <c r="C22" i="174"/>
  <c r="C25" i="174" s="1"/>
  <c r="G50" i="197" s="1"/>
  <c r="F21" i="174"/>
  <c r="F20" i="174"/>
  <c r="F19" i="174"/>
  <c r="F18" i="174"/>
  <c r="F17" i="174"/>
  <c r="F16" i="174"/>
  <c r="F15" i="174"/>
  <c r="F14" i="174"/>
  <c r="F13" i="174"/>
  <c r="F12" i="174"/>
  <c r="F11" i="174"/>
  <c r="F10" i="174"/>
  <c r="F9" i="174"/>
  <c r="F8" i="174"/>
  <c r="F7" i="174"/>
  <c r="F6" i="174"/>
  <c r="F5" i="174"/>
  <c r="F4" i="174"/>
  <c r="F3" i="174"/>
  <c r="F2" i="174"/>
  <c r="K44" i="173"/>
  <c r="M44" i="173" s="1"/>
  <c r="K43" i="173"/>
  <c r="M43" i="173" s="1"/>
  <c r="K42" i="173"/>
  <c r="M42" i="173" s="1"/>
  <c r="K41" i="173"/>
  <c r="M41" i="173" s="1"/>
  <c r="K40" i="173"/>
  <c r="M40" i="173" s="1"/>
  <c r="K39" i="173"/>
  <c r="M39" i="173" s="1"/>
  <c r="K38" i="173"/>
  <c r="M38" i="173" s="1"/>
  <c r="K37" i="173"/>
  <c r="M37" i="173" s="1"/>
  <c r="K36" i="173"/>
  <c r="M36" i="173" s="1"/>
  <c r="K35" i="173"/>
  <c r="K34" i="173"/>
  <c r="K33" i="173"/>
  <c r="J28" i="173"/>
  <c r="C33" i="173" s="1"/>
  <c r="F28" i="173"/>
  <c r="F27" i="173"/>
  <c r="E26" i="173"/>
  <c r="E29" i="173" s="1"/>
  <c r="D26" i="173"/>
  <c r="D29" i="173" s="1"/>
  <c r="C26" i="173"/>
  <c r="C29" i="173" s="1"/>
  <c r="G86" i="197" s="1"/>
  <c r="F25" i="173"/>
  <c r="F24" i="173"/>
  <c r="F23" i="173"/>
  <c r="F22" i="173"/>
  <c r="F21" i="173"/>
  <c r="F20" i="173"/>
  <c r="F19" i="173"/>
  <c r="F18" i="173"/>
  <c r="F17" i="173"/>
  <c r="F16" i="173"/>
  <c r="F15" i="173"/>
  <c r="F14" i="173"/>
  <c r="F13" i="173"/>
  <c r="F12" i="173"/>
  <c r="F11" i="173"/>
  <c r="F10" i="173"/>
  <c r="F9" i="173"/>
  <c r="F8" i="173"/>
  <c r="F7" i="173"/>
  <c r="F6" i="173"/>
  <c r="F5" i="173"/>
  <c r="F4" i="173"/>
  <c r="F3" i="173"/>
  <c r="F2" i="173"/>
  <c r="F24" i="172"/>
  <c r="F21" i="172"/>
  <c r="F22" i="172"/>
  <c r="F23" i="172"/>
  <c r="K36" i="172"/>
  <c r="K35" i="172"/>
  <c r="K34" i="172"/>
  <c r="K33" i="172"/>
  <c r="J29" i="172"/>
  <c r="J28" i="172"/>
  <c r="C33" i="172" s="1"/>
  <c r="D33" i="172" s="1"/>
  <c r="F28" i="172"/>
  <c r="F27" i="172"/>
  <c r="E26" i="172"/>
  <c r="E29" i="172" s="1"/>
  <c r="D26" i="172"/>
  <c r="D29" i="172" s="1"/>
  <c r="C26" i="172"/>
  <c r="C29" i="172" s="1"/>
  <c r="G44" i="197" s="1"/>
  <c r="F25" i="172"/>
  <c r="F20" i="172"/>
  <c r="F19" i="172"/>
  <c r="F18" i="172"/>
  <c r="F17" i="172"/>
  <c r="F16" i="172"/>
  <c r="F15" i="172"/>
  <c r="F14" i="172"/>
  <c r="F13" i="172"/>
  <c r="F12" i="172"/>
  <c r="F11" i="172"/>
  <c r="F10" i="172"/>
  <c r="F9" i="172"/>
  <c r="F8" i="172"/>
  <c r="F7" i="172"/>
  <c r="F6" i="172"/>
  <c r="F5" i="172"/>
  <c r="F4" i="172"/>
  <c r="F3" i="172"/>
  <c r="F2" i="172"/>
  <c r="L32" i="171"/>
  <c r="K31" i="171"/>
  <c r="K30" i="171"/>
  <c r="K29" i="171"/>
  <c r="J24" i="171"/>
  <c r="C29" i="171" s="1"/>
  <c r="G24" i="171"/>
  <c r="G23" i="171"/>
  <c r="F22" i="171"/>
  <c r="F25" i="171" s="1"/>
  <c r="E22" i="171"/>
  <c r="E25" i="171" s="1"/>
  <c r="C22" i="171"/>
  <c r="C25" i="171" s="1"/>
  <c r="G21" i="171"/>
  <c r="G20" i="171"/>
  <c r="G19" i="171"/>
  <c r="G18" i="171"/>
  <c r="G17" i="171"/>
  <c r="G16" i="171"/>
  <c r="G15" i="171"/>
  <c r="G14" i="171"/>
  <c r="G13" i="171"/>
  <c r="G12" i="171"/>
  <c r="G11" i="171"/>
  <c r="G10" i="171"/>
  <c r="G9" i="171"/>
  <c r="G8" i="171"/>
  <c r="G7" i="171"/>
  <c r="G6" i="171"/>
  <c r="G5" i="171"/>
  <c r="G4" i="171"/>
  <c r="G3" i="171"/>
  <c r="G2" i="171"/>
  <c r="D29" i="171" l="1"/>
  <c r="B29" i="171"/>
  <c r="E29" i="171"/>
  <c r="F29" i="171"/>
  <c r="F29" i="174"/>
  <c r="G33" i="173"/>
  <c r="L64" i="173" s="1"/>
  <c r="G33" i="172"/>
  <c r="L52" i="172" s="1"/>
  <c r="F33" i="172"/>
  <c r="G112" i="139"/>
  <c r="G167" i="139"/>
  <c r="H167" i="139" s="1"/>
  <c r="G29" i="174"/>
  <c r="E33" i="172"/>
  <c r="D170" i="139"/>
  <c r="F169" i="139"/>
  <c r="C170" i="139"/>
  <c r="B170" i="139" s="1"/>
  <c r="E169" i="139"/>
  <c r="F143" i="139"/>
  <c r="D144" i="139"/>
  <c r="E143" i="139"/>
  <c r="C144" i="139"/>
  <c r="B144" i="139" s="1"/>
  <c r="H140" i="139"/>
  <c r="D115" i="139"/>
  <c r="F114" i="139"/>
  <c r="C115" i="139"/>
  <c r="B115" i="139" s="1"/>
  <c r="E114" i="139"/>
  <c r="C30" i="174"/>
  <c r="E29" i="174"/>
  <c r="B29" i="174"/>
  <c r="F22" i="174"/>
  <c r="F25" i="174" s="1"/>
  <c r="L48" i="174"/>
  <c r="L44" i="174"/>
  <c r="L43" i="174"/>
  <c r="L47" i="174"/>
  <c r="F26" i="173"/>
  <c r="F29" i="173" s="1"/>
  <c r="B33" i="173"/>
  <c r="D33" i="173"/>
  <c r="L52" i="173"/>
  <c r="L59" i="173"/>
  <c r="L61" i="173"/>
  <c r="L58" i="172"/>
  <c r="B33" i="172"/>
  <c r="C34" i="172"/>
  <c r="B34" i="172" s="1"/>
  <c r="M36" i="172"/>
  <c r="F26" i="172"/>
  <c r="F29" i="172" s="1"/>
  <c r="L56" i="172"/>
  <c r="L55" i="172"/>
  <c r="L50" i="172"/>
  <c r="L54" i="172"/>
  <c r="L51" i="172"/>
  <c r="L53" i="172"/>
  <c r="G22" i="171"/>
  <c r="G25" i="171" s="1"/>
  <c r="G14" i="197" s="1"/>
  <c r="C30" i="171"/>
  <c r="H29" i="174" l="1"/>
  <c r="L58" i="173"/>
  <c r="L60" i="173"/>
  <c r="L63" i="173"/>
  <c r="L53" i="173"/>
  <c r="L56" i="173"/>
  <c r="L51" i="173"/>
  <c r="L50" i="173"/>
  <c r="L55" i="173"/>
  <c r="L54" i="173"/>
  <c r="L57" i="173"/>
  <c r="L62" i="173"/>
  <c r="L49" i="173"/>
  <c r="L65" i="173"/>
  <c r="F33" i="173"/>
  <c r="H33" i="172"/>
  <c r="N33" i="172" s="1"/>
  <c r="O33" i="172" s="1"/>
  <c r="L49" i="172"/>
  <c r="L59" i="172"/>
  <c r="L57" i="172"/>
  <c r="L32" i="174"/>
  <c r="L31" i="174"/>
  <c r="H112" i="139"/>
  <c r="O140" i="139"/>
  <c r="G141" i="139" s="1"/>
  <c r="L41" i="174"/>
  <c r="L39" i="174"/>
  <c r="L35" i="174"/>
  <c r="L38" i="174"/>
  <c r="L34" i="174"/>
  <c r="L37" i="174"/>
  <c r="L33" i="174"/>
  <c r="L40" i="174"/>
  <c r="L36" i="174"/>
  <c r="L42" i="174"/>
  <c r="L45" i="174"/>
  <c r="L46" i="174"/>
  <c r="K29" i="174"/>
  <c r="G29" i="171"/>
  <c r="L37" i="171" s="1"/>
  <c r="L35" i="171"/>
  <c r="N140" i="139"/>
  <c r="O167" i="139"/>
  <c r="E170" i="139"/>
  <c r="C171" i="139"/>
  <c r="B171" i="139" s="1"/>
  <c r="F170" i="139"/>
  <c r="D171" i="139"/>
  <c r="N167" i="139"/>
  <c r="D145" i="139"/>
  <c r="E144" i="139"/>
  <c r="C145" i="139"/>
  <c r="B145" i="139" s="1"/>
  <c r="F144" i="139"/>
  <c r="E115" i="139"/>
  <c r="C116" i="139"/>
  <c r="B116" i="139" s="1"/>
  <c r="F115" i="139"/>
  <c r="D116" i="139"/>
  <c r="N29" i="174"/>
  <c r="D30" i="174"/>
  <c r="B30" i="174"/>
  <c r="C34" i="173"/>
  <c r="E33" i="173"/>
  <c r="H33" i="173" s="1"/>
  <c r="D34" i="172"/>
  <c r="B30" i="171"/>
  <c r="D30" i="171"/>
  <c r="F30" i="171" s="1"/>
  <c r="L67" i="173" l="1"/>
  <c r="F30" i="174"/>
  <c r="L61" i="172"/>
  <c r="L51" i="171"/>
  <c r="L48" i="171"/>
  <c r="L38" i="171"/>
  <c r="L41" i="171"/>
  <c r="F34" i="172"/>
  <c r="O112" i="139"/>
  <c r="G113" i="139" s="1"/>
  <c r="L50" i="174"/>
  <c r="N112" i="139"/>
  <c r="M29" i="174"/>
  <c r="O29" i="174" s="1"/>
  <c r="E34" i="172"/>
  <c r="L42" i="171"/>
  <c r="L39" i="171"/>
  <c r="L36" i="171"/>
  <c r="L52" i="171"/>
  <c r="L45" i="171"/>
  <c r="H29" i="171"/>
  <c r="N29" i="171" s="1"/>
  <c r="O29" i="171" s="1"/>
  <c r="L46" i="171"/>
  <c r="L43" i="171"/>
  <c r="L40" i="171"/>
  <c r="L33" i="171"/>
  <c r="L49" i="171"/>
  <c r="L34" i="171"/>
  <c r="L50" i="171"/>
  <c r="L47" i="171"/>
  <c r="L44" i="171"/>
  <c r="F171" i="139"/>
  <c r="D172" i="139"/>
  <c r="E171" i="139"/>
  <c r="C172" i="139"/>
  <c r="B172" i="139" s="1"/>
  <c r="G168" i="139"/>
  <c r="C146" i="139"/>
  <c r="B146" i="139" s="1"/>
  <c r="D146" i="139"/>
  <c r="F145" i="139"/>
  <c r="E145" i="139"/>
  <c r="H141" i="139"/>
  <c r="F116" i="139"/>
  <c r="C117" i="139"/>
  <c r="B117" i="139" s="1"/>
  <c r="D117" i="139"/>
  <c r="E116" i="139"/>
  <c r="C31" i="174"/>
  <c r="E30" i="174"/>
  <c r="N33" i="173"/>
  <c r="D34" i="173"/>
  <c r="B34" i="173"/>
  <c r="C35" i="172"/>
  <c r="D35" i="172" s="1"/>
  <c r="F35" i="172" s="1"/>
  <c r="G34" i="172"/>
  <c r="E30" i="171"/>
  <c r="C31" i="171"/>
  <c r="L54" i="171" l="1"/>
  <c r="F34" i="173"/>
  <c r="H113" i="139"/>
  <c r="O113" i="139" s="1"/>
  <c r="N141" i="139"/>
  <c r="B35" i="172"/>
  <c r="D173" i="139"/>
  <c r="E172" i="139"/>
  <c r="C173" i="139"/>
  <c r="B173" i="139" s="1"/>
  <c r="F172" i="139"/>
  <c r="H168" i="139"/>
  <c r="C147" i="139"/>
  <c r="B147" i="139" s="1"/>
  <c r="F146" i="139"/>
  <c r="E146" i="139"/>
  <c r="D147" i="139"/>
  <c r="O141" i="139"/>
  <c r="D118" i="139"/>
  <c r="E117" i="139"/>
  <c r="C118" i="139"/>
  <c r="B118" i="139" s="1"/>
  <c r="F117" i="139"/>
  <c r="G30" i="174"/>
  <c r="J30" i="174" s="1"/>
  <c r="D31" i="174"/>
  <c r="B31" i="174"/>
  <c r="O33" i="173"/>
  <c r="C35" i="173"/>
  <c r="E34" i="173"/>
  <c r="E35" i="172"/>
  <c r="C36" i="172"/>
  <c r="H34" i="172"/>
  <c r="G30" i="171"/>
  <c r="D31" i="171"/>
  <c r="B31" i="171"/>
  <c r="F31" i="171" l="1"/>
  <c r="F31" i="174"/>
  <c r="K30" i="174"/>
  <c r="N113" i="139"/>
  <c r="N168" i="139"/>
  <c r="O168" i="139"/>
  <c r="C174" i="139"/>
  <c r="B174" i="139" s="1"/>
  <c r="E173" i="139"/>
  <c r="F173" i="139"/>
  <c r="D174" i="139"/>
  <c r="G142" i="139"/>
  <c r="F147" i="139"/>
  <c r="D148" i="139"/>
  <c r="C148" i="139"/>
  <c r="B148" i="139" s="1"/>
  <c r="E147" i="139"/>
  <c r="G114" i="139"/>
  <c r="C119" i="139"/>
  <c r="B119" i="139" s="1"/>
  <c r="D119" i="139"/>
  <c r="F118" i="139"/>
  <c r="E118" i="139"/>
  <c r="C32" i="174"/>
  <c r="E31" i="174"/>
  <c r="G34" i="173"/>
  <c r="B35" i="173"/>
  <c r="D35" i="173"/>
  <c r="N34" i="172"/>
  <c r="B36" i="172"/>
  <c r="D36" i="172"/>
  <c r="C32" i="171"/>
  <c r="E31" i="171"/>
  <c r="H30" i="171"/>
  <c r="F35" i="173" l="1"/>
  <c r="F36" i="172"/>
  <c r="N30" i="174"/>
  <c r="G169" i="139"/>
  <c r="H169" i="139" s="1"/>
  <c r="F174" i="139"/>
  <c r="E174" i="139"/>
  <c r="D175" i="139"/>
  <c r="C175" i="139"/>
  <c r="B175" i="139" s="1"/>
  <c r="D149" i="139"/>
  <c r="E148" i="139"/>
  <c r="C149" i="139"/>
  <c r="B149" i="139" s="1"/>
  <c r="F148" i="139"/>
  <c r="H142" i="139"/>
  <c r="C120" i="139"/>
  <c r="B120" i="139" s="1"/>
  <c r="F119" i="139"/>
  <c r="E119" i="139"/>
  <c r="D120" i="139"/>
  <c r="H114" i="139"/>
  <c r="D32" i="174"/>
  <c r="B32" i="174"/>
  <c r="C36" i="173"/>
  <c r="E35" i="173"/>
  <c r="H34" i="173"/>
  <c r="O34" i="172"/>
  <c r="C37" i="172"/>
  <c r="E36" i="172"/>
  <c r="N30" i="171"/>
  <c r="B32" i="171"/>
  <c r="D32" i="171"/>
  <c r="F32" i="174" l="1"/>
  <c r="F32" i="171"/>
  <c r="O30" i="174"/>
  <c r="G31" i="174" s="1"/>
  <c r="N142" i="139"/>
  <c r="N34" i="173"/>
  <c r="O34" i="173" s="1"/>
  <c r="N169" i="139"/>
  <c r="N114" i="139"/>
  <c r="O169" i="139"/>
  <c r="O142" i="139"/>
  <c r="G143" i="139" s="1"/>
  <c r="J143" i="139" s="1"/>
  <c r="F175" i="139"/>
  <c r="D176" i="139"/>
  <c r="E175" i="139"/>
  <c r="C176" i="139"/>
  <c r="B176" i="139" s="1"/>
  <c r="C150" i="139"/>
  <c r="B150" i="139" s="1"/>
  <c r="D150" i="139"/>
  <c r="F149" i="139"/>
  <c r="E149" i="139"/>
  <c r="O114" i="139"/>
  <c r="F120" i="139"/>
  <c r="E120" i="139"/>
  <c r="D121" i="139"/>
  <c r="C121" i="139"/>
  <c r="B121" i="139" s="1"/>
  <c r="E32" i="174"/>
  <c r="C33" i="174"/>
  <c r="D36" i="173"/>
  <c r="B36" i="173"/>
  <c r="B37" i="172"/>
  <c r="D37" i="172"/>
  <c r="G35" i="172"/>
  <c r="C33" i="171"/>
  <c r="E32" i="171"/>
  <c r="O30" i="171"/>
  <c r="K29" i="169"/>
  <c r="K30" i="169"/>
  <c r="K31" i="169"/>
  <c r="J24" i="169"/>
  <c r="C29" i="169" s="1"/>
  <c r="D29" i="169" s="1"/>
  <c r="F24" i="169"/>
  <c r="F23" i="169"/>
  <c r="E22" i="169"/>
  <c r="E25" i="169" s="1"/>
  <c r="D22" i="169"/>
  <c r="D25" i="169" s="1"/>
  <c r="C22" i="169"/>
  <c r="C25" i="169" s="1"/>
  <c r="G38" i="197" s="1"/>
  <c r="F21" i="169"/>
  <c r="F20" i="169"/>
  <c r="F19" i="169"/>
  <c r="F18" i="169"/>
  <c r="F17" i="169"/>
  <c r="F16" i="169"/>
  <c r="F15" i="169"/>
  <c r="F14" i="169"/>
  <c r="F13" i="169"/>
  <c r="F12" i="169"/>
  <c r="F11" i="169"/>
  <c r="F10" i="169"/>
  <c r="F9" i="169"/>
  <c r="F8" i="169"/>
  <c r="F7" i="169"/>
  <c r="F6" i="169"/>
  <c r="F5" i="169"/>
  <c r="F4" i="169"/>
  <c r="F3" i="169"/>
  <c r="F2" i="169"/>
  <c r="F29" i="169" l="1"/>
  <c r="F36" i="173"/>
  <c r="F37" i="172"/>
  <c r="I31" i="174"/>
  <c r="J31" i="174"/>
  <c r="I32" i="174"/>
  <c r="G170" i="139"/>
  <c r="J170" i="139" s="1"/>
  <c r="G29" i="169"/>
  <c r="L48" i="169"/>
  <c r="L44" i="169"/>
  <c r="L40" i="169"/>
  <c r="L36" i="169"/>
  <c r="L32" i="169"/>
  <c r="L51" i="169"/>
  <c r="L47" i="169"/>
  <c r="L43" i="169"/>
  <c r="L39" i="169"/>
  <c r="L35" i="169"/>
  <c r="L50" i="169"/>
  <c r="L46" i="169"/>
  <c r="L42" i="169"/>
  <c r="L38" i="169"/>
  <c r="L34" i="169"/>
  <c r="L49" i="169"/>
  <c r="L45" i="169"/>
  <c r="L41" i="169"/>
  <c r="L37" i="169"/>
  <c r="L33" i="169"/>
  <c r="D177" i="139"/>
  <c r="E176" i="139"/>
  <c r="C177" i="139"/>
  <c r="B177" i="139" s="1"/>
  <c r="F176" i="139"/>
  <c r="C151" i="139"/>
  <c r="B151" i="139" s="1"/>
  <c r="F150" i="139"/>
  <c r="E150" i="139"/>
  <c r="D151" i="139"/>
  <c r="D122" i="139"/>
  <c r="E121" i="139"/>
  <c r="C122" i="139"/>
  <c r="B122" i="139" s="1"/>
  <c r="F121" i="139"/>
  <c r="G115" i="139"/>
  <c r="D33" i="174"/>
  <c r="B33" i="174"/>
  <c r="C37" i="173"/>
  <c r="E36" i="173"/>
  <c r="G35" i="173"/>
  <c r="H35" i="172"/>
  <c r="C38" i="172"/>
  <c r="E37" i="172"/>
  <c r="G31" i="171"/>
  <c r="D33" i="171"/>
  <c r="B33" i="171"/>
  <c r="E29" i="169"/>
  <c r="C30" i="169"/>
  <c r="B29" i="169"/>
  <c r="F22" i="169"/>
  <c r="F25" i="169" s="1"/>
  <c r="F33" i="171" l="1"/>
  <c r="F33" i="174"/>
  <c r="K31" i="174"/>
  <c r="M31" i="174" s="1"/>
  <c r="I36" i="174"/>
  <c r="I39" i="174"/>
  <c r="I33" i="174"/>
  <c r="I40" i="174"/>
  <c r="I34" i="174"/>
  <c r="I37" i="174"/>
  <c r="I38" i="174"/>
  <c r="I35" i="174"/>
  <c r="H29" i="169"/>
  <c r="N29" i="169" s="1"/>
  <c r="O29" i="169" s="1"/>
  <c r="G30" i="169" s="1"/>
  <c r="L53" i="169"/>
  <c r="N170" i="139"/>
  <c r="O170" i="139" s="1"/>
  <c r="K170" i="139"/>
  <c r="K143" i="139"/>
  <c r="N143" i="139"/>
  <c r="O143" i="139" s="1"/>
  <c r="C178" i="139"/>
  <c r="B178" i="139" s="1"/>
  <c r="E177" i="139"/>
  <c r="F177" i="139"/>
  <c r="D178" i="139"/>
  <c r="F151" i="139"/>
  <c r="D152" i="139"/>
  <c r="C152" i="139"/>
  <c r="B152" i="139" s="1"/>
  <c r="E151" i="139"/>
  <c r="H115" i="139"/>
  <c r="C123" i="139"/>
  <c r="B123" i="139" s="1"/>
  <c r="F122" i="139"/>
  <c r="D123" i="139"/>
  <c r="E122" i="139"/>
  <c r="N31" i="174"/>
  <c r="C34" i="174"/>
  <c r="E33" i="174"/>
  <c r="H35" i="173"/>
  <c r="D37" i="173"/>
  <c r="B37" i="173"/>
  <c r="N35" i="172"/>
  <c r="O35" i="172" s="1"/>
  <c r="B38" i="172"/>
  <c r="D38" i="172"/>
  <c r="E33" i="171"/>
  <c r="C34" i="171"/>
  <c r="H31" i="171"/>
  <c r="B30" i="169"/>
  <c r="D30" i="169"/>
  <c r="F30" i="169" l="1"/>
  <c r="F37" i="173"/>
  <c r="F38" i="172"/>
  <c r="G171" i="139"/>
  <c r="J171" i="139" s="1"/>
  <c r="N115" i="139"/>
  <c r="G144" i="139"/>
  <c r="J144" i="139" s="1"/>
  <c r="F178" i="139"/>
  <c r="E178" i="139"/>
  <c r="D179" i="139"/>
  <c r="C179" i="139"/>
  <c r="B179" i="139" s="1"/>
  <c r="D153" i="139"/>
  <c r="E152" i="139"/>
  <c r="C153" i="139"/>
  <c r="B153" i="139" s="1"/>
  <c r="F152" i="139"/>
  <c r="C124" i="139"/>
  <c r="B124" i="139" s="1"/>
  <c r="F123" i="139"/>
  <c r="E123" i="139"/>
  <c r="D124" i="139"/>
  <c r="O115" i="139"/>
  <c r="B34" i="174"/>
  <c r="D34" i="174"/>
  <c r="F34" i="174" s="1"/>
  <c r="O31" i="174"/>
  <c r="C38" i="173"/>
  <c r="E37" i="173"/>
  <c r="N35" i="173"/>
  <c r="E38" i="172"/>
  <c r="C39" i="172"/>
  <c r="G36" i="172"/>
  <c r="D34" i="171"/>
  <c r="B34" i="171"/>
  <c r="N31" i="171"/>
  <c r="E30" i="169"/>
  <c r="C31" i="169"/>
  <c r="F34" i="171" l="1"/>
  <c r="F179" i="139"/>
  <c r="D180" i="139"/>
  <c r="E179" i="139"/>
  <c r="C180" i="139"/>
  <c r="B180" i="139" s="1"/>
  <c r="N171" i="139"/>
  <c r="O171" i="139" s="1"/>
  <c r="N144" i="139"/>
  <c r="O144" i="139" s="1"/>
  <c r="C154" i="139"/>
  <c r="B154" i="139" s="1"/>
  <c r="D154" i="139"/>
  <c r="F153" i="139"/>
  <c r="E153" i="139"/>
  <c r="F124" i="139"/>
  <c r="C125" i="139"/>
  <c r="B125" i="139" s="1"/>
  <c r="E124" i="139"/>
  <c r="D125" i="139"/>
  <c r="G116" i="139"/>
  <c r="J116" i="139" s="1"/>
  <c r="G32" i="174"/>
  <c r="J32" i="174" s="1"/>
  <c r="K32" i="174" s="1"/>
  <c r="M32" i="174" s="1"/>
  <c r="E34" i="174"/>
  <c r="C35" i="174"/>
  <c r="O35" i="173"/>
  <c r="B38" i="173"/>
  <c r="D38" i="173"/>
  <c r="F38" i="173" s="1"/>
  <c r="H36" i="172"/>
  <c r="D39" i="172"/>
  <c r="B39" i="172"/>
  <c r="O31" i="171"/>
  <c r="C35" i="171"/>
  <c r="E34" i="171"/>
  <c r="D31" i="169"/>
  <c r="B31" i="169"/>
  <c r="H30" i="169"/>
  <c r="F39" i="172" l="1"/>
  <c r="F31" i="169"/>
  <c r="D181" i="139"/>
  <c r="E180" i="139"/>
  <c r="C181" i="139"/>
  <c r="B181" i="139" s="1"/>
  <c r="F180" i="139"/>
  <c r="C155" i="139"/>
  <c r="B155" i="139" s="1"/>
  <c r="F154" i="139"/>
  <c r="E154" i="139"/>
  <c r="D155" i="139"/>
  <c r="D126" i="139"/>
  <c r="E125" i="139"/>
  <c r="C126" i="139"/>
  <c r="B126" i="139" s="1"/>
  <c r="F125" i="139"/>
  <c r="D35" i="174"/>
  <c r="F35" i="174" s="1"/>
  <c r="B35" i="174"/>
  <c r="C39" i="173"/>
  <c r="E38" i="173"/>
  <c r="G36" i="173"/>
  <c r="C40" i="172"/>
  <c r="E39" i="172"/>
  <c r="N36" i="172"/>
  <c r="B35" i="171"/>
  <c r="D35" i="171"/>
  <c r="G32" i="171"/>
  <c r="N30" i="169"/>
  <c r="O30" i="169" s="1"/>
  <c r="G31" i="169" s="1"/>
  <c r="E31" i="169"/>
  <c r="C32" i="169"/>
  <c r="F35" i="171" l="1"/>
  <c r="H31" i="169"/>
  <c r="N31" i="169" s="1"/>
  <c r="O31" i="169" s="1"/>
  <c r="G32" i="169" s="1"/>
  <c r="C182" i="139"/>
  <c r="B182" i="139" s="1"/>
  <c r="E181" i="139"/>
  <c r="F181" i="139"/>
  <c r="D182" i="139"/>
  <c r="F155" i="139"/>
  <c r="D156" i="139"/>
  <c r="C156" i="139"/>
  <c r="B156" i="139" s="1"/>
  <c r="E155" i="139"/>
  <c r="N116" i="139"/>
  <c r="O116" i="139" s="1"/>
  <c r="C127" i="139"/>
  <c r="B127" i="139" s="1"/>
  <c r="D127" i="139"/>
  <c r="F126" i="139"/>
  <c r="E126" i="139"/>
  <c r="C36" i="174"/>
  <c r="E35" i="174"/>
  <c r="N32" i="174"/>
  <c r="H36" i="173"/>
  <c r="D39" i="173"/>
  <c r="F39" i="173" s="1"/>
  <c r="B39" i="173"/>
  <c r="O36" i="172"/>
  <c r="B40" i="172"/>
  <c r="D40" i="172"/>
  <c r="F40" i="172" s="1"/>
  <c r="H32" i="171"/>
  <c r="E35" i="171"/>
  <c r="C36" i="171"/>
  <c r="B32" i="169"/>
  <c r="D32" i="169"/>
  <c r="F32" i="169" l="1"/>
  <c r="N36" i="173"/>
  <c r="O36" i="173" s="1"/>
  <c r="F182" i="139"/>
  <c r="E182" i="139"/>
  <c r="D183" i="139"/>
  <c r="C183" i="139"/>
  <c r="B183" i="139" s="1"/>
  <c r="D157" i="139"/>
  <c r="E156" i="139"/>
  <c r="C157" i="139"/>
  <c r="B157" i="139" s="1"/>
  <c r="F156" i="139"/>
  <c r="C128" i="139"/>
  <c r="B128" i="139" s="1"/>
  <c r="F127" i="139"/>
  <c r="E127" i="139"/>
  <c r="D128" i="139"/>
  <c r="O32" i="174"/>
  <c r="B36" i="174"/>
  <c r="D36" i="174"/>
  <c r="F36" i="174" s="1"/>
  <c r="C40" i="173"/>
  <c r="E39" i="173"/>
  <c r="C41" i="172"/>
  <c r="E40" i="172"/>
  <c r="G37" i="172"/>
  <c r="B36" i="171"/>
  <c r="D36" i="171"/>
  <c r="F36" i="171" s="1"/>
  <c r="N32" i="171"/>
  <c r="E32" i="169"/>
  <c r="C33" i="169"/>
  <c r="F183" i="139" l="1"/>
  <c r="D184" i="139"/>
  <c r="E183" i="139"/>
  <c r="C184" i="139"/>
  <c r="B184" i="139" s="1"/>
  <c r="C158" i="139"/>
  <c r="B158" i="139" s="1"/>
  <c r="D158" i="139"/>
  <c r="F157" i="139"/>
  <c r="E157" i="139"/>
  <c r="F128" i="139"/>
  <c r="C129" i="139"/>
  <c r="B129" i="139" s="1"/>
  <c r="E128" i="139"/>
  <c r="D129" i="139"/>
  <c r="E36" i="174"/>
  <c r="C37" i="174"/>
  <c r="G33" i="174"/>
  <c r="J33" i="174" s="1"/>
  <c r="K33" i="174" s="1"/>
  <c r="M33" i="174" s="1"/>
  <c r="B40" i="173"/>
  <c r="D40" i="173"/>
  <c r="F40" i="173" s="1"/>
  <c r="G37" i="173"/>
  <c r="H37" i="172"/>
  <c r="B41" i="172"/>
  <c r="D41" i="172"/>
  <c r="F41" i="172" s="1"/>
  <c r="C37" i="171"/>
  <c r="E36" i="171"/>
  <c r="D33" i="169"/>
  <c r="B33" i="169"/>
  <c r="H32" i="169"/>
  <c r="F33" i="169" l="1"/>
  <c r="D185" i="139"/>
  <c r="E184" i="139"/>
  <c r="C185" i="139"/>
  <c r="B185" i="139" s="1"/>
  <c r="F184" i="139"/>
  <c r="C159" i="139"/>
  <c r="B159" i="139" s="1"/>
  <c r="F158" i="139"/>
  <c r="E158" i="139"/>
  <c r="D159" i="139"/>
  <c r="D130" i="139"/>
  <c r="E129" i="139"/>
  <c r="C130" i="139"/>
  <c r="B130" i="139" s="1"/>
  <c r="F129" i="139"/>
  <c r="N33" i="174"/>
  <c r="B37" i="174"/>
  <c r="D37" i="174"/>
  <c r="F37" i="174" s="1"/>
  <c r="H37" i="173"/>
  <c r="E40" i="173"/>
  <c r="C41" i="173"/>
  <c r="C42" i="172"/>
  <c r="E41" i="172"/>
  <c r="N37" i="172"/>
  <c r="D37" i="171"/>
  <c r="F37" i="171" s="1"/>
  <c r="B37" i="171"/>
  <c r="N32" i="169"/>
  <c r="I37" i="169"/>
  <c r="I38" i="169"/>
  <c r="I39" i="169"/>
  <c r="I36" i="169"/>
  <c r="I41" i="169"/>
  <c r="I42" i="169"/>
  <c r="I43" i="169"/>
  <c r="I40" i="169"/>
  <c r="I45" i="169"/>
  <c r="I46" i="169"/>
  <c r="I47" i="169"/>
  <c r="I44" i="169"/>
  <c r="I33" i="169"/>
  <c r="I34" i="169"/>
  <c r="I35" i="169"/>
  <c r="I32" i="169"/>
  <c r="K32" i="169" s="1"/>
  <c r="M32" i="169" s="1"/>
  <c r="E33" i="169"/>
  <c r="C34" i="169"/>
  <c r="N37" i="173" l="1"/>
  <c r="O37" i="173" s="1"/>
  <c r="C186" i="139"/>
  <c r="B186" i="139" s="1"/>
  <c r="F185" i="139"/>
  <c r="D186" i="139"/>
  <c r="E185" i="139"/>
  <c r="F159" i="139"/>
  <c r="D160" i="139"/>
  <c r="C160" i="139"/>
  <c r="B160" i="139" s="1"/>
  <c r="E159" i="139"/>
  <c r="C131" i="139"/>
  <c r="B131" i="139" s="1"/>
  <c r="D131" i="139"/>
  <c r="F130" i="139"/>
  <c r="E130" i="139"/>
  <c r="C38" i="174"/>
  <c r="E37" i="174"/>
  <c r="O33" i="174"/>
  <c r="B41" i="173"/>
  <c r="D41" i="173"/>
  <c r="F41" i="173" s="1"/>
  <c r="B42" i="172"/>
  <c r="D42" i="172"/>
  <c r="F42" i="172" s="1"/>
  <c r="K37" i="172"/>
  <c r="E37" i="171"/>
  <c r="C38" i="171"/>
  <c r="O32" i="169"/>
  <c r="G33" i="169" s="1"/>
  <c r="J33" i="169" s="1"/>
  <c r="K33" i="169" s="1"/>
  <c r="M33" i="169" s="1"/>
  <c r="B34" i="169"/>
  <c r="D34" i="169"/>
  <c r="F34" i="169" l="1"/>
  <c r="E186" i="139"/>
  <c r="F186" i="139"/>
  <c r="D187" i="139"/>
  <c r="C187" i="139"/>
  <c r="B187" i="139" s="1"/>
  <c r="D161" i="139"/>
  <c r="E160" i="139"/>
  <c r="C161" i="139"/>
  <c r="B161" i="139" s="1"/>
  <c r="F160" i="139"/>
  <c r="C132" i="139"/>
  <c r="B132" i="139" s="1"/>
  <c r="F131" i="139"/>
  <c r="E131" i="139"/>
  <c r="D132" i="139"/>
  <c r="G34" i="174"/>
  <c r="J34" i="174" s="1"/>
  <c r="K34" i="174" s="1"/>
  <c r="B38" i="174"/>
  <c r="D38" i="174"/>
  <c r="F38" i="174" s="1"/>
  <c r="C42" i="173"/>
  <c r="E41" i="173"/>
  <c r="G38" i="173"/>
  <c r="M37" i="172"/>
  <c r="E42" i="172"/>
  <c r="C43" i="172"/>
  <c r="D38" i="171"/>
  <c r="F38" i="171" s="1"/>
  <c r="B38" i="171"/>
  <c r="N33" i="169"/>
  <c r="O33" i="169" s="1"/>
  <c r="G34" i="169" s="1"/>
  <c r="E34" i="169"/>
  <c r="C35" i="169"/>
  <c r="M34" i="174" l="1"/>
  <c r="F187" i="139"/>
  <c r="C188" i="139"/>
  <c r="B188" i="139" s="1"/>
  <c r="D188" i="139"/>
  <c r="E187" i="139"/>
  <c r="F161" i="139"/>
  <c r="E161" i="139"/>
  <c r="F132" i="139"/>
  <c r="D133" i="139"/>
  <c r="C133" i="139"/>
  <c r="B133" i="139" s="1"/>
  <c r="E132" i="139"/>
  <c r="N34" i="174"/>
  <c r="E38" i="174"/>
  <c r="C39" i="174"/>
  <c r="D42" i="173"/>
  <c r="F42" i="173" s="1"/>
  <c r="B42" i="173"/>
  <c r="H38" i="173"/>
  <c r="N38" i="173" s="1"/>
  <c r="O38" i="173" s="1"/>
  <c r="G39" i="173" s="1"/>
  <c r="D43" i="172"/>
  <c r="F43" i="172" s="1"/>
  <c r="B43" i="172"/>
  <c r="O37" i="172"/>
  <c r="C39" i="171"/>
  <c r="E38" i="171"/>
  <c r="J34" i="169"/>
  <c r="K34" i="169" s="1"/>
  <c r="D35" i="169"/>
  <c r="F35" i="169" s="1"/>
  <c r="B35" i="169"/>
  <c r="O34" i="174" l="1"/>
  <c r="G35" i="174" s="1"/>
  <c r="J35" i="174" s="1"/>
  <c r="K35" i="174" s="1"/>
  <c r="M35" i="174" s="1"/>
  <c r="E188" i="139"/>
  <c r="F188" i="139"/>
  <c r="D134" i="139"/>
  <c r="E133" i="139"/>
  <c r="C134" i="139"/>
  <c r="B134" i="139" s="1"/>
  <c r="F133" i="139"/>
  <c r="M34" i="169"/>
  <c r="D39" i="174"/>
  <c r="F39" i="174" s="1"/>
  <c r="B39" i="174"/>
  <c r="H39" i="173"/>
  <c r="N39" i="173" s="1"/>
  <c r="O39" i="173" s="1"/>
  <c r="G40" i="173" s="1"/>
  <c r="E42" i="173"/>
  <c r="C43" i="173"/>
  <c r="C44" i="172"/>
  <c r="E43" i="172"/>
  <c r="G38" i="172"/>
  <c r="H38" i="172" s="1"/>
  <c r="B39" i="171"/>
  <c r="D39" i="171"/>
  <c r="F39" i="171" s="1"/>
  <c r="N34" i="169"/>
  <c r="E35" i="169"/>
  <c r="C36" i="169"/>
  <c r="N35" i="174" l="1"/>
  <c r="O35" i="174" s="1"/>
  <c r="G36" i="174" s="1"/>
  <c r="O34" i="169"/>
  <c r="G35" i="169" s="1"/>
  <c r="J35" i="169" s="1"/>
  <c r="K35" i="169" s="1"/>
  <c r="F134" i="139"/>
  <c r="E134" i="139"/>
  <c r="C40" i="174"/>
  <c r="E39" i="174"/>
  <c r="D43" i="173"/>
  <c r="F43" i="173" s="1"/>
  <c r="B43" i="173"/>
  <c r="H40" i="173"/>
  <c r="N40" i="173" s="1"/>
  <c r="O40" i="173" s="1"/>
  <c r="G41" i="173" s="1"/>
  <c r="D44" i="172"/>
  <c r="F44" i="172" s="1"/>
  <c r="B44" i="172"/>
  <c r="E39" i="171"/>
  <c r="C40" i="171"/>
  <c r="D36" i="169"/>
  <c r="F36" i="169" s="1"/>
  <c r="B36" i="169"/>
  <c r="J36" i="174" l="1"/>
  <c r="K36" i="174" s="1"/>
  <c r="M35" i="169"/>
  <c r="B40" i="174"/>
  <c r="D40" i="174"/>
  <c r="F40" i="174" s="1"/>
  <c r="H41" i="173"/>
  <c r="N41" i="173" s="1"/>
  <c r="O41" i="173" s="1"/>
  <c r="G42" i="173" s="1"/>
  <c r="E43" i="173"/>
  <c r="C44" i="173"/>
  <c r="C45" i="172"/>
  <c r="E44" i="172"/>
  <c r="K38" i="172"/>
  <c r="N38" i="172"/>
  <c r="B40" i="171"/>
  <c r="D40" i="171"/>
  <c r="F40" i="171" s="1"/>
  <c r="N35" i="169"/>
  <c r="E36" i="169"/>
  <c r="C37" i="169"/>
  <c r="M36" i="174" l="1"/>
  <c r="N36" i="174"/>
  <c r="O35" i="169"/>
  <c r="G36" i="169" s="1"/>
  <c r="J36" i="169" s="1"/>
  <c r="K36" i="169" s="1"/>
  <c r="E40" i="174"/>
  <c r="C41" i="174"/>
  <c r="H42" i="173"/>
  <c r="N42" i="173" s="1"/>
  <c r="O42" i="173" s="1"/>
  <c r="G43" i="173" s="1"/>
  <c r="D44" i="173"/>
  <c r="F44" i="173" s="1"/>
  <c r="B44" i="173"/>
  <c r="B45" i="172"/>
  <c r="D45" i="172"/>
  <c r="F45" i="172" s="1"/>
  <c r="M38" i="172"/>
  <c r="O38" i="172" s="1"/>
  <c r="G39" i="172" s="1"/>
  <c r="H39" i="172" s="1"/>
  <c r="C41" i="171"/>
  <c r="E40" i="171"/>
  <c r="B37" i="169"/>
  <c r="D37" i="169"/>
  <c r="F37" i="169" s="1"/>
  <c r="O36" i="174" l="1"/>
  <c r="G37" i="174" s="1"/>
  <c r="J37" i="174" s="1"/>
  <c r="K37" i="174" s="1"/>
  <c r="M37" i="174" s="1"/>
  <c r="M36" i="169"/>
  <c r="B41" i="174"/>
  <c r="D41" i="174"/>
  <c r="F41" i="174" s="1"/>
  <c r="H43" i="173"/>
  <c r="N43" i="173" s="1"/>
  <c r="O43" i="173" s="1"/>
  <c r="G44" i="173" s="1"/>
  <c r="E44" i="173"/>
  <c r="C45" i="173"/>
  <c r="C46" i="172"/>
  <c r="E45" i="172"/>
  <c r="N39" i="172"/>
  <c r="D41" i="171"/>
  <c r="F41" i="171" s="1"/>
  <c r="B41" i="171"/>
  <c r="N36" i="169"/>
  <c r="C38" i="169"/>
  <c r="E37" i="169"/>
  <c r="N37" i="174" l="1"/>
  <c r="O37" i="174" s="1"/>
  <c r="G38" i="174" s="1"/>
  <c r="J38" i="174" s="1"/>
  <c r="K38" i="174" s="1"/>
  <c r="M38" i="174" s="1"/>
  <c r="O36" i="169"/>
  <c r="G37" i="169" s="1"/>
  <c r="J37" i="169" s="1"/>
  <c r="K37" i="169" s="1"/>
  <c r="C42" i="174"/>
  <c r="E41" i="174"/>
  <c r="H44" i="173"/>
  <c r="N44" i="173" s="1"/>
  <c r="O44" i="173" s="1"/>
  <c r="G45" i="173" s="1"/>
  <c r="B45" i="173"/>
  <c r="D45" i="173"/>
  <c r="F45" i="173" s="1"/>
  <c r="K39" i="172"/>
  <c r="D46" i="172"/>
  <c r="F46" i="172" s="1"/>
  <c r="B46" i="172"/>
  <c r="E41" i="171"/>
  <c r="C42" i="171"/>
  <c r="B38" i="169"/>
  <c r="D38" i="169"/>
  <c r="F38" i="169" s="1"/>
  <c r="N38" i="174" l="1"/>
  <c r="O38" i="174" s="1"/>
  <c r="G39" i="174" s="1"/>
  <c r="J39" i="174" s="1"/>
  <c r="K39" i="174" s="1"/>
  <c r="M37" i="169"/>
  <c r="D42" i="174"/>
  <c r="F42" i="174" s="1"/>
  <c r="B42" i="174"/>
  <c r="C46" i="173"/>
  <c r="E45" i="173"/>
  <c r="H45" i="173" s="1"/>
  <c r="E46" i="172"/>
  <c r="C47" i="172"/>
  <c r="M39" i="172"/>
  <c r="O39" i="172" s="1"/>
  <c r="G40" i="172" s="1"/>
  <c r="H40" i="172" s="1"/>
  <c r="D42" i="171"/>
  <c r="F42" i="171" s="1"/>
  <c r="B42" i="171"/>
  <c r="N37" i="169"/>
  <c r="E38" i="169"/>
  <c r="C39" i="169"/>
  <c r="N39" i="174" l="1"/>
  <c r="M39" i="174"/>
  <c r="O37" i="169"/>
  <c r="G38" i="169" s="1"/>
  <c r="J38" i="169" s="1"/>
  <c r="K38" i="169" s="1"/>
  <c r="E42" i="174"/>
  <c r="C43" i="174"/>
  <c r="I48" i="174"/>
  <c r="I43" i="174"/>
  <c r="I47" i="174"/>
  <c r="I41" i="174"/>
  <c r="H50" i="174"/>
  <c r="I46" i="174"/>
  <c r="I45" i="174"/>
  <c r="I42" i="174"/>
  <c r="I44" i="174"/>
  <c r="N45" i="173"/>
  <c r="D46" i="173"/>
  <c r="F46" i="173" s="1"/>
  <c r="B46" i="173"/>
  <c r="D47" i="172"/>
  <c r="F47" i="172" s="1"/>
  <c r="B47" i="172"/>
  <c r="C43" i="171"/>
  <c r="E42" i="171"/>
  <c r="D39" i="169"/>
  <c r="F39" i="169" s="1"/>
  <c r="B39" i="169"/>
  <c r="O39" i="174" l="1"/>
  <c r="G40" i="174" s="1"/>
  <c r="J40" i="174" s="1"/>
  <c r="K40" i="174" s="1"/>
  <c r="M38" i="169"/>
  <c r="I50" i="174"/>
  <c r="D43" i="174"/>
  <c r="F43" i="174" s="1"/>
  <c r="B43" i="174"/>
  <c r="E46" i="173"/>
  <c r="C47" i="173"/>
  <c r="K45" i="173"/>
  <c r="C48" i="172"/>
  <c r="E47" i="172"/>
  <c r="K40" i="172"/>
  <c r="M40" i="172" s="1"/>
  <c r="N40" i="172"/>
  <c r="B43" i="171"/>
  <c r="D43" i="171"/>
  <c r="F43" i="171" s="1"/>
  <c r="N38" i="169"/>
  <c r="E39" i="169"/>
  <c r="C40" i="169"/>
  <c r="N40" i="174" l="1"/>
  <c r="M40" i="174"/>
  <c r="O38" i="169"/>
  <c r="G39" i="169" s="1"/>
  <c r="J39" i="169" s="1"/>
  <c r="K39" i="169" s="1"/>
  <c r="C44" i="174"/>
  <c r="E43" i="174"/>
  <c r="D47" i="173"/>
  <c r="F47" i="173" s="1"/>
  <c r="B47" i="173"/>
  <c r="M45" i="173"/>
  <c r="O40" i="172"/>
  <c r="G41" i="172" s="1"/>
  <c r="D48" i="172"/>
  <c r="F48" i="172" s="1"/>
  <c r="B48" i="172"/>
  <c r="E43" i="171"/>
  <c r="C44" i="171"/>
  <c r="B40" i="169"/>
  <c r="D40" i="169"/>
  <c r="F40" i="169" s="1"/>
  <c r="O40" i="174" l="1"/>
  <c r="G41" i="174" s="1"/>
  <c r="J41" i="174" s="1"/>
  <c r="M39" i="169"/>
  <c r="B44" i="174"/>
  <c r="D44" i="174"/>
  <c r="F44" i="174" s="1"/>
  <c r="C48" i="173"/>
  <c r="E47" i="173"/>
  <c r="O45" i="173"/>
  <c r="G46" i="173" s="1"/>
  <c r="H46" i="173" s="1"/>
  <c r="C49" i="172"/>
  <c r="E48" i="172"/>
  <c r="B44" i="171"/>
  <c r="D44" i="171"/>
  <c r="F44" i="171" s="1"/>
  <c r="N39" i="169"/>
  <c r="E40" i="169"/>
  <c r="C41" i="169"/>
  <c r="O39" i="169" l="1"/>
  <c r="G40" i="169" s="1"/>
  <c r="J40" i="169" s="1"/>
  <c r="K40" i="169" s="1"/>
  <c r="N41" i="174"/>
  <c r="K41" i="174"/>
  <c r="E44" i="174"/>
  <c r="C45" i="174"/>
  <c r="D48" i="173"/>
  <c r="F48" i="173" s="1"/>
  <c r="B48" i="173"/>
  <c r="K41" i="172"/>
  <c r="M41" i="172" s="1"/>
  <c r="N41" i="172"/>
  <c r="B49" i="172"/>
  <c r="D49" i="172"/>
  <c r="F49" i="172" s="1"/>
  <c r="C45" i="171"/>
  <c r="E44" i="171"/>
  <c r="B41" i="169"/>
  <c r="D41" i="169"/>
  <c r="F41" i="169" s="1"/>
  <c r="M41" i="174" l="1"/>
  <c r="O41" i="174" s="1"/>
  <c r="G42" i="174" s="1"/>
  <c r="J42" i="174" s="1"/>
  <c r="N42" i="174" s="1"/>
  <c r="M40" i="169"/>
  <c r="B45" i="174"/>
  <c r="D45" i="174"/>
  <c r="F45" i="174" s="1"/>
  <c r="C49" i="173"/>
  <c r="E48" i="173"/>
  <c r="N46" i="173"/>
  <c r="O41" i="172"/>
  <c r="G42" i="172" s="1"/>
  <c r="C50" i="172"/>
  <c r="E49" i="172"/>
  <c r="D45" i="171"/>
  <c r="F45" i="171" s="1"/>
  <c r="B45" i="171"/>
  <c r="N40" i="169"/>
  <c r="C42" i="169"/>
  <c r="E41" i="169"/>
  <c r="K42" i="174" l="1"/>
  <c r="O40" i="169"/>
  <c r="G41" i="169" s="1"/>
  <c r="J41" i="169" s="1"/>
  <c r="K41" i="169" s="1"/>
  <c r="C46" i="174"/>
  <c r="E45" i="174"/>
  <c r="B49" i="173"/>
  <c r="D49" i="173"/>
  <c r="F49" i="173" s="1"/>
  <c r="D50" i="172"/>
  <c r="F50" i="172" s="1"/>
  <c r="B50" i="172"/>
  <c r="K42" i="172"/>
  <c r="M42" i="172" s="1"/>
  <c r="N42" i="172"/>
  <c r="E45" i="171"/>
  <c r="C46" i="171"/>
  <c r="D42" i="169"/>
  <c r="F42" i="169" s="1"/>
  <c r="B42" i="169"/>
  <c r="M42" i="174" l="1"/>
  <c r="M41" i="169"/>
  <c r="O42" i="174"/>
  <c r="G43" i="174" s="1"/>
  <c r="D46" i="174"/>
  <c r="F46" i="174" s="1"/>
  <c r="B46" i="174"/>
  <c r="C50" i="173"/>
  <c r="E49" i="173"/>
  <c r="O42" i="172"/>
  <c r="G43" i="172" s="1"/>
  <c r="E50" i="172"/>
  <c r="C51" i="172"/>
  <c r="D46" i="171"/>
  <c r="F46" i="171" s="1"/>
  <c r="B46" i="171"/>
  <c r="N41" i="169"/>
  <c r="E42" i="169"/>
  <c r="C43" i="169"/>
  <c r="O41" i="169" l="1"/>
  <c r="G42" i="169" s="1"/>
  <c r="J42" i="169" s="1"/>
  <c r="K42" i="169" s="1"/>
  <c r="J43" i="174"/>
  <c r="E46" i="174"/>
  <c r="C47" i="174"/>
  <c r="B50" i="173"/>
  <c r="D50" i="173"/>
  <c r="F50" i="173" s="1"/>
  <c r="D51" i="172"/>
  <c r="F51" i="172" s="1"/>
  <c r="B51" i="172"/>
  <c r="K43" i="172"/>
  <c r="M43" i="172" s="1"/>
  <c r="C47" i="171"/>
  <c r="E46" i="171"/>
  <c r="D43" i="169"/>
  <c r="F43" i="169" s="1"/>
  <c r="B43" i="169"/>
  <c r="M42" i="169" l="1"/>
  <c r="K43" i="174"/>
  <c r="D47" i="174"/>
  <c r="F47" i="174" s="1"/>
  <c r="B47" i="174"/>
  <c r="N43" i="174"/>
  <c r="E50" i="173"/>
  <c r="C51" i="173"/>
  <c r="N43" i="172"/>
  <c r="O43" i="172" s="1"/>
  <c r="G44" i="172" s="1"/>
  <c r="C52" i="172"/>
  <c r="E51" i="172"/>
  <c r="B47" i="171"/>
  <c r="D47" i="171"/>
  <c r="F47" i="171" s="1"/>
  <c r="N42" i="169"/>
  <c r="E43" i="169"/>
  <c r="C44" i="169"/>
  <c r="O42" i="169" l="1"/>
  <c r="G43" i="169" s="1"/>
  <c r="C48" i="174"/>
  <c r="E47" i="174"/>
  <c r="M43" i="174"/>
  <c r="O43" i="174" s="1"/>
  <c r="G44" i="174" s="1"/>
  <c r="D51" i="173"/>
  <c r="F51" i="173" s="1"/>
  <c r="B51" i="173"/>
  <c r="K44" i="172"/>
  <c r="M44" i="172" s="1"/>
  <c r="N44" i="172"/>
  <c r="D52" i="172"/>
  <c r="F52" i="172" s="1"/>
  <c r="B52" i="172"/>
  <c r="E47" i="171"/>
  <c r="C48" i="171"/>
  <c r="J43" i="169"/>
  <c r="K43" i="169" s="1"/>
  <c r="D44" i="169"/>
  <c r="B44" i="169"/>
  <c r="M43" i="169" l="1"/>
  <c r="O44" i="172"/>
  <c r="G45" i="172" s="1"/>
  <c r="C45" i="169"/>
  <c r="D45" i="169" s="1"/>
  <c r="F45" i="169" s="1"/>
  <c r="F44" i="169"/>
  <c r="J44" i="174"/>
  <c r="B48" i="174"/>
  <c r="D48" i="174"/>
  <c r="H50" i="197" s="1"/>
  <c r="I50" i="197" s="1"/>
  <c r="C52" i="173"/>
  <c r="E51" i="173"/>
  <c r="C53" i="172"/>
  <c r="E52" i="172"/>
  <c r="B48" i="171"/>
  <c r="D48" i="171"/>
  <c r="F48" i="171" s="1"/>
  <c r="N43" i="169"/>
  <c r="E44" i="169"/>
  <c r="B45" i="169"/>
  <c r="O43" i="169" l="1"/>
  <c r="G44" i="169" s="1"/>
  <c r="J44" i="169" s="1"/>
  <c r="K44" i="169" s="1"/>
  <c r="F48" i="174"/>
  <c r="K44" i="174"/>
  <c r="E48" i="174"/>
  <c r="N44" i="174"/>
  <c r="B52" i="173"/>
  <c r="D52" i="173"/>
  <c r="F52" i="173" s="1"/>
  <c r="N45" i="172"/>
  <c r="B53" i="172"/>
  <c r="D53" i="172"/>
  <c r="F53" i="172" s="1"/>
  <c r="E48" i="171"/>
  <c r="C49" i="171"/>
  <c r="E45" i="169"/>
  <c r="C46" i="169"/>
  <c r="M44" i="174" l="1"/>
  <c r="O44" i="174" s="1"/>
  <c r="G45" i="174" s="1"/>
  <c r="J45" i="174" s="1"/>
  <c r="N45" i="174" s="1"/>
  <c r="M44" i="169"/>
  <c r="C53" i="173"/>
  <c r="E52" i="173"/>
  <c r="K45" i="172"/>
  <c r="E53" i="172"/>
  <c r="C54" i="172"/>
  <c r="D49" i="171"/>
  <c r="F49" i="171" s="1"/>
  <c r="B49" i="171"/>
  <c r="N44" i="169"/>
  <c r="B46" i="169"/>
  <c r="D46" i="169"/>
  <c r="F46" i="169" s="1"/>
  <c r="O44" i="169" l="1"/>
  <c r="G45" i="169" s="1"/>
  <c r="J45" i="169" s="1"/>
  <c r="K45" i="169" s="1"/>
  <c r="M45" i="169" s="1"/>
  <c r="M45" i="172"/>
  <c r="K45" i="174"/>
  <c r="B53" i="173"/>
  <c r="D53" i="173"/>
  <c r="F53" i="173" s="1"/>
  <c r="B54" i="172"/>
  <c r="D54" i="172"/>
  <c r="F54" i="172" s="1"/>
  <c r="E49" i="171"/>
  <c r="C50" i="171"/>
  <c r="C47" i="169"/>
  <c r="E46" i="169"/>
  <c r="N45" i="169" l="1"/>
  <c r="O45" i="169" s="1"/>
  <c r="G46" i="169" s="1"/>
  <c r="J46" i="169" s="1"/>
  <c r="K46" i="169" s="1"/>
  <c r="M45" i="174"/>
  <c r="O45" i="174" s="1"/>
  <c r="G46" i="174" s="1"/>
  <c r="J46" i="174" s="1"/>
  <c r="O45" i="172"/>
  <c r="C54" i="173"/>
  <c r="E53" i="173"/>
  <c r="E54" i="172"/>
  <c r="C55" i="172"/>
  <c r="D50" i="171"/>
  <c r="F50" i="171" s="1"/>
  <c r="B50" i="171"/>
  <c r="D47" i="169"/>
  <c r="F47" i="169" s="1"/>
  <c r="B47" i="169"/>
  <c r="M46" i="169" l="1"/>
  <c r="G46" i="172"/>
  <c r="K46" i="174"/>
  <c r="N46" i="174"/>
  <c r="B54" i="173"/>
  <c r="D54" i="173"/>
  <c r="F54" i="173" s="1"/>
  <c r="D55" i="172"/>
  <c r="F55" i="172" s="1"/>
  <c r="B55" i="172"/>
  <c r="C51" i="171"/>
  <c r="E50" i="171"/>
  <c r="N46" i="169"/>
  <c r="E47" i="169"/>
  <c r="C48" i="169"/>
  <c r="O46" i="169" l="1"/>
  <c r="G47" i="169" s="1"/>
  <c r="J47" i="169" s="1"/>
  <c r="K47" i="169" s="1"/>
  <c r="M46" i="174"/>
  <c r="O46" i="174" s="1"/>
  <c r="G47" i="174" s="1"/>
  <c r="E54" i="173"/>
  <c r="C55" i="173"/>
  <c r="C56" i="172"/>
  <c r="E55" i="172"/>
  <c r="B51" i="171"/>
  <c r="D51" i="171"/>
  <c r="D48" i="169"/>
  <c r="F48" i="169" s="1"/>
  <c r="B48" i="169"/>
  <c r="F51" i="171" l="1"/>
  <c r="C52" i="171"/>
  <c r="M47" i="169"/>
  <c r="K46" i="172"/>
  <c r="N46" i="172"/>
  <c r="N47" i="169"/>
  <c r="J47" i="174"/>
  <c r="K47" i="174" s="1"/>
  <c r="D55" i="173"/>
  <c r="F55" i="173" s="1"/>
  <c r="B55" i="173"/>
  <c r="B56" i="172"/>
  <c r="D56" i="172"/>
  <c r="E51" i="171"/>
  <c r="C49" i="169"/>
  <c r="E48" i="169"/>
  <c r="O47" i="169" l="1"/>
  <c r="G48" i="169" s="1"/>
  <c r="B52" i="171"/>
  <c r="D52" i="171"/>
  <c r="H14" i="197" s="1"/>
  <c r="M47" i="174"/>
  <c r="C57" i="172"/>
  <c r="D57" i="172" s="1"/>
  <c r="F57" i="172" s="1"/>
  <c r="F56" i="172"/>
  <c r="M46" i="172"/>
  <c r="J48" i="169"/>
  <c r="N47" i="174"/>
  <c r="C56" i="173"/>
  <c r="E55" i="173"/>
  <c r="E56" i="172"/>
  <c r="B49" i="169"/>
  <c r="D49" i="169"/>
  <c r="F49" i="169" s="1"/>
  <c r="I14" i="197" l="1"/>
  <c r="B57" i="172"/>
  <c r="F52" i="171"/>
  <c r="E52" i="171"/>
  <c r="O47" i="174"/>
  <c r="G48" i="174" s="1"/>
  <c r="J48" i="174" s="1"/>
  <c r="K48" i="174" s="1"/>
  <c r="O46" i="172"/>
  <c r="D56" i="173"/>
  <c r="F56" i="173" s="1"/>
  <c r="B56" i="173"/>
  <c r="E57" i="172"/>
  <c r="C58" i="172"/>
  <c r="H53" i="169"/>
  <c r="I48" i="169"/>
  <c r="K48" i="169" s="1"/>
  <c r="I51" i="169"/>
  <c r="I49" i="169"/>
  <c r="N48" i="169"/>
  <c r="I50" i="169"/>
  <c r="C50" i="169"/>
  <c r="E49" i="169"/>
  <c r="C51" i="197" l="1"/>
  <c r="B50" i="197"/>
  <c r="C50" i="197"/>
  <c r="E51" i="197"/>
  <c r="E50" i="197"/>
  <c r="D50" i="197"/>
  <c r="D51" i="197"/>
  <c r="B51" i="197"/>
  <c r="M48" i="174"/>
  <c r="G47" i="172"/>
  <c r="N48" i="174"/>
  <c r="C57" i="173"/>
  <c r="E56" i="173"/>
  <c r="D58" i="172"/>
  <c r="F58" i="172" s="1"/>
  <c r="B58" i="172"/>
  <c r="I53" i="169"/>
  <c r="M48" i="169"/>
  <c r="B50" i="169"/>
  <c r="D50" i="169"/>
  <c r="F50" i="169" s="1"/>
  <c r="F51" i="197" l="1"/>
  <c r="F50" i="197"/>
  <c r="O48" i="174"/>
  <c r="N47" i="172"/>
  <c r="B57" i="173"/>
  <c r="D57" i="173"/>
  <c r="F57" i="173" s="1"/>
  <c r="C59" i="172"/>
  <c r="E58" i="172"/>
  <c r="C51" i="169"/>
  <c r="E50" i="169"/>
  <c r="O48" i="169"/>
  <c r="G49" i="169" s="1"/>
  <c r="K47" i="172" l="1"/>
  <c r="C58" i="173"/>
  <c r="E57" i="173"/>
  <c r="B59" i="172"/>
  <c r="D59" i="172"/>
  <c r="H44" i="197" s="1"/>
  <c r="I44" i="197" s="1"/>
  <c r="J49" i="169"/>
  <c r="B51" i="169"/>
  <c r="D51" i="169"/>
  <c r="H38" i="197" s="1"/>
  <c r="I38" i="197" s="1"/>
  <c r="F51" i="169" l="1"/>
  <c r="F59" i="172"/>
  <c r="M47" i="172"/>
  <c r="D58" i="173"/>
  <c r="F58" i="173" s="1"/>
  <c r="B58" i="173"/>
  <c r="E59" i="172"/>
  <c r="K49" i="169"/>
  <c r="N49" i="169"/>
  <c r="E51" i="169"/>
  <c r="O47" i="172" l="1"/>
  <c r="E58" i="173"/>
  <c r="C59" i="173"/>
  <c r="M49" i="169"/>
  <c r="O49" i="169" s="1"/>
  <c r="G50" i="169" s="1"/>
  <c r="G48" i="172" l="1"/>
  <c r="D59" i="173"/>
  <c r="F59" i="173" s="1"/>
  <c r="B59" i="173"/>
  <c r="J50" i="169"/>
  <c r="N50" i="169" s="1"/>
  <c r="C60" i="173" l="1"/>
  <c r="E59" i="173"/>
  <c r="K50" i="169"/>
  <c r="N48" i="172" l="1"/>
  <c r="D60" i="173"/>
  <c r="F60" i="173" s="1"/>
  <c r="B60" i="173"/>
  <c r="M50" i="169"/>
  <c r="C61" i="173" l="1"/>
  <c r="E60" i="173"/>
  <c r="O50" i="169"/>
  <c r="G51" i="169" s="1"/>
  <c r="B61" i="173" l="1"/>
  <c r="D61" i="173"/>
  <c r="F61" i="173" s="1"/>
  <c r="J51" i="169"/>
  <c r="N51" i="169" s="1"/>
  <c r="C62" i="173" l="1"/>
  <c r="E61" i="173"/>
  <c r="K51" i="169"/>
  <c r="D38" i="197" l="1"/>
  <c r="B39" i="197"/>
  <c r="C39" i="197"/>
  <c r="C38" i="197"/>
  <c r="B38" i="197"/>
  <c r="F38" i="197" s="1"/>
  <c r="E39" i="197"/>
  <c r="D39" i="197"/>
  <c r="E38" i="197"/>
  <c r="D62" i="173"/>
  <c r="F62" i="173" s="1"/>
  <c r="B62" i="173"/>
  <c r="M51" i="169"/>
  <c r="F39" i="197" l="1"/>
  <c r="E62" i="173"/>
  <c r="C63" i="173"/>
  <c r="O51" i="169"/>
  <c r="D63" i="173" l="1"/>
  <c r="F63" i="173" s="1"/>
  <c r="B63" i="173"/>
  <c r="G53" i="169"/>
  <c r="C64" i="173" l="1"/>
  <c r="E63" i="173"/>
  <c r="J53" i="169"/>
  <c r="D64" i="173" l="1"/>
  <c r="B64" i="173"/>
  <c r="O53" i="169"/>
  <c r="K53" i="169"/>
  <c r="N53" i="169"/>
  <c r="F64" i="173" l="1"/>
  <c r="C65" i="173"/>
  <c r="E64" i="173"/>
  <c r="M53" i="169"/>
  <c r="B65" i="173" l="1"/>
  <c r="D65" i="173"/>
  <c r="H86" i="197" s="1"/>
  <c r="I86" i="197" s="1"/>
  <c r="F65" i="173" l="1"/>
  <c r="E65" i="173"/>
  <c r="G50" i="174" l="1"/>
  <c r="J50" i="174" l="1"/>
  <c r="L158" i="160"/>
  <c r="L157" i="160"/>
  <c r="L156" i="160"/>
  <c r="L155" i="160"/>
  <c r="L154" i="160"/>
  <c r="L153" i="160"/>
  <c r="L152" i="160"/>
  <c r="L151" i="160"/>
  <c r="L150" i="160"/>
  <c r="L149" i="160"/>
  <c r="L148" i="160"/>
  <c r="L147" i="160"/>
  <c r="L146" i="160"/>
  <c r="L145" i="160"/>
  <c r="L144" i="160"/>
  <c r="L143" i="160"/>
  <c r="L142" i="160"/>
  <c r="L124" i="160"/>
  <c r="L123" i="160"/>
  <c r="L122" i="160"/>
  <c r="L121" i="160"/>
  <c r="L120" i="160"/>
  <c r="L119" i="160"/>
  <c r="L118" i="160"/>
  <c r="L117" i="160"/>
  <c r="L116" i="160"/>
  <c r="L115" i="160"/>
  <c r="L114" i="160"/>
  <c r="L113" i="160"/>
  <c r="L112" i="160"/>
  <c r="L111" i="160"/>
  <c r="L110" i="160"/>
  <c r="L109" i="160"/>
  <c r="L91" i="160"/>
  <c r="L90" i="160"/>
  <c r="L89" i="160"/>
  <c r="L88" i="160"/>
  <c r="L87" i="160"/>
  <c r="L86" i="160"/>
  <c r="L85" i="160"/>
  <c r="L84" i="160"/>
  <c r="L83" i="160"/>
  <c r="L82" i="160"/>
  <c r="L81" i="160"/>
  <c r="L80" i="160"/>
  <c r="L79" i="160"/>
  <c r="L78" i="160"/>
  <c r="L77" i="160"/>
  <c r="L76" i="160"/>
  <c r="L75" i="160"/>
  <c r="K170" i="160"/>
  <c r="M170" i="160" s="1"/>
  <c r="K169" i="160"/>
  <c r="M169" i="160" s="1"/>
  <c r="K168" i="160"/>
  <c r="M168" i="160" s="1"/>
  <c r="K167" i="160"/>
  <c r="M167" i="160" s="1"/>
  <c r="K166" i="160"/>
  <c r="M166" i="160" s="1"/>
  <c r="C166" i="160"/>
  <c r="D166" i="160" s="1"/>
  <c r="F166" i="160" s="1"/>
  <c r="K138" i="160"/>
  <c r="M138" i="160" s="1"/>
  <c r="K137" i="160"/>
  <c r="M137" i="160" s="1"/>
  <c r="K136" i="160"/>
  <c r="M136" i="160" s="1"/>
  <c r="K135" i="160"/>
  <c r="M135" i="160" s="1"/>
  <c r="K134" i="160"/>
  <c r="M134" i="160" s="1"/>
  <c r="K133" i="160"/>
  <c r="G133" i="160"/>
  <c r="C133" i="160"/>
  <c r="B133" i="160" s="1"/>
  <c r="K105" i="160"/>
  <c r="M105" i="160" s="1"/>
  <c r="K104" i="160"/>
  <c r="M104" i="160" s="1"/>
  <c r="K103" i="160"/>
  <c r="M103" i="160" s="1"/>
  <c r="K102" i="160"/>
  <c r="M102" i="160" s="1"/>
  <c r="K101" i="160"/>
  <c r="M101" i="160" s="1"/>
  <c r="K100" i="160"/>
  <c r="M100" i="160" s="1"/>
  <c r="K99" i="160"/>
  <c r="M99" i="160" s="1"/>
  <c r="G99" i="160"/>
  <c r="C99" i="160"/>
  <c r="D99" i="160" s="1"/>
  <c r="F99" i="160" s="1"/>
  <c r="K71" i="160"/>
  <c r="M71" i="160" s="1"/>
  <c r="K70" i="160"/>
  <c r="M70" i="160" s="1"/>
  <c r="K69" i="160"/>
  <c r="M69" i="160" s="1"/>
  <c r="K68" i="160"/>
  <c r="M68" i="160" s="1"/>
  <c r="K67" i="160"/>
  <c r="M67" i="160" s="1"/>
  <c r="K66" i="160"/>
  <c r="M66" i="160" s="1"/>
  <c r="K65" i="160"/>
  <c r="M65" i="160" s="1"/>
  <c r="K64" i="160"/>
  <c r="G64" i="160"/>
  <c r="C64" i="160"/>
  <c r="D64" i="160" s="1"/>
  <c r="F64" i="160" s="1"/>
  <c r="K36" i="160"/>
  <c r="L31" i="160"/>
  <c r="L30" i="160"/>
  <c r="L29" i="160"/>
  <c r="J28" i="160"/>
  <c r="C36" i="160" s="1"/>
  <c r="B36" i="160" s="1"/>
  <c r="F28" i="160"/>
  <c r="F27" i="160"/>
  <c r="F26" i="160"/>
  <c r="E26" i="160"/>
  <c r="D26" i="160"/>
  <c r="C26" i="160"/>
  <c r="F21" i="160"/>
  <c r="F20" i="160"/>
  <c r="F19" i="160"/>
  <c r="F18" i="160"/>
  <c r="F17" i="160"/>
  <c r="F16" i="160"/>
  <c r="F15" i="160"/>
  <c r="F14" i="160"/>
  <c r="F13" i="160"/>
  <c r="F12" i="160"/>
  <c r="F11" i="160"/>
  <c r="F10" i="160"/>
  <c r="F9" i="160"/>
  <c r="F8" i="160"/>
  <c r="F7" i="160"/>
  <c r="F6" i="160"/>
  <c r="D5" i="160"/>
  <c r="D22" i="160" s="1"/>
  <c r="D29" i="160" s="1"/>
  <c r="F4" i="160"/>
  <c r="F3" i="160"/>
  <c r="F2" i="160"/>
  <c r="L162" i="160" l="1"/>
  <c r="L189" i="160"/>
  <c r="V52" i="160" s="1"/>
  <c r="L174" i="160"/>
  <c r="V37" i="160" s="1"/>
  <c r="L178" i="160"/>
  <c r="V41" i="160" s="1"/>
  <c r="L182" i="160"/>
  <c r="V45" i="160" s="1"/>
  <c r="L186" i="160"/>
  <c r="V49" i="160" s="1"/>
  <c r="L190" i="160"/>
  <c r="V53" i="160" s="1"/>
  <c r="L175" i="160"/>
  <c r="V38" i="160" s="1"/>
  <c r="L179" i="160"/>
  <c r="V42" i="160" s="1"/>
  <c r="L183" i="160"/>
  <c r="V46" i="160" s="1"/>
  <c r="L187" i="160"/>
  <c r="V50" i="160" s="1"/>
  <c r="G166" i="160"/>
  <c r="L176" i="160"/>
  <c r="V39" i="160" s="1"/>
  <c r="L180" i="160"/>
  <c r="V43" i="160" s="1"/>
  <c r="L184" i="160"/>
  <c r="V47" i="160" s="1"/>
  <c r="L188" i="160"/>
  <c r="V51" i="160" s="1"/>
  <c r="L177" i="160"/>
  <c r="V40" i="160" s="1"/>
  <c r="L181" i="160"/>
  <c r="V44" i="160" s="1"/>
  <c r="L185" i="160"/>
  <c r="V48" i="160" s="1"/>
  <c r="B99" i="160"/>
  <c r="B166" i="160"/>
  <c r="L95" i="160"/>
  <c r="C100" i="160"/>
  <c r="B100" i="160" s="1"/>
  <c r="L129" i="160"/>
  <c r="N50" i="174"/>
  <c r="M50" i="174"/>
  <c r="K50" i="174"/>
  <c r="D65" i="160"/>
  <c r="F65" i="160" s="1"/>
  <c r="E64" i="160"/>
  <c r="C65" i="160"/>
  <c r="B65" i="160" s="1"/>
  <c r="B64" i="160"/>
  <c r="M64" i="160"/>
  <c r="D100" i="160"/>
  <c r="F100" i="160" s="1"/>
  <c r="E99" i="160"/>
  <c r="D133" i="160"/>
  <c r="F133" i="160" s="1"/>
  <c r="E166" i="160"/>
  <c r="D167" i="160"/>
  <c r="F167" i="160" s="1"/>
  <c r="M133" i="160"/>
  <c r="C167" i="160"/>
  <c r="B167" i="160" s="1"/>
  <c r="M29" i="160"/>
  <c r="M30" i="160"/>
  <c r="M31" i="160"/>
  <c r="D36" i="160"/>
  <c r="E22" i="160"/>
  <c r="F5" i="160"/>
  <c r="F22" i="160" s="1"/>
  <c r="F29" i="160" s="1"/>
  <c r="C22" i="160"/>
  <c r="G95" i="197" s="1"/>
  <c r="F36" i="160" l="1"/>
  <c r="L57" i="160"/>
  <c r="L58" i="160"/>
  <c r="L56" i="160"/>
  <c r="L39" i="160"/>
  <c r="H64" i="160"/>
  <c r="H166" i="160"/>
  <c r="L194" i="160"/>
  <c r="V58" i="160" s="1"/>
  <c r="H99" i="160"/>
  <c r="O50" i="174"/>
  <c r="E65" i="160"/>
  <c r="D66" i="160"/>
  <c r="F66" i="160" s="1"/>
  <c r="C66" i="160"/>
  <c r="B66" i="160" s="1"/>
  <c r="C168" i="160"/>
  <c r="B168" i="160" s="1"/>
  <c r="D168" i="160"/>
  <c r="F168" i="160" s="1"/>
  <c r="E167" i="160"/>
  <c r="C101" i="160"/>
  <c r="B101" i="160" s="1"/>
  <c r="E100" i="160"/>
  <c r="D101" i="160"/>
  <c r="F101" i="160" s="1"/>
  <c r="C134" i="160"/>
  <c r="B134" i="160" s="1"/>
  <c r="E133" i="160"/>
  <c r="D134" i="160"/>
  <c r="F134" i="160" s="1"/>
  <c r="E29" i="160"/>
  <c r="C37" i="160"/>
  <c r="C29" i="160"/>
  <c r="L55" i="160"/>
  <c r="L51" i="160"/>
  <c r="L47" i="160"/>
  <c r="L43" i="160"/>
  <c r="L54" i="160"/>
  <c r="L50" i="160"/>
  <c r="L46" i="160"/>
  <c r="L42" i="160"/>
  <c r="L53" i="160"/>
  <c r="L49" i="160"/>
  <c r="L45" i="160"/>
  <c r="L41" i="160"/>
  <c r="L52" i="160"/>
  <c r="L48" i="160"/>
  <c r="L44" i="160"/>
  <c r="L40" i="160"/>
  <c r="G36" i="160"/>
  <c r="E36" i="160"/>
  <c r="O99" i="160" l="1"/>
  <c r="G100" i="160" s="1"/>
  <c r="N64" i="160"/>
  <c r="N166" i="160"/>
  <c r="O64" i="160"/>
  <c r="G65" i="160" s="1"/>
  <c r="H65" i="160" s="1"/>
  <c r="N65" i="160" s="1"/>
  <c r="O166" i="160"/>
  <c r="G167" i="160" s="1"/>
  <c r="N99" i="160"/>
  <c r="D37" i="160"/>
  <c r="H133" i="160"/>
  <c r="D169" i="160"/>
  <c r="F169" i="160" s="1"/>
  <c r="C169" i="160"/>
  <c r="B169" i="160" s="1"/>
  <c r="E168" i="160"/>
  <c r="D135" i="160"/>
  <c r="F135" i="160" s="1"/>
  <c r="C135" i="160"/>
  <c r="B135" i="160" s="1"/>
  <c r="E134" i="160"/>
  <c r="E101" i="160"/>
  <c r="D102" i="160"/>
  <c r="F102" i="160" s="1"/>
  <c r="C102" i="160"/>
  <c r="B102" i="160" s="1"/>
  <c r="C67" i="160"/>
  <c r="B67" i="160" s="1"/>
  <c r="E66" i="160"/>
  <c r="D67" i="160"/>
  <c r="F67" i="160" s="1"/>
  <c r="B37" i="160"/>
  <c r="H36" i="160"/>
  <c r="L60" i="160"/>
  <c r="F37" i="160" l="1"/>
  <c r="E37" i="160"/>
  <c r="C38" i="160"/>
  <c r="B38" i="160" s="1"/>
  <c r="O133" i="160"/>
  <c r="N36" i="160"/>
  <c r="O36" i="160" s="1"/>
  <c r="G37" i="160" s="1"/>
  <c r="N133" i="160"/>
  <c r="D68" i="160"/>
  <c r="F68" i="160" s="1"/>
  <c r="C68" i="160"/>
  <c r="B68" i="160" s="1"/>
  <c r="E67" i="160"/>
  <c r="H167" i="160"/>
  <c r="O65" i="160"/>
  <c r="C103" i="160"/>
  <c r="B103" i="160" s="1"/>
  <c r="E102" i="160"/>
  <c r="D103" i="160"/>
  <c r="F103" i="160" s="1"/>
  <c r="H100" i="160"/>
  <c r="D136" i="160"/>
  <c r="F136" i="160" s="1"/>
  <c r="E135" i="160"/>
  <c r="C136" i="160"/>
  <c r="B136" i="160" s="1"/>
  <c r="C170" i="160"/>
  <c r="B170" i="160" s="1"/>
  <c r="D170" i="160"/>
  <c r="F170" i="160" s="1"/>
  <c r="E169" i="160"/>
  <c r="G134" i="160" l="1"/>
  <c r="H134" i="160" s="1"/>
  <c r="D38" i="160"/>
  <c r="O100" i="160"/>
  <c r="G101" i="160" s="1"/>
  <c r="N167" i="160"/>
  <c r="N100" i="160"/>
  <c r="O167" i="160"/>
  <c r="G168" i="160" s="1"/>
  <c r="D104" i="160"/>
  <c r="F104" i="160" s="1"/>
  <c r="E103" i="160"/>
  <c r="C104" i="160"/>
  <c r="B104" i="160" s="1"/>
  <c r="G66" i="160"/>
  <c r="E170" i="160"/>
  <c r="D171" i="160"/>
  <c r="F171" i="160" s="1"/>
  <c r="C171" i="160"/>
  <c r="B171" i="160" s="1"/>
  <c r="D69" i="160"/>
  <c r="F69" i="160" s="1"/>
  <c r="E68" i="160"/>
  <c r="C69" i="160"/>
  <c r="B69" i="160" s="1"/>
  <c r="E136" i="160"/>
  <c r="D137" i="160"/>
  <c r="F137" i="160" s="1"/>
  <c r="C137" i="160"/>
  <c r="B137" i="160" s="1"/>
  <c r="H37" i="160"/>
  <c r="F38" i="160" l="1"/>
  <c r="E38" i="160"/>
  <c r="C39" i="160"/>
  <c r="O134" i="160"/>
  <c r="N134" i="160"/>
  <c r="C105" i="160"/>
  <c r="B105" i="160" s="1"/>
  <c r="E104" i="160"/>
  <c r="D105" i="160"/>
  <c r="F105" i="160" s="1"/>
  <c r="C138" i="160"/>
  <c r="B138" i="160" s="1"/>
  <c r="E137" i="160"/>
  <c r="D138" i="160"/>
  <c r="F138" i="160" s="1"/>
  <c r="D172" i="160"/>
  <c r="F172" i="160" s="1"/>
  <c r="C172" i="160"/>
  <c r="B172" i="160" s="1"/>
  <c r="E171" i="160"/>
  <c r="H101" i="160"/>
  <c r="E69" i="160"/>
  <c r="C70" i="160"/>
  <c r="B70" i="160" s="1"/>
  <c r="D70" i="160"/>
  <c r="F70" i="160" s="1"/>
  <c r="H66" i="160"/>
  <c r="H168" i="160"/>
  <c r="N37" i="160"/>
  <c r="G135" i="160" l="1"/>
  <c r="H135" i="160" s="1"/>
  <c r="D39" i="160"/>
  <c r="Q36" i="160"/>
  <c r="R36" i="160" s="1"/>
  <c r="B39" i="160"/>
  <c r="O66" i="160"/>
  <c r="G67" i="160" s="1"/>
  <c r="F39" i="160"/>
  <c r="N168" i="160"/>
  <c r="O101" i="160"/>
  <c r="G102" i="160" s="1"/>
  <c r="O168" i="160"/>
  <c r="G169" i="160" s="1"/>
  <c r="N66" i="160"/>
  <c r="C71" i="160"/>
  <c r="B71" i="160" s="1"/>
  <c r="D71" i="160"/>
  <c r="F71" i="160" s="1"/>
  <c r="E70" i="160"/>
  <c r="D139" i="160"/>
  <c r="F139" i="160" s="1"/>
  <c r="C139" i="160"/>
  <c r="B139" i="160" s="1"/>
  <c r="E138" i="160"/>
  <c r="E105" i="160"/>
  <c r="D106" i="160"/>
  <c r="F106" i="160" s="1"/>
  <c r="C106" i="160"/>
  <c r="B106" i="160" s="1"/>
  <c r="N101" i="160"/>
  <c r="D173" i="160"/>
  <c r="F173" i="160" s="1"/>
  <c r="E172" i="160"/>
  <c r="C173" i="160"/>
  <c r="B173" i="160" s="1"/>
  <c r="C40" i="160"/>
  <c r="E39" i="160" l="1"/>
  <c r="Q37" i="160"/>
  <c r="R37" i="160"/>
  <c r="N135" i="160"/>
  <c r="O135" i="160"/>
  <c r="H67" i="160"/>
  <c r="D72" i="160"/>
  <c r="F72" i="160" s="1"/>
  <c r="C72" i="160"/>
  <c r="B72" i="160" s="1"/>
  <c r="E71" i="160"/>
  <c r="H102" i="160"/>
  <c r="D107" i="160"/>
  <c r="F107" i="160" s="1"/>
  <c r="C107" i="160"/>
  <c r="B107" i="160" s="1"/>
  <c r="E106" i="160"/>
  <c r="C174" i="160"/>
  <c r="B174" i="160" s="1"/>
  <c r="D174" i="160"/>
  <c r="F174" i="160" s="1"/>
  <c r="E173" i="160"/>
  <c r="H169" i="160"/>
  <c r="C140" i="160"/>
  <c r="B140" i="160" s="1"/>
  <c r="E139" i="160"/>
  <c r="D140" i="160"/>
  <c r="F140" i="160" s="1"/>
  <c r="B40" i="160"/>
  <c r="D40" i="160"/>
  <c r="G136" i="160" l="1"/>
  <c r="H136" i="160" s="1"/>
  <c r="Q38" i="160"/>
  <c r="R38" i="160"/>
  <c r="N169" i="160"/>
  <c r="O67" i="160"/>
  <c r="G68" i="160" s="1"/>
  <c r="F40" i="160"/>
  <c r="N102" i="160"/>
  <c r="O169" i="160"/>
  <c r="G170" i="160" s="1"/>
  <c r="O102" i="160"/>
  <c r="G103" i="160" s="1"/>
  <c r="N67" i="160"/>
  <c r="E140" i="160"/>
  <c r="D141" i="160"/>
  <c r="F141" i="160" s="1"/>
  <c r="C141" i="160"/>
  <c r="B141" i="160" s="1"/>
  <c r="C73" i="160"/>
  <c r="B73" i="160" s="1"/>
  <c r="D73" i="160"/>
  <c r="F73" i="160" s="1"/>
  <c r="E72" i="160"/>
  <c r="C175" i="160"/>
  <c r="B175" i="160" s="1"/>
  <c r="E174" i="160"/>
  <c r="D175" i="160"/>
  <c r="F175" i="160" s="1"/>
  <c r="D108" i="160"/>
  <c r="F108" i="160" s="1"/>
  <c r="E107" i="160"/>
  <c r="C108" i="160"/>
  <c r="B108" i="160" s="1"/>
  <c r="C41" i="160"/>
  <c r="E40" i="160"/>
  <c r="Q39" i="160" l="1"/>
  <c r="R39" i="160"/>
  <c r="N136" i="160"/>
  <c r="C109" i="160"/>
  <c r="B109" i="160" s="1"/>
  <c r="D109" i="160"/>
  <c r="F109" i="160" s="1"/>
  <c r="E108" i="160"/>
  <c r="H103" i="160"/>
  <c r="O136" i="160"/>
  <c r="E73" i="160"/>
  <c r="D74" i="160"/>
  <c r="F74" i="160" s="1"/>
  <c r="C74" i="160"/>
  <c r="B74" i="160" s="1"/>
  <c r="C176" i="160"/>
  <c r="B176" i="160" s="1"/>
  <c r="E175" i="160"/>
  <c r="D176" i="160"/>
  <c r="F176" i="160" s="1"/>
  <c r="H68" i="160"/>
  <c r="D142" i="160"/>
  <c r="F142" i="160" s="1"/>
  <c r="E141" i="160"/>
  <c r="C142" i="160"/>
  <c r="B142" i="160" s="1"/>
  <c r="H170" i="160"/>
  <c r="D41" i="160"/>
  <c r="B41" i="160"/>
  <c r="R40" i="160" l="1"/>
  <c r="Q40" i="160"/>
  <c r="N170" i="160"/>
  <c r="F41" i="160"/>
  <c r="O68" i="160"/>
  <c r="G69" i="160" s="1"/>
  <c r="O170" i="160"/>
  <c r="G171" i="160" s="1"/>
  <c r="N103" i="160"/>
  <c r="N68" i="160"/>
  <c r="O103" i="160"/>
  <c r="D110" i="160"/>
  <c r="F110" i="160" s="1"/>
  <c r="E109" i="160"/>
  <c r="C110" i="160"/>
  <c r="B110" i="160" s="1"/>
  <c r="D143" i="160"/>
  <c r="F143" i="160" s="1"/>
  <c r="E142" i="160"/>
  <c r="C143" i="160"/>
  <c r="B143" i="160" s="1"/>
  <c r="D75" i="160"/>
  <c r="F75" i="160" s="1"/>
  <c r="C75" i="160"/>
  <c r="B75" i="160" s="1"/>
  <c r="E74" i="160"/>
  <c r="G137" i="160"/>
  <c r="D177" i="160"/>
  <c r="F177" i="160" s="1"/>
  <c r="E176" i="160"/>
  <c r="C177" i="160"/>
  <c r="B177" i="160" s="1"/>
  <c r="C42" i="160"/>
  <c r="E41" i="160"/>
  <c r="R41" i="160" l="1"/>
  <c r="Q41" i="160"/>
  <c r="D76" i="160"/>
  <c r="F76" i="160" s="1"/>
  <c r="E75" i="160"/>
  <c r="C76" i="160"/>
  <c r="B76" i="160" s="1"/>
  <c r="E110" i="160"/>
  <c r="D111" i="160"/>
  <c r="F111" i="160" s="1"/>
  <c r="C111" i="160"/>
  <c r="B111" i="160" s="1"/>
  <c r="H171" i="160"/>
  <c r="H137" i="160"/>
  <c r="C144" i="160"/>
  <c r="B144" i="160" s="1"/>
  <c r="E143" i="160"/>
  <c r="D144" i="160"/>
  <c r="F144" i="160" s="1"/>
  <c r="C178" i="160"/>
  <c r="B178" i="160" s="1"/>
  <c r="D178" i="160"/>
  <c r="F178" i="160" s="1"/>
  <c r="E177" i="160"/>
  <c r="G104" i="160"/>
  <c r="H69" i="160"/>
  <c r="B42" i="160"/>
  <c r="D42" i="160"/>
  <c r="F42" i="160" l="1"/>
  <c r="R42" i="160"/>
  <c r="Q42" i="160"/>
  <c r="O69" i="160"/>
  <c r="G70" i="160" s="1"/>
  <c r="H70" i="160" s="1"/>
  <c r="O70" i="160" s="1"/>
  <c r="G71" i="160" s="1"/>
  <c r="N137" i="160"/>
  <c r="O137" i="160"/>
  <c r="G138" i="160" s="1"/>
  <c r="N69" i="160"/>
  <c r="D145" i="160"/>
  <c r="F145" i="160" s="1"/>
  <c r="E144" i="160"/>
  <c r="C145" i="160"/>
  <c r="B145" i="160" s="1"/>
  <c r="N171" i="160"/>
  <c r="D112" i="160"/>
  <c r="F112" i="160" s="1"/>
  <c r="C112" i="160"/>
  <c r="B112" i="160" s="1"/>
  <c r="E111" i="160"/>
  <c r="H104" i="160"/>
  <c r="O104" i="160" s="1"/>
  <c r="G105" i="160" s="1"/>
  <c r="D179" i="160"/>
  <c r="F179" i="160" s="1"/>
  <c r="E178" i="160"/>
  <c r="C179" i="160"/>
  <c r="B179" i="160" s="1"/>
  <c r="O171" i="160"/>
  <c r="G172" i="160" s="1"/>
  <c r="H172" i="160" s="1"/>
  <c r="C77" i="160"/>
  <c r="B77" i="160" s="1"/>
  <c r="D77" i="160"/>
  <c r="F77" i="160" s="1"/>
  <c r="E76" i="160"/>
  <c r="C43" i="160"/>
  <c r="E42" i="160"/>
  <c r="R43" i="160" l="1"/>
  <c r="Q43" i="160"/>
  <c r="N70" i="160"/>
  <c r="K171" i="160"/>
  <c r="M171" i="160" s="1"/>
  <c r="N104" i="160"/>
  <c r="H105" i="160"/>
  <c r="N105" i="160" s="1"/>
  <c r="D78" i="160"/>
  <c r="F78" i="160" s="1"/>
  <c r="E77" i="160"/>
  <c r="C78" i="160"/>
  <c r="B78" i="160" s="1"/>
  <c r="D113" i="160"/>
  <c r="F113" i="160" s="1"/>
  <c r="E112" i="160"/>
  <c r="C113" i="160"/>
  <c r="B113" i="160" s="1"/>
  <c r="N172" i="160"/>
  <c r="O172" i="160"/>
  <c r="G173" i="160" s="1"/>
  <c r="H173" i="160" s="1"/>
  <c r="C180" i="160"/>
  <c r="B180" i="160" s="1"/>
  <c r="E179" i="160"/>
  <c r="D180" i="160"/>
  <c r="F180" i="160" s="1"/>
  <c r="H71" i="160"/>
  <c r="O71" i="160" s="1"/>
  <c r="G72" i="160" s="1"/>
  <c r="H138" i="160"/>
  <c r="C146" i="160"/>
  <c r="B146" i="160" s="1"/>
  <c r="E145" i="160"/>
  <c r="D146" i="160"/>
  <c r="F146" i="160" s="1"/>
  <c r="D43" i="160"/>
  <c r="B43" i="160"/>
  <c r="F43" i="160" l="1"/>
  <c r="Q44" i="160"/>
  <c r="R44" i="160"/>
  <c r="I173" i="160"/>
  <c r="O173" i="160" s="1"/>
  <c r="G174" i="160" s="1"/>
  <c r="I191" i="160"/>
  <c r="I192" i="160"/>
  <c r="I186" i="160"/>
  <c r="I181" i="160"/>
  <c r="I179" i="160"/>
  <c r="I176" i="160"/>
  <c r="I175" i="160"/>
  <c r="I180" i="160"/>
  <c r="I182" i="160"/>
  <c r="I178" i="160"/>
  <c r="I174" i="160"/>
  <c r="H194" i="160"/>
  <c r="I189" i="160"/>
  <c r="I177" i="160"/>
  <c r="I185" i="160"/>
  <c r="I188" i="160"/>
  <c r="I190" i="160"/>
  <c r="I187" i="160"/>
  <c r="I184" i="160"/>
  <c r="I183" i="160"/>
  <c r="N138" i="160"/>
  <c r="O138" i="160"/>
  <c r="G139" i="160" s="1"/>
  <c r="H139" i="160" s="1"/>
  <c r="H72" i="160"/>
  <c r="D147" i="160"/>
  <c r="F147" i="160" s="1"/>
  <c r="E146" i="160"/>
  <c r="C147" i="160"/>
  <c r="B147" i="160" s="1"/>
  <c r="C79" i="160"/>
  <c r="B79" i="160" s="1"/>
  <c r="E78" i="160"/>
  <c r="D79" i="160"/>
  <c r="F79" i="160" s="1"/>
  <c r="N71" i="160"/>
  <c r="O105" i="160"/>
  <c r="G106" i="160" s="1"/>
  <c r="C114" i="160"/>
  <c r="B114" i="160" s="1"/>
  <c r="D114" i="160"/>
  <c r="F114" i="160" s="1"/>
  <c r="E113" i="160"/>
  <c r="D181" i="160"/>
  <c r="F181" i="160" s="1"/>
  <c r="E180" i="160"/>
  <c r="C181" i="160"/>
  <c r="B181" i="160" s="1"/>
  <c r="K172" i="160"/>
  <c r="E43" i="160"/>
  <c r="C44" i="160"/>
  <c r="Q45" i="160" l="1"/>
  <c r="R45" i="160"/>
  <c r="K236" i="160"/>
  <c r="I255" i="160"/>
  <c r="O236" i="160"/>
  <c r="G237" i="160" s="1"/>
  <c r="I194" i="160"/>
  <c r="K173" i="160"/>
  <c r="M173" i="160" s="1"/>
  <c r="N173" i="160"/>
  <c r="O139" i="160"/>
  <c r="G140" i="160" s="1"/>
  <c r="H140" i="160" s="1"/>
  <c r="D115" i="160"/>
  <c r="F115" i="160" s="1"/>
  <c r="C115" i="160"/>
  <c r="B115" i="160" s="1"/>
  <c r="E114" i="160"/>
  <c r="D80" i="160"/>
  <c r="F80" i="160" s="1"/>
  <c r="E79" i="160"/>
  <c r="C80" i="160"/>
  <c r="B80" i="160" s="1"/>
  <c r="N139" i="160"/>
  <c r="N72" i="160"/>
  <c r="H106" i="160"/>
  <c r="C148" i="160"/>
  <c r="B148" i="160" s="1"/>
  <c r="D148" i="160"/>
  <c r="F148" i="160" s="1"/>
  <c r="E147" i="160"/>
  <c r="M172" i="160"/>
  <c r="J174" i="160"/>
  <c r="K174" i="160" s="1"/>
  <c r="M174" i="160" s="1"/>
  <c r="O174" i="160"/>
  <c r="G175" i="160" s="1"/>
  <c r="C182" i="160"/>
  <c r="B182" i="160" s="1"/>
  <c r="D182" i="160"/>
  <c r="F182" i="160" s="1"/>
  <c r="E181" i="160"/>
  <c r="D44" i="160"/>
  <c r="F44" i="160" s="1"/>
  <c r="B44" i="160"/>
  <c r="Q46" i="160" l="1"/>
  <c r="R46" i="160"/>
  <c r="J237" i="160"/>
  <c r="N237" i="160" s="1"/>
  <c r="O237" i="160"/>
  <c r="G238" i="160" s="1"/>
  <c r="M236" i="160"/>
  <c r="K139" i="160"/>
  <c r="M139" i="160" s="1"/>
  <c r="N106" i="160"/>
  <c r="K72" i="160"/>
  <c r="M72" i="160" s="1"/>
  <c r="O72" i="160"/>
  <c r="G73" i="160" s="1"/>
  <c r="H73" i="160" s="1"/>
  <c r="D183" i="160"/>
  <c r="F183" i="160" s="1"/>
  <c r="E182" i="160"/>
  <c r="C183" i="160"/>
  <c r="B183" i="160" s="1"/>
  <c r="O140" i="160"/>
  <c r="G141" i="160" s="1"/>
  <c r="H141" i="160" s="1"/>
  <c r="H162" i="160" s="1"/>
  <c r="N140" i="160"/>
  <c r="D149" i="160"/>
  <c r="F149" i="160" s="1"/>
  <c r="E148" i="160"/>
  <c r="C149" i="160"/>
  <c r="B149" i="160" s="1"/>
  <c r="N174" i="160"/>
  <c r="O175" i="160"/>
  <c r="G176" i="160" s="1"/>
  <c r="J175" i="160"/>
  <c r="K175" i="160" s="1"/>
  <c r="M175" i="160" s="1"/>
  <c r="C81" i="160"/>
  <c r="B81" i="160" s="1"/>
  <c r="E80" i="160"/>
  <c r="D81" i="160"/>
  <c r="F81" i="160" s="1"/>
  <c r="C116" i="160"/>
  <c r="B116" i="160" s="1"/>
  <c r="E115" i="160"/>
  <c r="D116" i="160"/>
  <c r="F116" i="160" s="1"/>
  <c r="E44" i="160"/>
  <c r="C45" i="160"/>
  <c r="Q47" i="160" l="1"/>
  <c r="R47" i="160"/>
  <c r="J238" i="160"/>
  <c r="K238" i="160" s="1"/>
  <c r="M238" i="160" s="1"/>
  <c r="O238" i="160"/>
  <c r="G239" i="160" s="1"/>
  <c r="K237" i="160"/>
  <c r="I141" i="160"/>
  <c r="I159" i="160"/>
  <c r="I160" i="160"/>
  <c r="I152" i="160"/>
  <c r="I143" i="160"/>
  <c r="I145" i="160"/>
  <c r="I155" i="160"/>
  <c r="I150" i="160"/>
  <c r="I149" i="160"/>
  <c r="I156" i="160"/>
  <c r="I153" i="160"/>
  <c r="I151" i="160"/>
  <c r="I148" i="160"/>
  <c r="I144" i="160"/>
  <c r="I147" i="160"/>
  <c r="I142" i="160"/>
  <c r="I154" i="160"/>
  <c r="I146" i="160"/>
  <c r="I157" i="160"/>
  <c r="I158" i="160"/>
  <c r="K106" i="160"/>
  <c r="M106" i="160" s="1"/>
  <c r="O106" i="160"/>
  <c r="G107" i="160" s="1"/>
  <c r="H107" i="160" s="1"/>
  <c r="O73" i="160"/>
  <c r="G74" i="160" s="1"/>
  <c r="H74" i="160" s="1"/>
  <c r="D82" i="160"/>
  <c r="F82" i="160" s="1"/>
  <c r="C82" i="160"/>
  <c r="B82" i="160" s="1"/>
  <c r="E81" i="160"/>
  <c r="N175" i="160"/>
  <c r="J176" i="160"/>
  <c r="K176" i="160" s="1"/>
  <c r="M176" i="160" s="1"/>
  <c r="O176" i="160"/>
  <c r="G177" i="160" s="1"/>
  <c r="K140" i="160"/>
  <c r="D117" i="160"/>
  <c r="F117" i="160" s="1"/>
  <c r="E116" i="160"/>
  <c r="C117" i="160"/>
  <c r="B117" i="160" s="1"/>
  <c r="C150" i="160"/>
  <c r="B150" i="160" s="1"/>
  <c r="D150" i="160"/>
  <c r="F150" i="160" s="1"/>
  <c r="E149" i="160"/>
  <c r="T36" i="160"/>
  <c r="C184" i="160"/>
  <c r="B184" i="160" s="1"/>
  <c r="E183" i="160"/>
  <c r="D184" i="160"/>
  <c r="F184" i="160" s="1"/>
  <c r="D45" i="160"/>
  <c r="F45" i="160" s="1"/>
  <c r="B45" i="160"/>
  <c r="O141" i="160" l="1"/>
  <c r="G142" i="160" s="1"/>
  <c r="J142" i="160" s="1"/>
  <c r="I162" i="160"/>
  <c r="Q48" i="160"/>
  <c r="R48" i="160"/>
  <c r="M237" i="160"/>
  <c r="I225" i="160"/>
  <c r="K206" i="160"/>
  <c r="O206" i="160"/>
  <c r="N238" i="160"/>
  <c r="O239" i="160"/>
  <c r="G240" i="160" s="1"/>
  <c r="J239" i="160"/>
  <c r="K239" i="160" s="1"/>
  <c r="M239" i="160" s="1"/>
  <c r="I82" i="160"/>
  <c r="I93" i="160"/>
  <c r="I74" i="160"/>
  <c r="I92" i="160"/>
  <c r="I89" i="160"/>
  <c r="K141" i="160"/>
  <c r="I87" i="160"/>
  <c r="I88" i="160"/>
  <c r="I78" i="160"/>
  <c r="I75" i="160"/>
  <c r="I91" i="160"/>
  <c r="I85" i="160"/>
  <c r="I76" i="160"/>
  <c r="I80" i="160"/>
  <c r="I77" i="160"/>
  <c r="I79" i="160"/>
  <c r="I90" i="160"/>
  <c r="I84" i="160"/>
  <c r="I83" i="160"/>
  <c r="I86" i="160"/>
  <c r="I81" i="160"/>
  <c r="H95" i="160"/>
  <c r="O107" i="160"/>
  <c r="G108" i="160" s="1"/>
  <c r="H108" i="160" s="1"/>
  <c r="K73" i="160"/>
  <c r="M73" i="160" s="1"/>
  <c r="N73" i="160"/>
  <c r="N141" i="160"/>
  <c r="N176" i="160"/>
  <c r="C118" i="160"/>
  <c r="B118" i="160" s="1"/>
  <c r="E117" i="160"/>
  <c r="D118" i="160"/>
  <c r="F118" i="160" s="1"/>
  <c r="O177" i="160"/>
  <c r="G178" i="160" s="1"/>
  <c r="J177" i="160"/>
  <c r="K177" i="160" s="1"/>
  <c r="O142" i="160"/>
  <c r="G143" i="160" s="1"/>
  <c r="M140" i="160"/>
  <c r="D185" i="160"/>
  <c r="F185" i="160" s="1"/>
  <c r="E184" i="160"/>
  <c r="C185" i="160"/>
  <c r="B185" i="160" s="1"/>
  <c r="D151" i="160"/>
  <c r="F151" i="160" s="1"/>
  <c r="E150" i="160"/>
  <c r="C151" i="160"/>
  <c r="B151" i="160" s="1"/>
  <c r="D83" i="160"/>
  <c r="F83" i="160" s="1"/>
  <c r="C83" i="160"/>
  <c r="B83" i="160" s="1"/>
  <c r="E82" i="160"/>
  <c r="C46" i="160"/>
  <c r="E45" i="160"/>
  <c r="M141" i="160" l="1"/>
  <c r="K142" i="160"/>
  <c r="M142" i="160" s="1"/>
  <c r="O74" i="160"/>
  <c r="G75" i="160" s="1"/>
  <c r="J75" i="160" s="1"/>
  <c r="R49" i="160"/>
  <c r="Q49" i="160"/>
  <c r="O240" i="160"/>
  <c r="G241" i="160" s="1"/>
  <c r="J240" i="160"/>
  <c r="K240" i="160" s="1"/>
  <c r="M240" i="160" s="1"/>
  <c r="M206" i="160"/>
  <c r="N239" i="160"/>
  <c r="G207" i="160"/>
  <c r="I112" i="160"/>
  <c r="S40" i="160" s="1"/>
  <c r="I108" i="160"/>
  <c r="S36" i="160" s="1"/>
  <c r="I126" i="160"/>
  <c r="S54" i="160" s="1"/>
  <c r="I127" i="160"/>
  <c r="S55" i="160" s="1"/>
  <c r="I125" i="160"/>
  <c r="S53" i="160" s="1"/>
  <c r="I109" i="160"/>
  <c r="S37" i="160" s="1"/>
  <c r="I95" i="160"/>
  <c r="I111" i="160"/>
  <c r="S39" i="160" s="1"/>
  <c r="I124" i="160"/>
  <c r="S52" i="160" s="1"/>
  <c r="I118" i="160"/>
  <c r="S46" i="160" s="1"/>
  <c r="I116" i="160"/>
  <c r="S44" i="160" s="1"/>
  <c r="I113" i="160"/>
  <c r="S41" i="160" s="1"/>
  <c r="I117" i="160"/>
  <c r="S45" i="160" s="1"/>
  <c r="I123" i="160"/>
  <c r="S51" i="160" s="1"/>
  <c r="I115" i="160"/>
  <c r="S43" i="160" s="1"/>
  <c r="H129" i="160"/>
  <c r="I114" i="160"/>
  <c r="S42" i="160" s="1"/>
  <c r="I122" i="160"/>
  <c r="S50" i="160" s="1"/>
  <c r="I120" i="160"/>
  <c r="S48" i="160" s="1"/>
  <c r="I119" i="160"/>
  <c r="S47" i="160" s="1"/>
  <c r="I121" i="160"/>
  <c r="S49" i="160" s="1"/>
  <c r="I110" i="160"/>
  <c r="S38" i="160" s="1"/>
  <c r="K74" i="160"/>
  <c r="N74" i="160"/>
  <c r="K107" i="160"/>
  <c r="M107" i="160" s="1"/>
  <c r="N107" i="160"/>
  <c r="M177" i="160"/>
  <c r="N177" i="160"/>
  <c r="N142" i="160"/>
  <c r="D84" i="160"/>
  <c r="F84" i="160" s="1"/>
  <c r="E83" i="160"/>
  <c r="C84" i="160"/>
  <c r="B84" i="160" s="1"/>
  <c r="O143" i="160"/>
  <c r="G144" i="160" s="1"/>
  <c r="J143" i="160"/>
  <c r="K143" i="160" s="1"/>
  <c r="J178" i="160"/>
  <c r="K178" i="160" s="1"/>
  <c r="M178" i="160" s="1"/>
  <c r="O178" i="160"/>
  <c r="G179" i="160" s="1"/>
  <c r="C152" i="160"/>
  <c r="B152" i="160" s="1"/>
  <c r="E151" i="160"/>
  <c r="D152" i="160"/>
  <c r="F152" i="160" s="1"/>
  <c r="C186" i="160"/>
  <c r="B186" i="160" s="1"/>
  <c r="D186" i="160"/>
  <c r="F186" i="160" s="1"/>
  <c r="E185" i="160"/>
  <c r="D119" i="160"/>
  <c r="F119" i="160" s="1"/>
  <c r="C119" i="160"/>
  <c r="B119" i="160" s="1"/>
  <c r="E118" i="160"/>
  <c r="B46" i="160"/>
  <c r="D46" i="160"/>
  <c r="F46" i="160" s="1"/>
  <c r="O75" i="160" l="1"/>
  <c r="G76" i="160" s="1"/>
  <c r="J76" i="160" s="1"/>
  <c r="R50" i="160"/>
  <c r="Q50" i="160"/>
  <c r="M74" i="160"/>
  <c r="N240" i="160"/>
  <c r="O207" i="160"/>
  <c r="J207" i="160"/>
  <c r="J241" i="160"/>
  <c r="N241" i="160" s="1"/>
  <c r="O241" i="160"/>
  <c r="G242" i="160" s="1"/>
  <c r="O108" i="160"/>
  <c r="G109" i="160" s="1"/>
  <c r="J109" i="160" s="1"/>
  <c r="I129" i="160"/>
  <c r="S58" i="160" s="1"/>
  <c r="K75" i="160"/>
  <c r="N75" i="160"/>
  <c r="K108" i="160"/>
  <c r="M108" i="160" s="1"/>
  <c r="N108" i="160"/>
  <c r="M143" i="160"/>
  <c r="D187" i="160"/>
  <c r="F187" i="160" s="1"/>
  <c r="E186" i="160"/>
  <c r="C187" i="160"/>
  <c r="B187" i="160" s="1"/>
  <c r="J144" i="160"/>
  <c r="O144" i="160"/>
  <c r="G145" i="160" s="1"/>
  <c r="N178" i="160"/>
  <c r="D120" i="160"/>
  <c r="F120" i="160" s="1"/>
  <c r="E119" i="160"/>
  <c r="C120" i="160"/>
  <c r="B120" i="160" s="1"/>
  <c r="N143" i="160"/>
  <c r="D153" i="160"/>
  <c r="F153" i="160" s="1"/>
  <c r="E152" i="160"/>
  <c r="C153" i="160"/>
  <c r="B153" i="160" s="1"/>
  <c r="O179" i="160"/>
  <c r="G180" i="160" s="1"/>
  <c r="J179" i="160"/>
  <c r="K179" i="160" s="1"/>
  <c r="M179" i="160" s="1"/>
  <c r="C85" i="160"/>
  <c r="B85" i="160" s="1"/>
  <c r="E84" i="160"/>
  <c r="D85" i="160"/>
  <c r="F85" i="160" s="1"/>
  <c r="C47" i="160"/>
  <c r="E46" i="160"/>
  <c r="O76" i="160" l="1"/>
  <c r="G77" i="160" s="1"/>
  <c r="J77" i="160" s="1"/>
  <c r="R51" i="160"/>
  <c r="Q51" i="160"/>
  <c r="M75" i="160"/>
  <c r="U36" i="160"/>
  <c r="T37" i="160"/>
  <c r="J242" i="160"/>
  <c r="K242" i="160" s="1"/>
  <c r="M242" i="160" s="1"/>
  <c r="O242" i="160"/>
  <c r="G243" i="160" s="1"/>
  <c r="N207" i="160"/>
  <c r="K207" i="160"/>
  <c r="G208" i="160"/>
  <c r="K241" i="160"/>
  <c r="O109" i="160"/>
  <c r="G110" i="160" s="1"/>
  <c r="J110" i="160" s="1"/>
  <c r="K109" i="160"/>
  <c r="M109" i="160" s="1"/>
  <c r="N109" i="160"/>
  <c r="K76" i="160"/>
  <c r="N76" i="160"/>
  <c r="K144" i="160"/>
  <c r="N179" i="160"/>
  <c r="C86" i="160"/>
  <c r="B86" i="160" s="1"/>
  <c r="E85" i="160"/>
  <c r="D86" i="160"/>
  <c r="F86" i="160" s="1"/>
  <c r="O145" i="160"/>
  <c r="G146" i="160" s="1"/>
  <c r="J145" i="160"/>
  <c r="K145" i="160" s="1"/>
  <c r="M145" i="160" s="1"/>
  <c r="J180" i="160"/>
  <c r="K180" i="160" s="1"/>
  <c r="M180" i="160" s="1"/>
  <c r="O180" i="160"/>
  <c r="G181" i="160" s="1"/>
  <c r="C154" i="160"/>
  <c r="B154" i="160" s="1"/>
  <c r="D154" i="160"/>
  <c r="F154" i="160" s="1"/>
  <c r="E153" i="160"/>
  <c r="D121" i="160"/>
  <c r="F121" i="160" s="1"/>
  <c r="E120" i="160"/>
  <c r="C121" i="160"/>
  <c r="B121" i="160" s="1"/>
  <c r="N144" i="160"/>
  <c r="C188" i="160"/>
  <c r="B188" i="160" s="1"/>
  <c r="E187" i="160"/>
  <c r="D188" i="160"/>
  <c r="F188" i="160" s="1"/>
  <c r="B47" i="160"/>
  <c r="D47" i="160"/>
  <c r="F47" i="160" s="1"/>
  <c r="O77" i="160" l="1"/>
  <c r="G78" i="160" s="1"/>
  <c r="J78" i="160" s="1"/>
  <c r="O110" i="160"/>
  <c r="G111" i="160" s="1"/>
  <c r="J111" i="160" s="1"/>
  <c r="U37" i="160"/>
  <c r="M76" i="160"/>
  <c r="T38" i="160"/>
  <c r="R52" i="160"/>
  <c r="Q52" i="160"/>
  <c r="N242" i="160"/>
  <c r="O208" i="160"/>
  <c r="J208" i="160"/>
  <c r="N208" i="160" s="1"/>
  <c r="M207" i="160"/>
  <c r="O243" i="160"/>
  <c r="G244" i="160" s="1"/>
  <c r="J243" i="160"/>
  <c r="M241" i="160"/>
  <c r="O78" i="160"/>
  <c r="G79" i="160" s="1"/>
  <c r="K77" i="160"/>
  <c r="N77" i="160"/>
  <c r="K110" i="160"/>
  <c r="M110" i="160" s="1"/>
  <c r="N110" i="160"/>
  <c r="M144" i="160"/>
  <c r="C155" i="160"/>
  <c r="B155" i="160" s="1"/>
  <c r="D155" i="160"/>
  <c r="F155" i="160" s="1"/>
  <c r="E154" i="160"/>
  <c r="N180" i="160"/>
  <c r="C87" i="160"/>
  <c r="B87" i="160" s="1"/>
  <c r="E86" i="160"/>
  <c r="D87" i="160"/>
  <c r="F87" i="160" s="1"/>
  <c r="C122" i="160"/>
  <c r="B122" i="160" s="1"/>
  <c r="E121" i="160"/>
  <c r="D122" i="160"/>
  <c r="F122" i="160" s="1"/>
  <c r="D189" i="160"/>
  <c r="F189" i="160" s="1"/>
  <c r="E188" i="160"/>
  <c r="C189" i="160"/>
  <c r="B189" i="160" s="1"/>
  <c r="O181" i="160"/>
  <c r="G182" i="160" s="1"/>
  <c r="J181" i="160"/>
  <c r="K181" i="160" s="1"/>
  <c r="M181" i="160" s="1"/>
  <c r="N145" i="160"/>
  <c r="J146" i="160"/>
  <c r="K146" i="160" s="1"/>
  <c r="M146" i="160" s="1"/>
  <c r="O146" i="160"/>
  <c r="G147" i="160" s="1"/>
  <c r="E47" i="160"/>
  <c r="C48" i="160"/>
  <c r="O111" i="160" l="1"/>
  <c r="G112" i="160" s="1"/>
  <c r="O112" i="160" s="1"/>
  <c r="G113" i="160" s="1"/>
  <c r="M77" i="160"/>
  <c r="T39" i="160"/>
  <c r="U38" i="160"/>
  <c r="Q53" i="160"/>
  <c r="R53" i="160"/>
  <c r="N243" i="160"/>
  <c r="K243" i="160"/>
  <c r="K208" i="160"/>
  <c r="O244" i="160"/>
  <c r="G245" i="160" s="1"/>
  <c r="J244" i="160"/>
  <c r="K244" i="160" s="1"/>
  <c r="M244" i="160" s="1"/>
  <c r="G209" i="160"/>
  <c r="K78" i="160"/>
  <c r="N78" i="160"/>
  <c r="K111" i="160"/>
  <c r="M111" i="160" s="1"/>
  <c r="N111" i="160"/>
  <c r="J79" i="160"/>
  <c r="O79" i="160"/>
  <c r="G80" i="160" s="1"/>
  <c r="N181" i="160"/>
  <c r="N146" i="160"/>
  <c r="O147" i="160"/>
  <c r="G148" i="160" s="1"/>
  <c r="J147" i="160"/>
  <c r="K147" i="160" s="1"/>
  <c r="M147" i="160" s="1"/>
  <c r="D88" i="160"/>
  <c r="F88" i="160" s="1"/>
  <c r="E87" i="160"/>
  <c r="C88" i="160"/>
  <c r="B88" i="160" s="1"/>
  <c r="C123" i="160"/>
  <c r="B123" i="160" s="1"/>
  <c r="E122" i="160"/>
  <c r="D123" i="160"/>
  <c r="F123" i="160" s="1"/>
  <c r="C156" i="160"/>
  <c r="B156" i="160" s="1"/>
  <c r="E155" i="160"/>
  <c r="D156" i="160"/>
  <c r="F156" i="160" s="1"/>
  <c r="J182" i="160"/>
  <c r="K182" i="160" s="1"/>
  <c r="M182" i="160" s="1"/>
  <c r="O182" i="160"/>
  <c r="G183" i="160" s="1"/>
  <c r="C190" i="160"/>
  <c r="B190" i="160" s="1"/>
  <c r="D190" i="160"/>
  <c r="E189" i="160"/>
  <c r="D48" i="160"/>
  <c r="F48" i="160" s="1"/>
  <c r="B48" i="160"/>
  <c r="J112" i="160" l="1"/>
  <c r="T40" i="160" s="1"/>
  <c r="U39" i="160"/>
  <c r="M78" i="160"/>
  <c r="R54" i="160"/>
  <c r="Q54" i="160"/>
  <c r="N244" i="160"/>
  <c r="M208" i="160"/>
  <c r="F190" i="160"/>
  <c r="C191" i="160"/>
  <c r="B191" i="160" s="1"/>
  <c r="D191" i="160"/>
  <c r="O245" i="160"/>
  <c r="G246" i="160" s="1"/>
  <c r="J245" i="160"/>
  <c r="K245" i="160" s="1"/>
  <c r="M245" i="160" s="1"/>
  <c r="M243" i="160"/>
  <c r="O209" i="160"/>
  <c r="J209" i="160"/>
  <c r="N209" i="160" s="1"/>
  <c r="O80" i="160"/>
  <c r="G81" i="160" s="1"/>
  <c r="J80" i="160"/>
  <c r="J113" i="160"/>
  <c r="O113" i="160"/>
  <c r="G114" i="160" s="1"/>
  <c r="K79" i="160"/>
  <c r="N79" i="160"/>
  <c r="O183" i="160"/>
  <c r="G184" i="160" s="1"/>
  <c r="J183" i="160"/>
  <c r="K183" i="160" s="1"/>
  <c r="M183" i="160" s="1"/>
  <c r="C89" i="160"/>
  <c r="B89" i="160" s="1"/>
  <c r="D89" i="160"/>
  <c r="F89" i="160" s="1"/>
  <c r="E88" i="160"/>
  <c r="E190" i="160"/>
  <c r="D124" i="160"/>
  <c r="E123" i="160"/>
  <c r="C124" i="160"/>
  <c r="B124" i="160" s="1"/>
  <c r="N182" i="160"/>
  <c r="N147" i="160"/>
  <c r="D157" i="160"/>
  <c r="F157" i="160" s="1"/>
  <c r="E156" i="160"/>
  <c r="C157" i="160"/>
  <c r="B157" i="160" s="1"/>
  <c r="J148" i="160"/>
  <c r="K148" i="160" s="1"/>
  <c r="M148" i="160" s="1"/>
  <c r="O148" i="160"/>
  <c r="G149" i="160" s="1"/>
  <c r="E48" i="160"/>
  <c r="C49" i="160"/>
  <c r="N112" i="160" l="1"/>
  <c r="K112" i="160"/>
  <c r="M112" i="160" s="1"/>
  <c r="T41" i="160"/>
  <c r="Q55" i="160"/>
  <c r="R55" i="160"/>
  <c r="M79" i="160"/>
  <c r="G210" i="160"/>
  <c r="J246" i="160"/>
  <c r="K246" i="160" s="1"/>
  <c r="M246" i="160" s="1"/>
  <c r="O246" i="160"/>
  <c r="G247" i="160" s="1"/>
  <c r="F191" i="160"/>
  <c r="D192" i="160"/>
  <c r="C192" i="160"/>
  <c r="B192" i="160" s="1"/>
  <c r="E191" i="160"/>
  <c r="K209" i="160"/>
  <c r="N245" i="160"/>
  <c r="F124" i="160"/>
  <c r="D125" i="160"/>
  <c r="C125" i="160"/>
  <c r="B125" i="160" s="1"/>
  <c r="J114" i="160"/>
  <c r="O114" i="160"/>
  <c r="G115" i="160" s="1"/>
  <c r="K113" i="160"/>
  <c r="M113" i="160" s="1"/>
  <c r="N113" i="160"/>
  <c r="K80" i="160"/>
  <c r="N80" i="160"/>
  <c r="O81" i="160"/>
  <c r="G82" i="160" s="1"/>
  <c r="J81" i="160"/>
  <c r="N183" i="160"/>
  <c r="N148" i="160"/>
  <c r="C158" i="160"/>
  <c r="B158" i="160" s="1"/>
  <c r="D158" i="160"/>
  <c r="E157" i="160"/>
  <c r="O149" i="160"/>
  <c r="G150" i="160" s="1"/>
  <c r="J149" i="160"/>
  <c r="K149" i="160" s="1"/>
  <c r="M149" i="160" s="1"/>
  <c r="D90" i="160"/>
  <c r="F90" i="160" s="1"/>
  <c r="E89" i="160"/>
  <c r="C90" i="160"/>
  <c r="B90" i="160" s="1"/>
  <c r="E124" i="160"/>
  <c r="J184" i="160"/>
  <c r="K184" i="160" s="1"/>
  <c r="M184" i="160" s="1"/>
  <c r="O184" i="160"/>
  <c r="G185" i="160" s="1"/>
  <c r="D49" i="160"/>
  <c r="F49" i="160" s="1"/>
  <c r="B49" i="160"/>
  <c r="U40" i="160" l="1"/>
  <c r="M80" i="160"/>
  <c r="U41" i="160"/>
  <c r="J247" i="160"/>
  <c r="K247" i="160" s="1"/>
  <c r="M247" i="160" s="1"/>
  <c r="O247" i="160"/>
  <c r="G248" i="160" s="1"/>
  <c r="M209" i="160"/>
  <c r="E192" i="160"/>
  <c r="F192" i="160"/>
  <c r="N246" i="160"/>
  <c r="O210" i="160"/>
  <c r="J210" i="160"/>
  <c r="T42" i="160" s="1"/>
  <c r="F158" i="160"/>
  <c r="D159" i="160"/>
  <c r="C159" i="160"/>
  <c r="B159" i="160" s="1"/>
  <c r="F125" i="160"/>
  <c r="D126" i="160"/>
  <c r="E125" i="160"/>
  <c r="C126" i="160"/>
  <c r="B126" i="160" s="1"/>
  <c r="K81" i="160"/>
  <c r="N81" i="160"/>
  <c r="O82" i="160"/>
  <c r="G83" i="160" s="1"/>
  <c r="J82" i="160"/>
  <c r="O115" i="160"/>
  <c r="G116" i="160" s="1"/>
  <c r="J115" i="160"/>
  <c r="K114" i="160"/>
  <c r="M114" i="160" s="1"/>
  <c r="N114" i="160"/>
  <c r="N149" i="160"/>
  <c r="E158" i="160"/>
  <c r="N184" i="160"/>
  <c r="C91" i="160"/>
  <c r="B91" i="160" s="1"/>
  <c r="E90" i="160"/>
  <c r="D91" i="160"/>
  <c r="O185" i="160"/>
  <c r="G186" i="160" s="1"/>
  <c r="J185" i="160"/>
  <c r="K185" i="160" s="1"/>
  <c r="M185" i="160" s="1"/>
  <c r="J150" i="160"/>
  <c r="K150" i="160" s="1"/>
  <c r="M150" i="160" s="1"/>
  <c r="O150" i="160"/>
  <c r="G151" i="160" s="1"/>
  <c r="C50" i="160"/>
  <c r="E49" i="160"/>
  <c r="M81" i="160" l="1"/>
  <c r="N247" i="160"/>
  <c r="N210" i="160"/>
  <c r="K210" i="160"/>
  <c r="U42" i="160" s="1"/>
  <c r="J248" i="160"/>
  <c r="K248" i="160" s="1"/>
  <c r="M248" i="160" s="1"/>
  <c r="O248" i="160"/>
  <c r="G249" i="160" s="1"/>
  <c r="G211" i="160"/>
  <c r="F159" i="160"/>
  <c r="C160" i="160"/>
  <c r="B160" i="160" s="1"/>
  <c r="E159" i="160"/>
  <c r="D160" i="160"/>
  <c r="F126" i="160"/>
  <c r="E126" i="160"/>
  <c r="D127" i="160"/>
  <c r="C127" i="160"/>
  <c r="B127" i="160" s="1"/>
  <c r="F91" i="160"/>
  <c r="D92" i="160"/>
  <c r="C92" i="160"/>
  <c r="B92" i="160" s="1"/>
  <c r="K115" i="160"/>
  <c r="M115" i="160" s="1"/>
  <c r="N115" i="160"/>
  <c r="J83" i="160"/>
  <c r="O83" i="160"/>
  <c r="G84" i="160" s="1"/>
  <c r="J116" i="160"/>
  <c r="O116" i="160"/>
  <c r="G117" i="160" s="1"/>
  <c r="K82" i="160"/>
  <c r="N82" i="160"/>
  <c r="N185" i="160"/>
  <c r="N150" i="160"/>
  <c r="E91" i="160"/>
  <c r="O151" i="160"/>
  <c r="G152" i="160" s="1"/>
  <c r="J151" i="160"/>
  <c r="K151" i="160" s="1"/>
  <c r="M151" i="160" s="1"/>
  <c r="J186" i="160"/>
  <c r="K186" i="160" s="1"/>
  <c r="M186" i="160" s="1"/>
  <c r="O186" i="160"/>
  <c r="G187" i="160" s="1"/>
  <c r="B50" i="160"/>
  <c r="D50" i="160"/>
  <c r="F50" i="160" s="1"/>
  <c r="M82" i="160" l="1"/>
  <c r="O211" i="160"/>
  <c r="G212" i="160" s="1"/>
  <c r="J211" i="160"/>
  <c r="J249" i="160"/>
  <c r="K249" i="160" s="1"/>
  <c r="M249" i="160" s="1"/>
  <c r="O249" i="160"/>
  <c r="G250" i="160" s="1"/>
  <c r="M210" i="160"/>
  <c r="N248" i="160"/>
  <c r="F160" i="160"/>
  <c r="E160" i="160"/>
  <c r="F127" i="160"/>
  <c r="E127" i="160"/>
  <c r="E92" i="160"/>
  <c r="C93" i="160"/>
  <c r="B93" i="160" s="1"/>
  <c r="D93" i="160"/>
  <c r="F92" i="160"/>
  <c r="N151" i="160"/>
  <c r="K83" i="160"/>
  <c r="N83" i="160"/>
  <c r="O84" i="160"/>
  <c r="G85" i="160" s="1"/>
  <c r="J84" i="160"/>
  <c r="O117" i="160"/>
  <c r="G118" i="160" s="1"/>
  <c r="J117" i="160"/>
  <c r="K117" i="160" s="1"/>
  <c r="M117" i="160" s="1"/>
  <c r="K116" i="160"/>
  <c r="M116" i="160" s="1"/>
  <c r="N116" i="160"/>
  <c r="N186" i="160"/>
  <c r="O187" i="160"/>
  <c r="G188" i="160" s="1"/>
  <c r="J187" i="160"/>
  <c r="K187" i="160" s="1"/>
  <c r="M187" i="160" s="1"/>
  <c r="J152" i="160"/>
  <c r="K152" i="160" s="1"/>
  <c r="M152" i="160" s="1"/>
  <c r="O152" i="160"/>
  <c r="G153" i="160" s="1"/>
  <c r="C51" i="160"/>
  <c r="E50" i="160"/>
  <c r="N84" i="160" l="1"/>
  <c r="N211" i="160"/>
  <c r="T43" i="160"/>
  <c r="M83" i="160"/>
  <c r="N249" i="160"/>
  <c r="J250" i="160"/>
  <c r="K250" i="160" s="1"/>
  <c r="M250" i="160" s="1"/>
  <c r="O250" i="160"/>
  <c r="G251" i="160" s="1"/>
  <c r="K211" i="160"/>
  <c r="J212" i="160"/>
  <c r="T44" i="160" s="1"/>
  <c r="O212" i="160"/>
  <c r="G213" i="160" s="1"/>
  <c r="E93" i="160"/>
  <c r="F93" i="160"/>
  <c r="O85" i="160"/>
  <c r="G86" i="160" s="1"/>
  <c r="J85" i="160"/>
  <c r="N117" i="160"/>
  <c r="J118" i="160"/>
  <c r="O118" i="160"/>
  <c r="G119" i="160" s="1"/>
  <c r="K84" i="160"/>
  <c r="N187" i="160"/>
  <c r="N152" i="160"/>
  <c r="O153" i="160"/>
  <c r="G154" i="160" s="1"/>
  <c r="J153" i="160"/>
  <c r="K153" i="160" s="1"/>
  <c r="M153" i="160" s="1"/>
  <c r="J188" i="160"/>
  <c r="K188" i="160" s="1"/>
  <c r="M188" i="160" s="1"/>
  <c r="O188" i="160"/>
  <c r="G189" i="160" s="1"/>
  <c r="B51" i="160"/>
  <c r="D51" i="160"/>
  <c r="F51" i="160" s="1"/>
  <c r="M84" i="160" l="1"/>
  <c r="M211" i="160"/>
  <c r="U43" i="160"/>
  <c r="N85" i="160"/>
  <c r="N250" i="160"/>
  <c r="N212" i="160"/>
  <c r="K212" i="160"/>
  <c r="O251" i="160"/>
  <c r="G252" i="160" s="1"/>
  <c r="J251" i="160"/>
  <c r="K251" i="160" s="1"/>
  <c r="M251" i="160" s="1"/>
  <c r="O213" i="160"/>
  <c r="G214" i="160" s="1"/>
  <c r="J213" i="160"/>
  <c r="K118" i="160"/>
  <c r="M118" i="160" s="1"/>
  <c r="N118" i="160"/>
  <c r="K85" i="160"/>
  <c r="J119" i="160"/>
  <c r="K119" i="160" s="1"/>
  <c r="M119" i="160" s="1"/>
  <c r="O119" i="160"/>
  <c r="G120" i="160" s="1"/>
  <c r="O86" i="160"/>
  <c r="G87" i="160" s="1"/>
  <c r="J86" i="160"/>
  <c r="N188" i="160"/>
  <c r="O189" i="160"/>
  <c r="G190" i="160" s="1"/>
  <c r="J189" i="160"/>
  <c r="K189" i="160" s="1"/>
  <c r="M189" i="160" s="1"/>
  <c r="N153" i="160"/>
  <c r="J154" i="160"/>
  <c r="K154" i="160" s="1"/>
  <c r="M154" i="160" s="1"/>
  <c r="O154" i="160"/>
  <c r="G155" i="160" s="1"/>
  <c r="E51" i="160"/>
  <c r="C52" i="160"/>
  <c r="K213" i="160" l="1"/>
  <c r="T45" i="160"/>
  <c r="M212" i="160"/>
  <c r="U44" i="160"/>
  <c r="M85" i="160"/>
  <c r="N251" i="160"/>
  <c r="N213" i="160"/>
  <c r="J252" i="160"/>
  <c r="K252" i="160" s="1"/>
  <c r="M252" i="160" s="1"/>
  <c r="O252" i="160"/>
  <c r="G253" i="160" s="1"/>
  <c r="J214" i="160"/>
  <c r="O214" i="160"/>
  <c r="G215" i="160" s="1"/>
  <c r="N119" i="160"/>
  <c r="K86" i="160"/>
  <c r="N86" i="160"/>
  <c r="O87" i="160"/>
  <c r="G88" i="160" s="1"/>
  <c r="J87" i="160"/>
  <c r="J120" i="160"/>
  <c r="O120" i="160"/>
  <c r="G121" i="160" s="1"/>
  <c r="N189" i="160"/>
  <c r="N154" i="160"/>
  <c r="O155" i="160"/>
  <c r="G156" i="160" s="1"/>
  <c r="J155" i="160"/>
  <c r="K155" i="160" s="1"/>
  <c r="M155" i="160" s="1"/>
  <c r="J190" i="160"/>
  <c r="O190" i="160"/>
  <c r="D52" i="160"/>
  <c r="F52" i="160" s="1"/>
  <c r="B52" i="160"/>
  <c r="M86" i="160" l="1"/>
  <c r="M213" i="160"/>
  <c r="U45" i="160"/>
  <c r="K214" i="160"/>
  <c r="T46" i="160"/>
  <c r="N252" i="160"/>
  <c r="N214" i="160"/>
  <c r="J253" i="160"/>
  <c r="K253" i="160" s="1"/>
  <c r="M253" i="160" s="1"/>
  <c r="O253" i="160"/>
  <c r="J215" i="160"/>
  <c r="O215" i="160"/>
  <c r="G216" i="160" s="1"/>
  <c r="G191" i="160"/>
  <c r="J88" i="160"/>
  <c r="O88" i="160"/>
  <c r="G89" i="160" s="1"/>
  <c r="O121" i="160"/>
  <c r="G122" i="160" s="1"/>
  <c r="J121" i="160"/>
  <c r="K121" i="160" s="1"/>
  <c r="M121" i="160" s="1"/>
  <c r="K120" i="160"/>
  <c r="M120" i="160" s="1"/>
  <c r="N120" i="160"/>
  <c r="K87" i="160"/>
  <c r="N87" i="160"/>
  <c r="K190" i="160"/>
  <c r="N155" i="160"/>
  <c r="N190" i="160"/>
  <c r="J156" i="160"/>
  <c r="K156" i="160" s="1"/>
  <c r="M156" i="160" s="1"/>
  <c r="O156" i="160"/>
  <c r="G157" i="160" s="1"/>
  <c r="E52" i="160"/>
  <c r="C53" i="160"/>
  <c r="M87" i="160" l="1"/>
  <c r="M214" i="160"/>
  <c r="U46" i="160"/>
  <c r="K215" i="160"/>
  <c r="T47" i="160"/>
  <c r="J216" i="160"/>
  <c r="O216" i="160"/>
  <c r="G217" i="160" s="1"/>
  <c r="N253" i="160"/>
  <c r="N215" i="160"/>
  <c r="O191" i="160"/>
  <c r="J191" i="160"/>
  <c r="J89" i="160"/>
  <c r="O89" i="160"/>
  <c r="G90" i="160" s="1"/>
  <c r="K88" i="160"/>
  <c r="N88" i="160"/>
  <c r="J122" i="160"/>
  <c r="K122" i="160" s="1"/>
  <c r="M122" i="160" s="1"/>
  <c r="O122" i="160"/>
  <c r="G123" i="160" s="1"/>
  <c r="N121" i="160"/>
  <c r="M190" i="160"/>
  <c r="O157" i="160"/>
  <c r="G158" i="160" s="1"/>
  <c r="J157" i="160"/>
  <c r="K157" i="160" s="1"/>
  <c r="M157" i="160" s="1"/>
  <c r="N156" i="160"/>
  <c r="D53" i="160"/>
  <c r="F53" i="160" s="1"/>
  <c r="B53" i="160"/>
  <c r="M88" i="160" l="1"/>
  <c r="M215" i="160"/>
  <c r="U47" i="160"/>
  <c r="K216" i="160"/>
  <c r="T48" i="160"/>
  <c r="N216" i="160"/>
  <c r="O255" i="160"/>
  <c r="G255" i="160"/>
  <c r="J217" i="160"/>
  <c r="O217" i="160"/>
  <c r="G218" i="160" s="1"/>
  <c r="K191" i="160"/>
  <c r="N191" i="160"/>
  <c r="G192" i="160"/>
  <c r="J123" i="160"/>
  <c r="O123" i="160"/>
  <c r="G124" i="160" s="1"/>
  <c r="J90" i="160"/>
  <c r="O90" i="160"/>
  <c r="G91" i="160" s="1"/>
  <c r="K89" i="160"/>
  <c r="N89" i="160"/>
  <c r="N122" i="160"/>
  <c r="O158" i="160"/>
  <c r="J158" i="160"/>
  <c r="N158" i="160" s="1"/>
  <c r="N157" i="160"/>
  <c r="C54" i="160"/>
  <c r="E53" i="160"/>
  <c r="M216" i="160" l="1"/>
  <c r="U48" i="160"/>
  <c r="K217" i="160"/>
  <c r="T49" i="160"/>
  <c r="M89" i="160"/>
  <c r="N217" i="160"/>
  <c r="J218" i="160"/>
  <c r="O218" i="160"/>
  <c r="G219" i="160" s="1"/>
  <c r="N255" i="160"/>
  <c r="J255" i="160"/>
  <c r="J192" i="160"/>
  <c r="O192" i="160"/>
  <c r="O194" i="160" s="1"/>
  <c r="G194" i="160"/>
  <c r="M191" i="160"/>
  <c r="G159" i="160"/>
  <c r="K90" i="160"/>
  <c r="N90" i="160"/>
  <c r="J124" i="160"/>
  <c r="O124" i="160"/>
  <c r="G125" i="160" s="1"/>
  <c r="J91" i="160"/>
  <c r="O91" i="160"/>
  <c r="K123" i="160"/>
  <c r="M123" i="160" s="1"/>
  <c r="N123" i="160"/>
  <c r="K158" i="160"/>
  <c r="B54" i="160"/>
  <c r="D54" i="160"/>
  <c r="F54" i="160" s="1"/>
  <c r="K218" i="160" l="1"/>
  <c r="T50" i="160"/>
  <c r="M90" i="160"/>
  <c r="M217" i="160"/>
  <c r="U49" i="160"/>
  <c r="N218" i="160"/>
  <c r="J219" i="160"/>
  <c r="O219" i="160"/>
  <c r="G220" i="160" s="1"/>
  <c r="M255" i="160"/>
  <c r="K255" i="160"/>
  <c r="K192" i="160"/>
  <c r="J194" i="160"/>
  <c r="N192" i="160"/>
  <c r="N194" i="160" s="1"/>
  <c r="O159" i="160"/>
  <c r="G160" i="160" s="1"/>
  <c r="G162" i="160" s="1"/>
  <c r="J159" i="160"/>
  <c r="K159" i="160" s="1"/>
  <c r="M159" i="160" s="1"/>
  <c r="J125" i="160"/>
  <c r="K125" i="160" s="1"/>
  <c r="M125" i="160" s="1"/>
  <c r="O125" i="160"/>
  <c r="G126" i="160" s="1"/>
  <c r="G92" i="160"/>
  <c r="K91" i="160"/>
  <c r="K124" i="160"/>
  <c r="M124" i="160" s="1"/>
  <c r="N124" i="160"/>
  <c r="N91" i="160"/>
  <c r="M158" i="160"/>
  <c r="C55" i="160"/>
  <c r="E54" i="160"/>
  <c r="K219" i="160" l="1"/>
  <c r="T51" i="160"/>
  <c r="M218" i="160"/>
  <c r="U50" i="160"/>
  <c r="N219" i="160"/>
  <c r="J220" i="160"/>
  <c r="O220" i="160"/>
  <c r="G221" i="160" s="1"/>
  <c r="M192" i="160"/>
  <c r="M194" i="160" s="1"/>
  <c r="K194" i="160"/>
  <c r="N159" i="160"/>
  <c r="O160" i="160"/>
  <c r="O162" i="160" s="1"/>
  <c r="J160" i="160"/>
  <c r="N125" i="160"/>
  <c r="O126" i="160"/>
  <c r="J126" i="160"/>
  <c r="K126" i="160" s="1"/>
  <c r="M126" i="160" s="1"/>
  <c r="O92" i="160"/>
  <c r="J92" i="160"/>
  <c r="M91" i="160"/>
  <c r="B55" i="160"/>
  <c r="D55" i="160"/>
  <c r="K160" i="160" l="1"/>
  <c r="J162" i="160"/>
  <c r="K220" i="160"/>
  <c r="T52" i="160"/>
  <c r="M219" i="160"/>
  <c r="U51" i="160"/>
  <c r="N220" i="160"/>
  <c r="O221" i="160"/>
  <c r="G222" i="160" s="1"/>
  <c r="J221" i="160"/>
  <c r="N160" i="160"/>
  <c r="N162" i="160" s="1"/>
  <c r="N126" i="160"/>
  <c r="G127" i="160"/>
  <c r="N92" i="160"/>
  <c r="K92" i="160"/>
  <c r="G93" i="160"/>
  <c r="F55" i="160"/>
  <c r="C56" i="160"/>
  <c r="D56" i="160" s="1"/>
  <c r="C57" i="160" s="1"/>
  <c r="S57" i="160"/>
  <c r="S59" i="160" s="1"/>
  <c r="E55" i="160"/>
  <c r="M160" i="160" l="1"/>
  <c r="M162" i="160" s="1"/>
  <c r="K162" i="160"/>
  <c r="K221" i="160"/>
  <c r="T53" i="160"/>
  <c r="M220" i="160"/>
  <c r="U52" i="160"/>
  <c r="N221" i="160"/>
  <c r="O222" i="160"/>
  <c r="G223" i="160" s="1"/>
  <c r="J222" i="160"/>
  <c r="O127" i="160"/>
  <c r="O129" i="160" s="1"/>
  <c r="J127" i="160"/>
  <c r="N127" i="160" s="1"/>
  <c r="N129" i="160" s="1"/>
  <c r="G129" i="160"/>
  <c r="O93" i="160"/>
  <c r="O95" i="160" s="1"/>
  <c r="J93" i="160"/>
  <c r="G95" i="160"/>
  <c r="M92" i="160"/>
  <c r="B57" i="160"/>
  <c r="D57" i="160"/>
  <c r="F56" i="160"/>
  <c r="E56" i="160"/>
  <c r="V57" i="160"/>
  <c r="V59" i="160" s="1"/>
  <c r="B56" i="160"/>
  <c r="E97" i="197" l="1"/>
  <c r="B98" i="197"/>
  <c r="B97" i="197"/>
  <c r="D98" i="197"/>
  <c r="E98" i="197"/>
  <c r="D97" i="197"/>
  <c r="C98" i="197"/>
  <c r="C97" i="197"/>
  <c r="K222" i="160"/>
  <c r="T54" i="160"/>
  <c r="M221" i="160"/>
  <c r="U53" i="160"/>
  <c r="N222" i="160"/>
  <c r="O223" i="160"/>
  <c r="J223" i="160"/>
  <c r="T55" i="160" s="1"/>
  <c r="G225" i="160"/>
  <c r="K127" i="160"/>
  <c r="J129" i="160"/>
  <c r="K93" i="160"/>
  <c r="J95" i="160"/>
  <c r="N93" i="160"/>
  <c r="N95" i="160" s="1"/>
  <c r="C58" i="160"/>
  <c r="F57" i="160"/>
  <c r="E57" i="160"/>
  <c r="F97" i="197" l="1"/>
  <c r="F98" i="197"/>
  <c r="T57" i="160"/>
  <c r="M222" i="160"/>
  <c r="U54" i="160"/>
  <c r="K223" i="160"/>
  <c r="U55" i="160" s="1"/>
  <c r="J225" i="160"/>
  <c r="T58" i="160" s="1"/>
  <c r="T59" i="160" s="1"/>
  <c r="N223" i="160"/>
  <c r="N225" i="160" s="1"/>
  <c r="O225" i="160"/>
  <c r="M127" i="160"/>
  <c r="M129" i="160" s="1"/>
  <c r="K129" i="160"/>
  <c r="M93" i="160"/>
  <c r="M95" i="160" s="1"/>
  <c r="K95" i="160"/>
  <c r="D58" i="160"/>
  <c r="H95" i="197" s="1"/>
  <c r="I95" i="197" s="1"/>
  <c r="B58" i="160"/>
  <c r="U57" i="160" l="1"/>
  <c r="M223" i="160"/>
  <c r="M225" i="160" s="1"/>
  <c r="K225" i="160"/>
  <c r="U58" i="160" s="1"/>
  <c r="E58" i="160"/>
  <c r="F58" i="160"/>
  <c r="U59" i="160" l="1"/>
  <c r="J23" i="150" l="1"/>
  <c r="L282" i="157" l="1"/>
  <c r="L281" i="157"/>
  <c r="L280" i="157"/>
  <c r="L279" i="157"/>
  <c r="L278" i="157"/>
  <c r="L277" i="157"/>
  <c r="L276" i="157"/>
  <c r="L275" i="157"/>
  <c r="L274" i="157"/>
  <c r="L273" i="157"/>
  <c r="L272" i="157"/>
  <c r="L271" i="157"/>
  <c r="L270" i="157"/>
  <c r="L269" i="157"/>
  <c r="L268" i="157"/>
  <c r="L267" i="157"/>
  <c r="K262" i="157"/>
  <c r="M262" i="157" s="1"/>
  <c r="K261" i="157"/>
  <c r="G261" i="157"/>
  <c r="C261" i="157"/>
  <c r="D261" i="157" s="1"/>
  <c r="L256" i="157"/>
  <c r="L255" i="157"/>
  <c r="L254" i="157"/>
  <c r="L253" i="157"/>
  <c r="L252" i="157"/>
  <c r="L251" i="157"/>
  <c r="L250" i="157"/>
  <c r="L249" i="157"/>
  <c r="L248" i="157"/>
  <c r="L247" i="157"/>
  <c r="L246" i="157"/>
  <c r="L245" i="157"/>
  <c r="L244" i="157"/>
  <c r="L243" i="157"/>
  <c r="L242" i="157"/>
  <c r="L241" i="157"/>
  <c r="K236" i="157"/>
  <c r="M236" i="157" s="1"/>
  <c r="K235" i="157"/>
  <c r="M235" i="157" s="1"/>
  <c r="K234" i="157"/>
  <c r="M234" i="157" s="1"/>
  <c r="G234" i="157"/>
  <c r="C234" i="157"/>
  <c r="D234" i="157" s="1"/>
  <c r="F234" i="157" s="1"/>
  <c r="L229" i="157"/>
  <c r="L228" i="157"/>
  <c r="L227" i="157"/>
  <c r="L226" i="157"/>
  <c r="L225" i="157"/>
  <c r="L224" i="157"/>
  <c r="L223" i="157"/>
  <c r="L222" i="157"/>
  <c r="L221" i="157"/>
  <c r="L220" i="157"/>
  <c r="L219" i="157"/>
  <c r="L218" i="157"/>
  <c r="L217" i="157"/>
  <c r="L216" i="157"/>
  <c r="L215" i="157"/>
  <c r="L214" i="157"/>
  <c r="K209" i="157"/>
  <c r="M209" i="157" s="1"/>
  <c r="K208" i="157"/>
  <c r="M208" i="157" s="1"/>
  <c r="K207" i="157"/>
  <c r="K206" i="157"/>
  <c r="M206" i="157" s="1"/>
  <c r="G206" i="157"/>
  <c r="C206" i="157"/>
  <c r="D206" i="157" s="1"/>
  <c r="D207" i="157" s="1"/>
  <c r="L201" i="157"/>
  <c r="L200" i="157"/>
  <c r="L199" i="157"/>
  <c r="L198" i="157"/>
  <c r="L197" i="157"/>
  <c r="L196" i="157"/>
  <c r="L195" i="157"/>
  <c r="L194" i="157"/>
  <c r="L193" i="157"/>
  <c r="L192" i="157"/>
  <c r="L191" i="157"/>
  <c r="L190" i="157"/>
  <c r="L189" i="157"/>
  <c r="L188" i="157"/>
  <c r="L187" i="157"/>
  <c r="L186" i="157"/>
  <c r="M181" i="157"/>
  <c r="K181" i="157"/>
  <c r="K180" i="157"/>
  <c r="M180" i="157" s="1"/>
  <c r="K179" i="157"/>
  <c r="M179" i="157" s="1"/>
  <c r="K178" i="157"/>
  <c r="M178" i="157" s="1"/>
  <c r="K177" i="157"/>
  <c r="M177" i="157" s="1"/>
  <c r="G177" i="157"/>
  <c r="C177" i="157"/>
  <c r="D177" i="157" s="1"/>
  <c r="D178" i="157" s="1"/>
  <c r="L172" i="157"/>
  <c r="L171" i="157"/>
  <c r="L170" i="157"/>
  <c r="L169" i="157"/>
  <c r="L168" i="157"/>
  <c r="L167" i="157"/>
  <c r="L166" i="157"/>
  <c r="L165" i="157"/>
  <c r="L164" i="157"/>
  <c r="L163" i="157"/>
  <c r="L162" i="157"/>
  <c r="L161" i="157"/>
  <c r="L160" i="157"/>
  <c r="L159" i="157"/>
  <c r="L158" i="157"/>
  <c r="L157" i="157"/>
  <c r="K152" i="157"/>
  <c r="M152" i="157" s="1"/>
  <c r="K151" i="157"/>
  <c r="M151" i="157" s="1"/>
  <c r="K150" i="157"/>
  <c r="M150" i="157" s="1"/>
  <c r="K149" i="157"/>
  <c r="M149" i="157" s="1"/>
  <c r="K148" i="157"/>
  <c r="M148" i="157" s="1"/>
  <c r="K147" i="157"/>
  <c r="G147" i="157"/>
  <c r="C147" i="157"/>
  <c r="D147" i="157" s="1"/>
  <c r="L142" i="157"/>
  <c r="L141" i="157"/>
  <c r="L140" i="157"/>
  <c r="L139" i="157"/>
  <c r="L138" i="157"/>
  <c r="L137" i="157"/>
  <c r="L136" i="157"/>
  <c r="L135" i="157"/>
  <c r="L134" i="157"/>
  <c r="L133" i="157"/>
  <c r="L132" i="157"/>
  <c r="L131" i="157"/>
  <c r="L130" i="157"/>
  <c r="L129" i="157"/>
  <c r="L128" i="157"/>
  <c r="L127" i="157"/>
  <c r="K122" i="157"/>
  <c r="M122" i="157" s="1"/>
  <c r="K121" i="157"/>
  <c r="M121" i="157" s="1"/>
  <c r="K120" i="157"/>
  <c r="M120" i="157" s="1"/>
  <c r="K119" i="157"/>
  <c r="M119" i="157" s="1"/>
  <c r="M118" i="157"/>
  <c r="K118" i="157"/>
  <c r="K117" i="157"/>
  <c r="M117" i="157" s="1"/>
  <c r="K116" i="157"/>
  <c r="M116" i="157" s="1"/>
  <c r="G116" i="157"/>
  <c r="C116" i="157"/>
  <c r="D116" i="157" s="1"/>
  <c r="D117" i="157" s="1"/>
  <c r="L111" i="157"/>
  <c r="L110" i="157"/>
  <c r="L109" i="157"/>
  <c r="L108" i="157"/>
  <c r="L107" i="157"/>
  <c r="L106" i="157"/>
  <c r="L105" i="157"/>
  <c r="L104" i="157"/>
  <c r="L103" i="157"/>
  <c r="L102" i="157"/>
  <c r="L101" i="157"/>
  <c r="L100" i="157"/>
  <c r="L99" i="157"/>
  <c r="L98" i="157"/>
  <c r="L97" i="157"/>
  <c r="L96" i="157"/>
  <c r="K91" i="157"/>
  <c r="M91" i="157" s="1"/>
  <c r="M90" i="157"/>
  <c r="K90" i="157"/>
  <c r="K89" i="157"/>
  <c r="M89" i="157" s="1"/>
  <c r="K88" i="157"/>
  <c r="M88" i="157" s="1"/>
  <c r="K87" i="157"/>
  <c r="M87" i="157" s="1"/>
  <c r="K86" i="157"/>
  <c r="M86" i="157" s="1"/>
  <c r="K85" i="157"/>
  <c r="M85" i="157" s="1"/>
  <c r="G85" i="157"/>
  <c r="C85" i="157"/>
  <c r="D85" i="157" s="1"/>
  <c r="L79" i="157"/>
  <c r="L78" i="157"/>
  <c r="L77" i="157"/>
  <c r="L76" i="157"/>
  <c r="L75" i="157"/>
  <c r="L74" i="157"/>
  <c r="L73" i="157"/>
  <c r="L72" i="157"/>
  <c r="L71" i="157"/>
  <c r="L70" i="157"/>
  <c r="L69" i="157"/>
  <c r="L68" i="157"/>
  <c r="L67" i="157"/>
  <c r="L66" i="157"/>
  <c r="L65" i="157"/>
  <c r="L64" i="157"/>
  <c r="K59" i="157"/>
  <c r="M59" i="157" s="1"/>
  <c r="K58" i="157"/>
  <c r="M58" i="157" s="1"/>
  <c r="K57" i="157"/>
  <c r="M57" i="157" s="1"/>
  <c r="K56" i="157"/>
  <c r="M56" i="157" s="1"/>
  <c r="K55" i="157"/>
  <c r="M55" i="157" s="1"/>
  <c r="K54" i="157"/>
  <c r="M54" i="157" s="1"/>
  <c r="K53" i="157"/>
  <c r="M53" i="157" s="1"/>
  <c r="G53" i="157"/>
  <c r="C53" i="157"/>
  <c r="D53" i="157" s="1"/>
  <c r="F24" i="157"/>
  <c r="J23" i="157"/>
  <c r="F23" i="157"/>
  <c r="E22" i="157"/>
  <c r="E25" i="157" s="1"/>
  <c r="D22" i="157"/>
  <c r="D25" i="157" s="1"/>
  <c r="C22" i="157"/>
  <c r="G74" i="197" s="1"/>
  <c r="F21" i="157"/>
  <c r="F20" i="157"/>
  <c r="F19" i="157"/>
  <c r="L18" i="157"/>
  <c r="L20" i="157" s="1"/>
  <c r="F18" i="157"/>
  <c r="L17" i="157"/>
  <c r="F17" i="157"/>
  <c r="L16" i="157"/>
  <c r="K16" i="157"/>
  <c r="J16" i="157"/>
  <c r="F16" i="157"/>
  <c r="N15" i="157"/>
  <c r="M15" i="157"/>
  <c r="F15" i="157"/>
  <c r="N14" i="157"/>
  <c r="M14" i="157"/>
  <c r="F14" i="157"/>
  <c r="N13" i="157"/>
  <c r="M13" i="157"/>
  <c r="F13" i="157"/>
  <c r="N12" i="157"/>
  <c r="M12" i="157"/>
  <c r="F12" i="157"/>
  <c r="N11" i="157"/>
  <c r="M11" i="157"/>
  <c r="F11" i="157"/>
  <c r="N10" i="157"/>
  <c r="M10" i="157"/>
  <c r="F10" i="157"/>
  <c r="N9" i="157"/>
  <c r="M9" i="157"/>
  <c r="F9" i="157"/>
  <c r="N8" i="157"/>
  <c r="M8" i="157"/>
  <c r="F8" i="157"/>
  <c r="N7" i="157"/>
  <c r="M7" i="157"/>
  <c r="F7" i="157"/>
  <c r="N6" i="157"/>
  <c r="M6" i="157"/>
  <c r="F6" i="157"/>
  <c r="N5" i="157"/>
  <c r="M5" i="157"/>
  <c r="F5" i="157"/>
  <c r="N4" i="157"/>
  <c r="M4" i="157"/>
  <c r="F4" i="157"/>
  <c r="N3" i="157"/>
  <c r="M3" i="157"/>
  <c r="F3" i="157"/>
  <c r="N2" i="157"/>
  <c r="M2" i="157"/>
  <c r="F2" i="157"/>
  <c r="F22" i="157" l="1"/>
  <c r="F25" i="157" s="1"/>
  <c r="N16" i="157"/>
  <c r="M16" i="157"/>
  <c r="Q29" i="157"/>
  <c r="R29" i="157" s="1"/>
  <c r="C29" i="157"/>
  <c r="D29" i="157" s="1"/>
  <c r="V36" i="157"/>
  <c r="V40" i="157"/>
  <c r="V44" i="157"/>
  <c r="V48" i="157"/>
  <c r="C25" i="157"/>
  <c r="V34" i="157"/>
  <c r="V38" i="157"/>
  <c r="V42" i="157"/>
  <c r="V46" i="157"/>
  <c r="L144" i="157"/>
  <c r="L203" i="157"/>
  <c r="L284" i="157"/>
  <c r="V35" i="157"/>
  <c r="V39" i="157"/>
  <c r="V43" i="157"/>
  <c r="V47" i="157"/>
  <c r="V33" i="157"/>
  <c r="V37" i="157"/>
  <c r="V41" i="157"/>
  <c r="V45" i="157"/>
  <c r="L81" i="157"/>
  <c r="L113" i="157"/>
  <c r="E116" i="157"/>
  <c r="E177" i="157"/>
  <c r="F116" i="157"/>
  <c r="C117" i="157"/>
  <c r="E117" i="157" s="1"/>
  <c r="F177" i="157"/>
  <c r="C178" i="157"/>
  <c r="E178" i="157" s="1"/>
  <c r="F206" i="157"/>
  <c r="D148" i="157"/>
  <c r="F147" i="157"/>
  <c r="C148" i="157"/>
  <c r="E147" i="157"/>
  <c r="D208" i="157"/>
  <c r="F207" i="157"/>
  <c r="C208" i="157"/>
  <c r="D54" i="157"/>
  <c r="F53" i="157"/>
  <c r="C54" i="157"/>
  <c r="E53" i="157"/>
  <c r="D86" i="157"/>
  <c r="F85" i="157"/>
  <c r="E85" i="157"/>
  <c r="D118" i="157"/>
  <c r="F117" i="157"/>
  <c r="C118" i="157"/>
  <c r="C86" i="157"/>
  <c r="M147" i="157"/>
  <c r="D179" i="157"/>
  <c r="F178" i="157"/>
  <c r="C179" i="157"/>
  <c r="M207" i="157"/>
  <c r="L174" i="157"/>
  <c r="C235" i="157"/>
  <c r="E234" i="157"/>
  <c r="H234" i="157" s="1"/>
  <c r="D235" i="157"/>
  <c r="L231" i="157"/>
  <c r="C207" i="157"/>
  <c r="E207" i="157" s="1"/>
  <c r="E206" i="157"/>
  <c r="L258" i="157"/>
  <c r="M261" i="157"/>
  <c r="D262" i="157"/>
  <c r="F261" i="157"/>
  <c r="E261" i="157"/>
  <c r="C262" i="157"/>
  <c r="Q30" i="157" l="1"/>
  <c r="R30" i="157"/>
  <c r="H116" i="157"/>
  <c r="N116" i="157" s="1"/>
  <c r="C30" i="157"/>
  <c r="E29" i="157"/>
  <c r="F29" i="157"/>
  <c r="H29" i="157" s="1"/>
  <c r="V51" i="157"/>
  <c r="V50" i="157"/>
  <c r="H177" i="157"/>
  <c r="N177" i="157" s="1"/>
  <c r="H53" i="157"/>
  <c r="O53" i="157" s="1"/>
  <c r="G54" i="157" s="1"/>
  <c r="H206" i="157"/>
  <c r="O206" i="157" s="1"/>
  <c r="H147" i="157"/>
  <c r="O147" i="157" s="1"/>
  <c r="H261" i="157"/>
  <c r="C263" i="157"/>
  <c r="F262" i="157"/>
  <c r="D263" i="157"/>
  <c r="E262" i="157"/>
  <c r="D236" i="157"/>
  <c r="F235" i="157"/>
  <c r="C236" i="157"/>
  <c r="E235" i="157"/>
  <c r="N234" i="157"/>
  <c r="C180" i="157"/>
  <c r="E179" i="157"/>
  <c r="D180" i="157"/>
  <c r="F179" i="157"/>
  <c r="D149" i="157"/>
  <c r="C149" i="157"/>
  <c r="E148" i="157"/>
  <c r="F148" i="157"/>
  <c r="O234" i="157"/>
  <c r="L50" i="157"/>
  <c r="F118" i="157"/>
  <c r="D119" i="157"/>
  <c r="C119" i="157"/>
  <c r="E118" i="157"/>
  <c r="H85" i="157"/>
  <c r="C209" i="157"/>
  <c r="E208" i="157"/>
  <c r="F208" i="157"/>
  <c r="D209" i="157"/>
  <c r="D55" i="157"/>
  <c r="F54" i="157"/>
  <c r="E54" i="157"/>
  <c r="C55" i="157"/>
  <c r="C87" i="157"/>
  <c r="E86" i="157"/>
  <c r="D87" i="157"/>
  <c r="F86" i="157"/>
  <c r="O116" i="157" l="1"/>
  <c r="G117" i="157" s="1"/>
  <c r="O29" i="157"/>
  <c r="G30" i="157" s="1"/>
  <c r="N29" i="157"/>
  <c r="R31" i="157"/>
  <c r="Q31" i="157"/>
  <c r="B30" i="157"/>
  <c r="D30" i="157"/>
  <c r="N53" i="157"/>
  <c r="O177" i="157"/>
  <c r="G178" i="157" s="1"/>
  <c r="H178" i="157" s="1"/>
  <c r="N206" i="157"/>
  <c r="V52" i="157"/>
  <c r="N147" i="157"/>
  <c r="N261" i="157"/>
  <c r="O261" i="157"/>
  <c r="G262" i="157" s="1"/>
  <c r="D56" i="157"/>
  <c r="F55" i="157"/>
  <c r="C56" i="157"/>
  <c r="E55" i="157"/>
  <c r="H54" i="157"/>
  <c r="D120" i="157"/>
  <c r="F119" i="157"/>
  <c r="C120" i="157"/>
  <c r="E119" i="157"/>
  <c r="D181" i="157"/>
  <c r="F180" i="157"/>
  <c r="C181" i="157"/>
  <c r="E180" i="157"/>
  <c r="D264" i="157"/>
  <c r="E263" i="157"/>
  <c r="F263" i="157"/>
  <c r="C264" i="157"/>
  <c r="D88" i="157"/>
  <c r="F87" i="157"/>
  <c r="C88" i="157"/>
  <c r="E87" i="157"/>
  <c r="D210" i="157"/>
  <c r="C210" i="157"/>
  <c r="F209" i="157"/>
  <c r="E209" i="157"/>
  <c r="O85" i="157"/>
  <c r="N85" i="157"/>
  <c r="G148" i="157"/>
  <c r="H117" i="157"/>
  <c r="G235" i="157"/>
  <c r="D150" i="157"/>
  <c r="F149" i="157"/>
  <c r="C150" i="157"/>
  <c r="E149" i="157"/>
  <c r="E236" i="157"/>
  <c r="D237" i="157"/>
  <c r="C237" i="157"/>
  <c r="F236" i="157"/>
  <c r="G207" i="157"/>
  <c r="F30" i="157" l="1"/>
  <c r="C31" i="157"/>
  <c r="E30" i="157"/>
  <c r="R32" i="157"/>
  <c r="Q32" i="157"/>
  <c r="O178" i="157"/>
  <c r="G179" i="157" s="1"/>
  <c r="O117" i="157"/>
  <c r="G118" i="157" s="1"/>
  <c r="N54" i="157"/>
  <c r="N117" i="157"/>
  <c r="F237" i="157"/>
  <c r="E237" i="157"/>
  <c r="C238" i="157"/>
  <c r="D238" i="157"/>
  <c r="E150" i="157"/>
  <c r="D151" i="157"/>
  <c r="F150" i="157"/>
  <c r="C151" i="157"/>
  <c r="H148" i="157"/>
  <c r="H235" i="157"/>
  <c r="C89" i="157"/>
  <c r="E88" i="157"/>
  <c r="F88" i="157"/>
  <c r="D89" i="157"/>
  <c r="C265" i="157"/>
  <c r="F264" i="157"/>
  <c r="D265" i="157"/>
  <c r="E264" i="157"/>
  <c r="D182" i="157"/>
  <c r="C182" i="157"/>
  <c r="F181" i="157"/>
  <c r="E181" i="157"/>
  <c r="D121" i="157"/>
  <c r="F120" i="157"/>
  <c r="E120" i="157"/>
  <c r="C121" i="157"/>
  <c r="O54" i="157"/>
  <c r="C211" i="157"/>
  <c r="F210" i="157"/>
  <c r="E210" i="157"/>
  <c r="D211" i="157"/>
  <c r="D57" i="157"/>
  <c r="F56" i="157"/>
  <c r="C57" i="157"/>
  <c r="E56" i="157"/>
  <c r="H207" i="157"/>
  <c r="G86" i="157"/>
  <c r="N178" i="157"/>
  <c r="H262" i="157"/>
  <c r="H30" i="157" l="1"/>
  <c r="I34" i="157" s="1"/>
  <c r="J30" i="157"/>
  <c r="R33" i="157"/>
  <c r="Q33" i="157"/>
  <c r="D31" i="157"/>
  <c r="B31" i="157"/>
  <c r="I42" i="157"/>
  <c r="I32" i="157"/>
  <c r="I47" i="157"/>
  <c r="I43" i="157"/>
  <c r="I39" i="157"/>
  <c r="I33" i="157"/>
  <c r="I45" i="157"/>
  <c r="I44" i="157"/>
  <c r="I41" i="157"/>
  <c r="I30" i="157"/>
  <c r="I36" i="157"/>
  <c r="I46" i="157"/>
  <c r="I38" i="157"/>
  <c r="I40" i="157"/>
  <c r="I31" i="157"/>
  <c r="N235" i="157"/>
  <c r="O207" i="157"/>
  <c r="G208" i="157" s="1"/>
  <c r="N207" i="157"/>
  <c r="O148" i="157"/>
  <c r="D152" i="157"/>
  <c r="F151" i="157"/>
  <c r="E151" i="157"/>
  <c r="C152" i="157"/>
  <c r="D90" i="157"/>
  <c r="F89" i="157"/>
  <c r="C90" i="157"/>
  <c r="E89" i="157"/>
  <c r="F238" i="157"/>
  <c r="D239" i="157"/>
  <c r="C239" i="157"/>
  <c r="E238" i="157"/>
  <c r="H86" i="157"/>
  <c r="F211" i="157"/>
  <c r="E211" i="157"/>
  <c r="C212" i="157"/>
  <c r="D212" i="157"/>
  <c r="H179" i="157"/>
  <c r="O262" i="157"/>
  <c r="G55" i="157"/>
  <c r="D122" i="157"/>
  <c r="F121" i="157"/>
  <c r="C122" i="157"/>
  <c r="E121" i="157"/>
  <c r="D183" i="157"/>
  <c r="E182" i="157"/>
  <c r="C183" i="157"/>
  <c r="F182" i="157"/>
  <c r="N262" i="157"/>
  <c r="D58" i="157"/>
  <c r="F57" i="157"/>
  <c r="C58" i="157"/>
  <c r="E57" i="157"/>
  <c r="D266" i="157"/>
  <c r="E265" i="157"/>
  <c r="C266" i="157"/>
  <c r="B266" i="157" s="1"/>
  <c r="F265" i="157"/>
  <c r="O235" i="157"/>
  <c r="N148" i="157"/>
  <c r="H118" i="157"/>
  <c r="I35" i="157" l="1"/>
  <c r="I48" i="157"/>
  <c r="I37" i="157"/>
  <c r="N30" i="157"/>
  <c r="K30" i="157"/>
  <c r="M30" i="157" s="1"/>
  <c r="O30" i="157"/>
  <c r="G31" i="157" s="1"/>
  <c r="Q34" i="157"/>
  <c r="R34" i="157"/>
  <c r="C32" i="157"/>
  <c r="E31" i="157"/>
  <c r="F31" i="157"/>
  <c r="O179" i="157"/>
  <c r="G180" i="157" s="1"/>
  <c r="O86" i="157"/>
  <c r="G87" i="157" s="1"/>
  <c r="N118" i="157"/>
  <c r="N86" i="157"/>
  <c r="N179" i="157"/>
  <c r="O118" i="157"/>
  <c r="G119" i="157" s="1"/>
  <c r="C184" i="157"/>
  <c r="F183" i="157"/>
  <c r="E183" i="157"/>
  <c r="D184" i="157"/>
  <c r="D240" i="157"/>
  <c r="E239" i="157"/>
  <c r="C240" i="157"/>
  <c r="B240" i="157" s="1"/>
  <c r="F239" i="157"/>
  <c r="F212" i="157"/>
  <c r="D213" i="157"/>
  <c r="E212" i="157"/>
  <c r="C213" i="157"/>
  <c r="B213" i="157" s="1"/>
  <c r="G236" i="157"/>
  <c r="F266" i="157"/>
  <c r="C267" i="157"/>
  <c r="B267" i="157" s="1"/>
  <c r="E266" i="157"/>
  <c r="D267" i="157"/>
  <c r="F58" i="157"/>
  <c r="D59" i="157"/>
  <c r="C59" i="157"/>
  <c r="E58" i="157"/>
  <c r="H55" i="157"/>
  <c r="F152" i="157"/>
  <c r="D153" i="157"/>
  <c r="E152" i="157"/>
  <c r="C153" i="157"/>
  <c r="D123" i="157"/>
  <c r="C123" i="157"/>
  <c r="F122" i="157"/>
  <c r="E122" i="157"/>
  <c r="H208" i="157"/>
  <c r="C91" i="157"/>
  <c r="E90" i="157"/>
  <c r="D91" i="157"/>
  <c r="F90" i="157"/>
  <c r="G263" i="157"/>
  <c r="G149" i="157"/>
  <c r="B32" i="157" l="1"/>
  <c r="D32" i="157"/>
  <c r="R35" i="157"/>
  <c r="Q35" i="157"/>
  <c r="J31" i="157"/>
  <c r="K31" i="157" s="1"/>
  <c r="M31" i="157" s="1"/>
  <c r="O31" i="157"/>
  <c r="G32" i="157" s="1"/>
  <c r="N55" i="157"/>
  <c r="C241" i="157"/>
  <c r="B241" i="157" s="1"/>
  <c r="D241" i="157"/>
  <c r="F240" i="157"/>
  <c r="E240" i="157"/>
  <c r="D124" i="157"/>
  <c r="E123" i="157"/>
  <c r="C124" i="157"/>
  <c r="F123" i="157"/>
  <c r="D214" i="157"/>
  <c r="E213" i="157"/>
  <c r="C214" i="157"/>
  <c r="B214" i="157" s="1"/>
  <c r="F213" i="157"/>
  <c r="F184" i="157"/>
  <c r="E184" i="157"/>
  <c r="D185" i="157"/>
  <c r="C185" i="157"/>
  <c r="B185" i="157" s="1"/>
  <c r="H180" i="157"/>
  <c r="D268" i="157"/>
  <c r="E267" i="157"/>
  <c r="F267" i="157"/>
  <c r="C268" i="157"/>
  <c r="B268" i="157" s="1"/>
  <c r="H119" i="157"/>
  <c r="O208" i="157"/>
  <c r="D154" i="157"/>
  <c r="E153" i="157"/>
  <c r="C154" i="157"/>
  <c r="F153" i="157"/>
  <c r="H236" i="157"/>
  <c r="H149" i="157"/>
  <c r="H263" i="157"/>
  <c r="H87" i="157"/>
  <c r="C60" i="157"/>
  <c r="F59" i="157"/>
  <c r="E59" i="157"/>
  <c r="D60" i="157"/>
  <c r="D92" i="157"/>
  <c r="C92" i="157"/>
  <c r="F91" i="157"/>
  <c r="E91" i="157"/>
  <c r="N208" i="157"/>
  <c r="O55" i="157"/>
  <c r="N31" i="157" l="1"/>
  <c r="R36" i="157"/>
  <c r="Q36" i="157"/>
  <c r="C33" i="157"/>
  <c r="E32" i="157"/>
  <c r="F32" i="157"/>
  <c r="O32" i="157"/>
  <c r="G33" i="157" s="1"/>
  <c r="O149" i="157"/>
  <c r="G150" i="157" s="1"/>
  <c r="N263" i="157"/>
  <c r="O180" i="157"/>
  <c r="G181" i="157" s="1"/>
  <c r="H50" i="157"/>
  <c r="G56" i="157"/>
  <c r="N87" i="157"/>
  <c r="O119" i="157"/>
  <c r="C269" i="157"/>
  <c r="B269" i="157" s="1"/>
  <c r="F268" i="157"/>
  <c r="D269" i="157"/>
  <c r="E268" i="157"/>
  <c r="F185" i="157"/>
  <c r="D186" i="157"/>
  <c r="E185" i="157"/>
  <c r="C186" i="157"/>
  <c r="B186" i="157" s="1"/>
  <c r="F60" i="157"/>
  <c r="C61" i="157"/>
  <c r="E60" i="157"/>
  <c r="D61" i="157"/>
  <c r="D155" i="157"/>
  <c r="C155" i="157"/>
  <c r="E154" i="157"/>
  <c r="F154" i="157"/>
  <c r="C215" i="157"/>
  <c r="B215" i="157" s="1"/>
  <c r="F214" i="157"/>
  <c r="E214" i="157"/>
  <c r="D215" i="157"/>
  <c r="E241" i="157"/>
  <c r="D242" i="157"/>
  <c r="F241" i="157"/>
  <c r="C242" i="157"/>
  <c r="B242" i="157" s="1"/>
  <c r="C93" i="157"/>
  <c r="F92" i="157"/>
  <c r="E92" i="157"/>
  <c r="D93" i="157"/>
  <c r="O236" i="157"/>
  <c r="O87" i="157"/>
  <c r="N149" i="157"/>
  <c r="N236" i="157"/>
  <c r="G209" i="157"/>
  <c r="N119" i="157"/>
  <c r="N180" i="157"/>
  <c r="C125" i="157"/>
  <c r="D125" i="157"/>
  <c r="F124" i="157"/>
  <c r="E124" i="157"/>
  <c r="J32" i="157" l="1"/>
  <c r="K32" i="157" s="1"/>
  <c r="M32" i="157" s="1"/>
  <c r="O33" i="157"/>
  <c r="G34" i="157" s="1"/>
  <c r="D33" i="157"/>
  <c r="B33" i="157"/>
  <c r="R37" i="157"/>
  <c r="Q37" i="157"/>
  <c r="I50" i="157"/>
  <c r="F242" i="157"/>
  <c r="D243" i="157"/>
  <c r="C243" i="157"/>
  <c r="B243" i="157" s="1"/>
  <c r="E242" i="157"/>
  <c r="H56" i="157"/>
  <c r="D187" i="157"/>
  <c r="E186" i="157"/>
  <c r="C187" i="157"/>
  <c r="B187" i="157" s="1"/>
  <c r="F186" i="157"/>
  <c r="H209" i="157"/>
  <c r="N209" i="157" s="1"/>
  <c r="G88" i="157"/>
  <c r="F215" i="157"/>
  <c r="E215" i="157"/>
  <c r="C216" i="157"/>
  <c r="B216" i="157" s="1"/>
  <c r="D216" i="157"/>
  <c r="C156" i="157"/>
  <c r="B156" i="157" s="1"/>
  <c r="E155" i="157"/>
  <c r="D156" i="157"/>
  <c r="F155" i="157"/>
  <c r="D270" i="157"/>
  <c r="E269" i="157"/>
  <c r="C270" i="157"/>
  <c r="B270" i="157" s="1"/>
  <c r="F269" i="157"/>
  <c r="F125" i="157"/>
  <c r="D126" i="157"/>
  <c r="C126" i="157"/>
  <c r="B126" i="157" s="1"/>
  <c r="E125" i="157"/>
  <c r="G237" i="157"/>
  <c r="H150" i="157"/>
  <c r="K263" i="157"/>
  <c r="O263" i="157"/>
  <c r="F93" i="157"/>
  <c r="C94" i="157"/>
  <c r="E93" i="157"/>
  <c r="D94" i="157"/>
  <c r="F61" i="157"/>
  <c r="D62" i="157"/>
  <c r="E61" i="157"/>
  <c r="C62" i="157"/>
  <c r="G120" i="157"/>
  <c r="H181" i="157"/>
  <c r="N32" i="157" l="1"/>
  <c r="Q38" i="157"/>
  <c r="R38" i="157"/>
  <c r="O34" i="157"/>
  <c r="G35" i="157" s="1"/>
  <c r="F33" i="157"/>
  <c r="E33" i="157"/>
  <c r="C34" i="157"/>
  <c r="N181" i="157"/>
  <c r="O56" i="157"/>
  <c r="G57" i="157" s="1"/>
  <c r="N56" i="157"/>
  <c r="M263" i="157"/>
  <c r="F126" i="157"/>
  <c r="D127" i="157"/>
  <c r="E126" i="157"/>
  <c r="C127" i="157"/>
  <c r="B127" i="157" s="1"/>
  <c r="D244" i="157"/>
  <c r="E243" i="157"/>
  <c r="F243" i="157"/>
  <c r="C244" i="157"/>
  <c r="B244" i="157" s="1"/>
  <c r="O181" i="157"/>
  <c r="D63" i="157"/>
  <c r="E62" i="157"/>
  <c r="C63" i="157"/>
  <c r="B63" i="157" s="1"/>
  <c r="F62" i="157"/>
  <c r="F270" i="157"/>
  <c r="C271" i="157"/>
  <c r="B271" i="157" s="1"/>
  <c r="E270" i="157"/>
  <c r="D271" i="157"/>
  <c r="F216" i="157"/>
  <c r="D217" i="157"/>
  <c r="E216" i="157"/>
  <c r="C217" i="157"/>
  <c r="B217" i="157" s="1"/>
  <c r="F94" i="157"/>
  <c r="D95" i="157"/>
  <c r="E94" i="157"/>
  <c r="C95" i="157"/>
  <c r="B95" i="157" s="1"/>
  <c r="G264" i="157"/>
  <c r="H264" i="157" s="1"/>
  <c r="H120" i="157"/>
  <c r="O150" i="157"/>
  <c r="C188" i="157"/>
  <c r="B188" i="157" s="1"/>
  <c r="F187" i="157"/>
  <c r="E187" i="157"/>
  <c r="D188" i="157"/>
  <c r="N150" i="157"/>
  <c r="H237" i="157"/>
  <c r="N237" i="157" s="1"/>
  <c r="F156" i="157"/>
  <c r="E156" i="157"/>
  <c r="D157" i="157"/>
  <c r="C157" i="157"/>
  <c r="B157" i="157" s="1"/>
  <c r="H88" i="157"/>
  <c r="O209" i="157"/>
  <c r="J33" i="157" l="1"/>
  <c r="K33" i="157" s="1"/>
  <c r="M33" i="157" s="1"/>
  <c r="N33" i="157"/>
  <c r="O35" i="157"/>
  <c r="G36" i="157" s="1"/>
  <c r="R39" i="157"/>
  <c r="Q39" i="157"/>
  <c r="D34" i="157"/>
  <c r="B34" i="157"/>
  <c r="F188" i="157"/>
  <c r="E188" i="157"/>
  <c r="D189" i="157"/>
  <c r="C189" i="157"/>
  <c r="B189" i="157" s="1"/>
  <c r="G151" i="157"/>
  <c r="G210" i="157"/>
  <c r="O88" i="157"/>
  <c r="D218" i="157"/>
  <c r="E217" i="157"/>
  <c r="C218" i="157"/>
  <c r="B218" i="157" s="1"/>
  <c r="F217" i="157"/>
  <c r="H57" i="157"/>
  <c r="C64" i="157"/>
  <c r="B64" i="157" s="1"/>
  <c r="E63" i="157"/>
  <c r="F63" i="157"/>
  <c r="D64" i="157"/>
  <c r="O264" i="157"/>
  <c r="N264" i="157"/>
  <c r="O120" i="157"/>
  <c r="N88" i="157"/>
  <c r="F157" i="157"/>
  <c r="D158" i="157"/>
  <c r="E157" i="157"/>
  <c r="C158" i="157"/>
  <c r="B158" i="157" s="1"/>
  <c r="N120" i="157"/>
  <c r="D96" i="157"/>
  <c r="E95" i="157"/>
  <c r="C96" i="157"/>
  <c r="B96" i="157" s="1"/>
  <c r="F95" i="157"/>
  <c r="D272" i="157"/>
  <c r="E271" i="157"/>
  <c r="F271" i="157"/>
  <c r="C272" i="157"/>
  <c r="B272" i="157" s="1"/>
  <c r="G182" i="157"/>
  <c r="C245" i="157"/>
  <c r="B245" i="157" s="1"/>
  <c r="D245" i="157"/>
  <c r="F244" i="157"/>
  <c r="E244" i="157"/>
  <c r="D128" i="157"/>
  <c r="E127" i="157"/>
  <c r="C128" i="157"/>
  <c r="B128" i="157" s="1"/>
  <c r="F127" i="157"/>
  <c r="C35" i="157" l="1"/>
  <c r="F34" i="157"/>
  <c r="E34" i="157"/>
  <c r="O36" i="157"/>
  <c r="G37" i="157" s="1"/>
  <c r="Q40" i="157"/>
  <c r="R40" i="157"/>
  <c r="C273" i="157"/>
  <c r="B273" i="157" s="1"/>
  <c r="F272" i="157"/>
  <c r="D273" i="157"/>
  <c r="E272" i="157"/>
  <c r="G121" i="157"/>
  <c r="H210" i="157"/>
  <c r="N210" i="157" s="1"/>
  <c r="C219" i="157"/>
  <c r="B219" i="157" s="1"/>
  <c r="F218" i="157"/>
  <c r="E218" i="157"/>
  <c r="D219" i="157"/>
  <c r="C129" i="157"/>
  <c r="B129" i="157" s="1"/>
  <c r="D129" i="157"/>
  <c r="F128" i="157"/>
  <c r="E128" i="157"/>
  <c r="K264" i="157"/>
  <c r="G89" i="157"/>
  <c r="H182" i="157"/>
  <c r="N182" i="157" s="1"/>
  <c r="C97" i="157"/>
  <c r="B97" i="157" s="1"/>
  <c r="F96" i="157"/>
  <c r="E96" i="157"/>
  <c r="D97" i="157"/>
  <c r="E245" i="157"/>
  <c r="C246" i="157"/>
  <c r="B246" i="157" s="1"/>
  <c r="F245" i="157"/>
  <c r="D246" i="157"/>
  <c r="D159" i="157"/>
  <c r="E158" i="157"/>
  <c r="C159" i="157"/>
  <c r="B159" i="157" s="1"/>
  <c r="F158" i="157"/>
  <c r="F64" i="157"/>
  <c r="C65" i="157"/>
  <c r="B65" i="157" s="1"/>
  <c r="E64" i="157"/>
  <c r="D65" i="157"/>
  <c r="O57" i="157"/>
  <c r="F189" i="157"/>
  <c r="D190" i="157"/>
  <c r="E189" i="157"/>
  <c r="C190" i="157"/>
  <c r="B190" i="157" s="1"/>
  <c r="K237" i="157"/>
  <c r="O237" i="157"/>
  <c r="G265" i="157"/>
  <c r="H265" i="157" s="1"/>
  <c r="N57" i="157"/>
  <c r="H151" i="157"/>
  <c r="J34" i="157" l="1"/>
  <c r="Q41" i="157"/>
  <c r="R41" i="157"/>
  <c r="O37" i="157"/>
  <c r="G38" i="157" s="1"/>
  <c r="K34" i="157"/>
  <c r="M34" i="157" s="1"/>
  <c r="N34" i="157"/>
  <c r="B35" i="157"/>
  <c r="D35" i="157"/>
  <c r="O265" i="157"/>
  <c r="G58" i="157"/>
  <c r="N151" i="157"/>
  <c r="M237" i="157"/>
  <c r="D191" i="157"/>
  <c r="E190" i="157"/>
  <c r="C191" i="157"/>
  <c r="B191" i="157" s="1"/>
  <c r="F190" i="157"/>
  <c r="H89" i="157"/>
  <c r="O89" i="157" s="1"/>
  <c r="M264" i="157"/>
  <c r="H121" i="157"/>
  <c r="N121" i="157" s="1"/>
  <c r="D274" i="157"/>
  <c r="E273" i="157"/>
  <c r="C274" i="157"/>
  <c r="B274" i="157" s="1"/>
  <c r="F273" i="157"/>
  <c r="G238" i="157"/>
  <c r="H238" i="157" s="1"/>
  <c r="C160" i="157"/>
  <c r="B160" i="157" s="1"/>
  <c r="E159" i="157"/>
  <c r="D160" i="157"/>
  <c r="F159" i="157"/>
  <c r="F129" i="157"/>
  <c r="D130" i="157"/>
  <c r="C130" i="157"/>
  <c r="B130" i="157" s="1"/>
  <c r="E129" i="157"/>
  <c r="F65" i="157"/>
  <c r="D66" i="157"/>
  <c r="E65" i="157"/>
  <c r="C66" i="157"/>
  <c r="B66" i="157" s="1"/>
  <c r="F97" i="157"/>
  <c r="C98" i="157"/>
  <c r="B98" i="157" s="1"/>
  <c r="E97" i="157"/>
  <c r="D98" i="157"/>
  <c r="O151" i="157"/>
  <c r="F246" i="157"/>
  <c r="D247" i="157"/>
  <c r="C247" i="157"/>
  <c r="B247" i="157" s="1"/>
  <c r="E246" i="157"/>
  <c r="F219" i="157"/>
  <c r="E219" i="157"/>
  <c r="C220" i="157"/>
  <c r="B220" i="157" s="1"/>
  <c r="D220" i="157"/>
  <c r="F35" i="157" l="1"/>
  <c r="C36" i="157"/>
  <c r="E35" i="157"/>
  <c r="O38" i="157"/>
  <c r="G39" i="157" s="1"/>
  <c r="R42" i="157"/>
  <c r="Q42" i="157"/>
  <c r="K182" i="157"/>
  <c r="D67" i="157"/>
  <c r="E66" i="157"/>
  <c r="C67" i="157"/>
  <c r="B67" i="157" s="1"/>
  <c r="F66" i="157"/>
  <c r="O121" i="157"/>
  <c r="G122" i="157" s="1"/>
  <c r="G90" i="157"/>
  <c r="F220" i="157"/>
  <c r="D221" i="157"/>
  <c r="E220" i="157"/>
  <c r="C221" i="157"/>
  <c r="B221" i="157" s="1"/>
  <c r="F98" i="157"/>
  <c r="D99" i="157"/>
  <c r="E98" i="157"/>
  <c r="C99" i="157"/>
  <c r="B99" i="157" s="1"/>
  <c r="F274" i="157"/>
  <c r="C275" i="157"/>
  <c r="B275" i="157" s="1"/>
  <c r="E274" i="157"/>
  <c r="D275" i="157"/>
  <c r="K265" i="157"/>
  <c r="H58" i="157"/>
  <c r="O58" i="157" s="1"/>
  <c r="G59" i="157" s="1"/>
  <c r="F130" i="157"/>
  <c r="D131" i="157"/>
  <c r="E130" i="157"/>
  <c r="C131" i="157"/>
  <c r="B131" i="157" s="1"/>
  <c r="O182" i="157"/>
  <c r="G183" i="157" s="1"/>
  <c r="H183" i="157" s="1"/>
  <c r="G152" i="157"/>
  <c r="G266" i="157"/>
  <c r="H266" i="157" s="1"/>
  <c r="K210" i="157"/>
  <c r="O210" i="157"/>
  <c r="D248" i="157"/>
  <c r="E247" i="157"/>
  <c r="C248" i="157"/>
  <c r="B248" i="157" s="1"/>
  <c r="F247" i="157"/>
  <c r="F160" i="157"/>
  <c r="E160" i="157"/>
  <c r="D161" i="157"/>
  <c r="C161" i="157"/>
  <c r="B161" i="157" s="1"/>
  <c r="O238" i="157"/>
  <c r="N238" i="157"/>
  <c r="N89" i="157"/>
  <c r="C192" i="157"/>
  <c r="B192" i="157" s="1"/>
  <c r="F191" i="157"/>
  <c r="E191" i="157"/>
  <c r="D192" i="157"/>
  <c r="N265" i="157"/>
  <c r="O39" i="157" l="1"/>
  <c r="G40" i="157" s="1"/>
  <c r="Q43" i="157"/>
  <c r="R43" i="157"/>
  <c r="B36" i="157"/>
  <c r="D36" i="157"/>
  <c r="J35" i="157"/>
  <c r="I266" i="157"/>
  <c r="O266" i="157" s="1"/>
  <c r="G267" i="157" s="1"/>
  <c r="I280" i="157"/>
  <c r="I277" i="157"/>
  <c r="I272" i="157"/>
  <c r="I270" i="157"/>
  <c r="I276" i="157"/>
  <c r="I282" i="157"/>
  <c r="I269" i="157"/>
  <c r="H284" i="157"/>
  <c r="I271" i="157"/>
  <c r="I268" i="157"/>
  <c r="I279" i="157"/>
  <c r="I281" i="157"/>
  <c r="I273" i="157"/>
  <c r="I274" i="157"/>
  <c r="I275" i="157"/>
  <c r="I267" i="157"/>
  <c r="I278" i="157"/>
  <c r="N58" i="157"/>
  <c r="H59" i="157"/>
  <c r="O59" i="157" s="1"/>
  <c r="G60" i="157" s="1"/>
  <c r="H152" i="157"/>
  <c r="N152" i="157" s="1"/>
  <c r="F192" i="157"/>
  <c r="E192" i="157"/>
  <c r="D193" i="157"/>
  <c r="C193" i="157"/>
  <c r="B193" i="157" s="1"/>
  <c r="G211" i="157"/>
  <c r="H211" i="157" s="1"/>
  <c r="M265" i="157"/>
  <c r="G239" i="157"/>
  <c r="H239" i="157" s="1"/>
  <c r="C249" i="157"/>
  <c r="B249" i="157" s="1"/>
  <c r="D249" i="157"/>
  <c r="F248" i="157"/>
  <c r="E248" i="157"/>
  <c r="M210" i="157"/>
  <c r="J266" i="157"/>
  <c r="N266" i="157" s="1"/>
  <c r="D132" i="157"/>
  <c r="E131" i="157"/>
  <c r="C132" i="157"/>
  <c r="B132" i="157" s="1"/>
  <c r="F131" i="157"/>
  <c r="M182" i="157"/>
  <c r="F161" i="157"/>
  <c r="D162" i="157"/>
  <c r="E161" i="157"/>
  <c r="C162" i="157"/>
  <c r="B162" i="157" s="1"/>
  <c r="K238" i="157"/>
  <c r="C68" i="157"/>
  <c r="B68" i="157" s="1"/>
  <c r="E67" i="157"/>
  <c r="F67" i="157"/>
  <c r="D68" i="157"/>
  <c r="N183" i="157"/>
  <c r="O183" i="157"/>
  <c r="G184" i="157" s="1"/>
  <c r="H184" i="157" s="1"/>
  <c r="D276" i="157"/>
  <c r="E275" i="157"/>
  <c r="F275" i="157"/>
  <c r="C276" i="157"/>
  <c r="B276" i="157" s="1"/>
  <c r="D100" i="157"/>
  <c r="E99" i="157"/>
  <c r="C100" i="157"/>
  <c r="B100" i="157" s="1"/>
  <c r="F99" i="157"/>
  <c r="H90" i="157"/>
  <c r="N90" i="157" s="1"/>
  <c r="D222" i="157"/>
  <c r="E221" i="157"/>
  <c r="C222" i="157"/>
  <c r="B222" i="157" s="1"/>
  <c r="F221" i="157"/>
  <c r="H122" i="157"/>
  <c r="N122" i="157" s="1"/>
  <c r="K35" i="157" l="1"/>
  <c r="M35" i="157" s="1"/>
  <c r="N35" i="157"/>
  <c r="E36" i="157"/>
  <c r="F36" i="157"/>
  <c r="J36" i="157" s="1"/>
  <c r="C37" i="157"/>
  <c r="Q44" i="157"/>
  <c r="R44" i="157"/>
  <c r="O40" i="157"/>
  <c r="G41" i="157" s="1"/>
  <c r="I284" i="157"/>
  <c r="O152" i="157"/>
  <c r="G153" i="157" s="1"/>
  <c r="H153" i="157" s="1"/>
  <c r="H60" i="157"/>
  <c r="N60" i="157" s="1"/>
  <c r="C133" i="157"/>
  <c r="B133" i="157" s="1"/>
  <c r="D133" i="157"/>
  <c r="F132" i="157"/>
  <c r="E132" i="157"/>
  <c r="E249" i="157"/>
  <c r="D250" i="157"/>
  <c r="C250" i="157"/>
  <c r="B250" i="157" s="1"/>
  <c r="F249" i="157"/>
  <c r="O122" i="157"/>
  <c r="G123" i="157" s="1"/>
  <c r="O90" i="157"/>
  <c r="G91" i="157" s="1"/>
  <c r="C101" i="157"/>
  <c r="B101" i="157" s="1"/>
  <c r="E100" i="157"/>
  <c r="F100" i="157"/>
  <c r="D101" i="157"/>
  <c r="C277" i="157"/>
  <c r="B277" i="157" s="1"/>
  <c r="F276" i="157"/>
  <c r="D277" i="157"/>
  <c r="E276" i="157"/>
  <c r="F68" i="157"/>
  <c r="C69" i="157"/>
  <c r="B69" i="157" s="1"/>
  <c r="E68" i="157"/>
  <c r="D69" i="157"/>
  <c r="M238" i="157"/>
  <c r="D163" i="157"/>
  <c r="E162" i="157"/>
  <c r="C163" i="157"/>
  <c r="B163" i="157" s="1"/>
  <c r="F162" i="157"/>
  <c r="K266" i="157"/>
  <c r="N59" i="157"/>
  <c r="O184" i="157"/>
  <c r="G185" i="157" s="1"/>
  <c r="H185" i="157" s="1"/>
  <c r="I185" i="157" s="1"/>
  <c r="K184" i="157"/>
  <c r="M184" i="157" s="1"/>
  <c r="D223" i="157"/>
  <c r="C223" i="157"/>
  <c r="B223" i="157" s="1"/>
  <c r="F222" i="157"/>
  <c r="E222" i="157"/>
  <c r="K183" i="157"/>
  <c r="J267" i="157"/>
  <c r="K267" i="157" s="1"/>
  <c r="M267" i="157" s="1"/>
  <c r="O267" i="157"/>
  <c r="G268" i="157" s="1"/>
  <c r="O211" i="157"/>
  <c r="G212" i="157" s="1"/>
  <c r="H212" i="157" s="1"/>
  <c r="F193" i="157"/>
  <c r="D194" i="157"/>
  <c r="E193" i="157"/>
  <c r="C194" i="157"/>
  <c r="B194" i="157" s="1"/>
  <c r="O41" i="157" l="1"/>
  <c r="G42" i="157" s="1"/>
  <c r="K36" i="157"/>
  <c r="M36" i="157" s="1"/>
  <c r="N36" i="157"/>
  <c r="R45" i="157"/>
  <c r="Q45" i="157"/>
  <c r="B37" i="157"/>
  <c r="D37" i="157"/>
  <c r="I186" i="157"/>
  <c r="I201" i="157"/>
  <c r="I198" i="157"/>
  <c r="I197" i="157"/>
  <c r="I192" i="157"/>
  <c r="I195" i="157"/>
  <c r="I191" i="157"/>
  <c r="I188" i="157"/>
  <c r="I199" i="157"/>
  <c r="I190" i="157"/>
  <c r="H203" i="157"/>
  <c r="I189" i="157"/>
  <c r="I196" i="157"/>
  <c r="I194" i="157"/>
  <c r="I187" i="157"/>
  <c r="I200" i="157"/>
  <c r="I193" i="157"/>
  <c r="O239" i="157"/>
  <c r="G240" i="157" s="1"/>
  <c r="N184" i="157"/>
  <c r="O212" i="157"/>
  <c r="G213" i="157" s="1"/>
  <c r="H213" i="157" s="1"/>
  <c r="I213" i="157" s="1"/>
  <c r="K212" i="157"/>
  <c r="M212" i="157" s="1"/>
  <c r="O268" i="157"/>
  <c r="G269" i="157" s="1"/>
  <c r="J268" i="157"/>
  <c r="K268" i="157" s="1"/>
  <c r="M268" i="157" s="1"/>
  <c r="H123" i="157"/>
  <c r="O185" i="157"/>
  <c r="G186" i="157" s="1"/>
  <c r="J185" i="157"/>
  <c r="N185" i="157" s="1"/>
  <c r="K239" i="157"/>
  <c r="N267" i="157"/>
  <c r="C224" i="157"/>
  <c r="B224" i="157" s="1"/>
  <c r="D224" i="157"/>
  <c r="F223" i="157"/>
  <c r="E223" i="157"/>
  <c r="F69" i="157"/>
  <c r="D70" i="157"/>
  <c r="E69" i="157"/>
  <c r="C70" i="157"/>
  <c r="B70" i="157" s="1"/>
  <c r="F101" i="157"/>
  <c r="C102" i="157"/>
  <c r="B102" i="157" s="1"/>
  <c r="E101" i="157"/>
  <c r="D102" i="157"/>
  <c r="H91" i="157"/>
  <c r="O91" i="157" s="1"/>
  <c r="G92" i="157" s="1"/>
  <c r="F250" i="157"/>
  <c r="D251" i="157"/>
  <c r="C251" i="157"/>
  <c r="B251" i="157" s="1"/>
  <c r="E250" i="157"/>
  <c r="F133" i="157"/>
  <c r="D134" i="157"/>
  <c r="C134" i="157"/>
  <c r="B134" i="157" s="1"/>
  <c r="E133" i="157"/>
  <c r="D195" i="157"/>
  <c r="E194" i="157"/>
  <c r="C195" i="157"/>
  <c r="B195" i="157" s="1"/>
  <c r="F194" i="157"/>
  <c r="K211" i="157"/>
  <c r="N211" i="157"/>
  <c r="N239" i="157"/>
  <c r="M183" i="157"/>
  <c r="M266" i="157"/>
  <c r="C164" i="157"/>
  <c r="B164" i="157" s="1"/>
  <c r="E163" i="157"/>
  <c r="D164" i="157"/>
  <c r="F163" i="157"/>
  <c r="D278" i="157"/>
  <c r="E277" i="157"/>
  <c r="C278" i="157"/>
  <c r="B278" i="157" s="1"/>
  <c r="F277" i="157"/>
  <c r="N153" i="157"/>
  <c r="O60" i="157"/>
  <c r="G61" i="157" s="1"/>
  <c r="H61" i="157" s="1"/>
  <c r="F37" i="157" l="1"/>
  <c r="J37" i="157" s="1"/>
  <c r="E37" i="157"/>
  <c r="C38" i="157"/>
  <c r="Q46" i="157"/>
  <c r="R46" i="157"/>
  <c r="O42" i="157"/>
  <c r="G43" i="157" s="1"/>
  <c r="I203" i="157"/>
  <c r="I223" i="157"/>
  <c r="J240" i="157"/>
  <c r="H240" i="157"/>
  <c r="I227" i="157"/>
  <c r="I219" i="157"/>
  <c r="I217" i="157"/>
  <c r="I222" i="157"/>
  <c r="I220" i="157"/>
  <c r="H231" i="157"/>
  <c r="I224" i="157"/>
  <c r="I214" i="157"/>
  <c r="I215" i="157"/>
  <c r="I216" i="157"/>
  <c r="I221" i="157"/>
  <c r="I225" i="157"/>
  <c r="I228" i="157"/>
  <c r="I229" i="157"/>
  <c r="I218" i="157"/>
  <c r="I226" i="157"/>
  <c r="N268" i="157"/>
  <c r="N212" i="157"/>
  <c r="H92" i="157"/>
  <c r="N92" i="157" s="1"/>
  <c r="O61" i="157"/>
  <c r="G62" i="157" s="1"/>
  <c r="H62" i="157" s="1"/>
  <c r="K61" i="157"/>
  <c r="M61" i="157" s="1"/>
  <c r="F278" i="157"/>
  <c r="C279" i="157"/>
  <c r="B279" i="157" s="1"/>
  <c r="E278" i="157"/>
  <c r="D279" i="157"/>
  <c r="F134" i="157"/>
  <c r="D135" i="157"/>
  <c r="E134" i="157"/>
  <c r="C135" i="157"/>
  <c r="B135" i="157" s="1"/>
  <c r="E251" i="157"/>
  <c r="C252" i="157"/>
  <c r="B252" i="157" s="1"/>
  <c r="F251" i="157"/>
  <c r="D252" i="157"/>
  <c r="N91" i="157"/>
  <c r="F224" i="157"/>
  <c r="D225" i="157"/>
  <c r="E224" i="157"/>
  <c r="C225" i="157"/>
  <c r="B225" i="157" s="1"/>
  <c r="M239" i="157"/>
  <c r="J269" i="157"/>
  <c r="O269" i="157"/>
  <c r="G270" i="157" s="1"/>
  <c r="C196" i="157"/>
  <c r="B196" i="157" s="1"/>
  <c r="F195" i="157"/>
  <c r="E195" i="157"/>
  <c r="D196" i="157"/>
  <c r="K153" i="157"/>
  <c r="O153" i="157"/>
  <c r="G154" i="157" s="1"/>
  <c r="H154" i="157" s="1"/>
  <c r="F102" i="157"/>
  <c r="D103" i="157"/>
  <c r="E102" i="157"/>
  <c r="C103" i="157"/>
  <c r="B103" i="157" s="1"/>
  <c r="J186" i="157"/>
  <c r="K186" i="157" s="1"/>
  <c r="M186" i="157" s="1"/>
  <c r="O186" i="157"/>
  <c r="G187" i="157" s="1"/>
  <c r="F164" i="157"/>
  <c r="E164" i="157"/>
  <c r="D165" i="157"/>
  <c r="C165" i="157"/>
  <c r="B165" i="157" s="1"/>
  <c r="K60" i="157"/>
  <c r="O123" i="157"/>
  <c r="G124" i="157" s="1"/>
  <c r="H124" i="157" s="1"/>
  <c r="M211" i="157"/>
  <c r="D71" i="157"/>
  <c r="E70" i="157"/>
  <c r="C71" i="157"/>
  <c r="B71" i="157" s="1"/>
  <c r="F70" i="157"/>
  <c r="K185" i="157"/>
  <c r="N123" i="157"/>
  <c r="J213" i="157"/>
  <c r="N213" i="157" s="1"/>
  <c r="O213" i="157"/>
  <c r="G214" i="157" s="1"/>
  <c r="D38" i="157" l="1"/>
  <c r="B38" i="157"/>
  <c r="O43" i="157"/>
  <c r="G44" i="157" s="1"/>
  <c r="Q47" i="157"/>
  <c r="R47" i="157"/>
  <c r="K37" i="157"/>
  <c r="M37" i="157" s="1"/>
  <c r="N37" i="157"/>
  <c r="N240" i="157"/>
  <c r="I231" i="157"/>
  <c r="I240" i="157"/>
  <c r="K240" i="157" s="1"/>
  <c r="M240" i="157" s="1"/>
  <c r="I255" i="157"/>
  <c r="I242" i="157"/>
  <c r="I241" i="157"/>
  <c r="I253" i="157"/>
  <c r="I252" i="157"/>
  <c r="I246" i="157"/>
  <c r="I243" i="157"/>
  <c r="H258" i="157"/>
  <c r="I251" i="157"/>
  <c r="I248" i="157"/>
  <c r="I247" i="157"/>
  <c r="I245" i="157"/>
  <c r="I256" i="157"/>
  <c r="I250" i="157"/>
  <c r="I244" i="157"/>
  <c r="I249" i="157"/>
  <c r="I254" i="157"/>
  <c r="O154" i="157"/>
  <c r="G155" i="157" s="1"/>
  <c r="H155" i="157" s="1"/>
  <c r="N61" i="157"/>
  <c r="O214" i="157"/>
  <c r="G215" i="157" s="1"/>
  <c r="J214" i="157"/>
  <c r="K214" i="157" s="1"/>
  <c r="M214" i="157" s="1"/>
  <c r="M185" i="157"/>
  <c r="F165" i="157"/>
  <c r="D166" i="157"/>
  <c r="E165" i="157"/>
  <c r="C166" i="157"/>
  <c r="B166" i="157" s="1"/>
  <c r="D104" i="157"/>
  <c r="E103" i="157"/>
  <c r="C104" i="157"/>
  <c r="B104" i="157" s="1"/>
  <c r="F103" i="157"/>
  <c r="N154" i="157"/>
  <c r="O124" i="157"/>
  <c r="G125" i="157" s="1"/>
  <c r="H125" i="157" s="1"/>
  <c r="K124" i="157"/>
  <c r="M124" i="157" s="1"/>
  <c r="K123" i="157"/>
  <c r="N186" i="157"/>
  <c r="M153" i="157"/>
  <c r="O270" i="157"/>
  <c r="G271" i="157" s="1"/>
  <c r="J270" i="157"/>
  <c r="K270" i="157" s="1"/>
  <c r="M270" i="157" s="1"/>
  <c r="D136" i="157"/>
  <c r="E135" i="157"/>
  <c r="C136" i="157"/>
  <c r="B136" i="157" s="1"/>
  <c r="F135" i="157"/>
  <c r="M60" i="157"/>
  <c r="K269" i="157"/>
  <c r="M269" i="157" s="1"/>
  <c r="D280" i="157"/>
  <c r="E279" i="157"/>
  <c r="F279" i="157"/>
  <c r="C280" i="157"/>
  <c r="B280" i="157" s="1"/>
  <c r="K213" i="157"/>
  <c r="C72" i="157"/>
  <c r="B72" i="157" s="1"/>
  <c r="E71" i="157"/>
  <c r="F71" i="157"/>
  <c r="D72" i="157"/>
  <c r="J187" i="157"/>
  <c r="K187" i="157" s="1"/>
  <c r="M187" i="157" s="1"/>
  <c r="O187" i="157"/>
  <c r="G188" i="157" s="1"/>
  <c r="F196" i="157"/>
  <c r="E196" i="157"/>
  <c r="D197" i="157"/>
  <c r="C197" i="157"/>
  <c r="B197" i="157" s="1"/>
  <c r="N269" i="157"/>
  <c r="F225" i="157"/>
  <c r="D226" i="157"/>
  <c r="E225" i="157"/>
  <c r="C226" i="157"/>
  <c r="B226" i="157" s="1"/>
  <c r="D253" i="157"/>
  <c r="E252" i="157"/>
  <c r="F252" i="157"/>
  <c r="C253" i="157"/>
  <c r="B253" i="157" s="1"/>
  <c r="O62" i="157"/>
  <c r="G63" i="157" s="1"/>
  <c r="H63" i="157" s="1"/>
  <c r="I63" i="157" s="1"/>
  <c r="Q48" i="157" l="1"/>
  <c r="R48" i="157"/>
  <c r="O44" i="157"/>
  <c r="G45" i="157" s="1"/>
  <c r="C39" i="157"/>
  <c r="E38" i="157"/>
  <c r="F38" i="157"/>
  <c r="J38" i="157" s="1"/>
  <c r="O240" i="157"/>
  <c r="G241" i="157" s="1"/>
  <c r="O241" i="157" s="1"/>
  <c r="G242" i="157" s="1"/>
  <c r="I69" i="157"/>
  <c r="I70" i="157"/>
  <c r="I78" i="157"/>
  <c r="I73" i="157"/>
  <c r="I72" i="157"/>
  <c r="I66" i="157"/>
  <c r="I75" i="157"/>
  <c r="H81" i="157"/>
  <c r="I68" i="157"/>
  <c r="I64" i="157"/>
  <c r="I76" i="157"/>
  <c r="I77" i="157"/>
  <c r="I65" i="157"/>
  <c r="I79" i="157"/>
  <c r="I74" i="157"/>
  <c r="I71" i="157"/>
  <c r="I67" i="157"/>
  <c r="I258" i="157"/>
  <c r="N187" i="157"/>
  <c r="K92" i="157"/>
  <c r="O92" i="157"/>
  <c r="G93" i="157" s="1"/>
  <c r="H93" i="157" s="1"/>
  <c r="O188" i="157"/>
  <c r="G189" i="157" s="1"/>
  <c r="J188" i="157"/>
  <c r="N188" i="157" s="1"/>
  <c r="F72" i="157"/>
  <c r="C73" i="157"/>
  <c r="B73" i="157" s="1"/>
  <c r="E72" i="157"/>
  <c r="D73" i="157"/>
  <c r="J271" i="157"/>
  <c r="K271" i="157" s="1"/>
  <c r="M271" i="157" s="1"/>
  <c r="O271" i="157"/>
  <c r="G272" i="157" s="1"/>
  <c r="C105" i="157"/>
  <c r="B105" i="157" s="1"/>
  <c r="E104" i="157"/>
  <c r="F104" i="157"/>
  <c r="D105" i="157"/>
  <c r="O63" i="157"/>
  <c r="G64" i="157" s="1"/>
  <c r="J63" i="157"/>
  <c r="D227" i="157"/>
  <c r="E226" i="157"/>
  <c r="C227" i="157"/>
  <c r="B227" i="157" s="1"/>
  <c r="F226" i="157"/>
  <c r="F197" i="157"/>
  <c r="D198" i="157"/>
  <c r="E197" i="157"/>
  <c r="C198" i="157"/>
  <c r="B198" i="157" s="1"/>
  <c r="O125" i="157"/>
  <c r="G126" i="157" s="1"/>
  <c r="H126" i="157" s="1"/>
  <c r="I126" i="157" s="1"/>
  <c r="K125" i="157"/>
  <c r="M125" i="157" s="1"/>
  <c r="K62" i="157"/>
  <c r="F253" i="157"/>
  <c r="C254" i="157"/>
  <c r="B254" i="157" s="1"/>
  <c r="E253" i="157"/>
  <c r="D254" i="157"/>
  <c r="M123" i="157"/>
  <c r="O155" i="157"/>
  <c r="G156" i="157" s="1"/>
  <c r="H156" i="157" s="1"/>
  <c r="I156" i="157" s="1"/>
  <c r="K155" i="157"/>
  <c r="M155" i="157" s="1"/>
  <c r="O215" i="157"/>
  <c r="G216" i="157" s="1"/>
  <c r="J215" i="157"/>
  <c r="N215" i="157" s="1"/>
  <c r="N62" i="157"/>
  <c r="M213" i="157"/>
  <c r="C281" i="157"/>
  <c r="B281" i="157" s="1"/>
  <c r="F280" i="157"/>
  <c r="D281" i="157"/>
  <c r="E280" i="157"/>
  <c r="C137" i="157"/>
  <c r="B137" i="157" s="1"/>
  <c r="D137" i="157"/>
  <c r="F136" i="157"/>
  <c r="E136" i="157"/>
  <c r="N270" i="157"/>
  <c r="N124" i="157"/>
  <c r="K154" i="157"/>
  <c r="D167" i="157"/>
  <c r="E166" i="157"/>
  <c r="C167" i="157"/>
  <c r="B167" i="157" s="1"/>
  <c r="F166" i="157"/>
  <c r="N214" i="157"/>
  <c r="K38" i="157" l="1"/>
  <c r="M38" i="157" s="1"/>
  <c r="N38" i="157"/>
  <c r="O45" i="157"/>
  <c r="G46" i="157" s="1"/>
  <c r="B39" i="157"/>
  <c r="D39" i="157"/>
  <c r="J241" i="157"/>
  <c r="K241" i="157" s="1"/>
  <c r="M241" i="157" s="1"/>
  <c r="N63" i="157"/>
  <c r="I133" i="157"/>
  <c r="I134" i="157"/>
  <c r="H174" i="157"/>
  <c r="I160" i="157"/>
  <c r="I170" i="157"/>
  <c r="I129" i="157"/>
  <c r="I138" i="157"/>
  <c r="I165" i="157"/>
  <c r="I157" i="157"/>
  <c r="I127" i="157"/>
  <c r="I132" i="157"/>
  <c r="I141" i="157"/>
  <c r="I167" i="157"/>
  <c r="I81" i="157"/>
  <c r="I136" i="157"/>
  <c r="H144" i="157"/>
  <c r="I162" i="157"/>
  <c r="I172" i="157"/>
  <c r="I140" i="157"/>
  <c r="I139" i="157"/>
  <c r="I130" i="157"/>
  <c r="I128" i="157"/>
  <c r="I168" i="157"/>
  <c r="I171" i="157"/>
  <c r="I166" i="157"/>
  <c r="I159" i="157"/>
  <c r="I169" i="157"/>
  <c r="I137" i="157"/>
  <c r="I131" i="157"/>
  <c r="I135" i="157"/>
  <c r="I161" i="157"/>
  <c r="I142" i="157"/>
  <c r="I163" i="157"/>
  <c r="I164" i="157"/>
  <c r="I158" i="157"/>
  <c r="O242" i="157"/>
  <c r="G243" i="157" s="1"/>
  <c r="J242" i="157"/>
  <c r="N271" i="157"/>
  <c r="M154" i="157"/>
  <c r="O156" i="157"/>
  <c r="G157" i="157" s="1"/>
  <c r="J156" i="157"/>
  <c r="K156" i="157" s="1"/>
  <c r="M156" i="157" s="1"/>
  <c r="M62" i="157"/>
  <c r="O126" i="157"/>
  <c r="G127" i="157" s="1"/>
  <c r="J126" i="157"/>
  <c r="K126" i="157" s="1"/>
  <c r="M126" i="157" s="1"/>
  <c r="C228" i="157"/>
  <c r="B228" i="157" s="1"/>
  <c r="E227" i="157"/>
  <c r="D228" i="157"/>
  <c r="F227" i="157"/>
  <c r="O272" i="157"/>
  <c r="G273" i="157" s="1"/>
  <c r="J272" i="157"/>
  <c r="K272" i="157" s="1"/>
  <c r="M272" i="157" s="1"/>
  <c r="O216" i="157"/>
  <c r="G217" i="157" s="1"/>
  <c r="J216" i="157"/>
  <c r="K216" i="157" s="1"/>
  <c r="M216" i="157" s="1"/>
  <c r="D255" i="157"/>
  <c r="E254" i="157"/>
  <c r="C255" i="157"/>
  <c r="B255" i="157" s="1"/>
  <c r="F254" i="157"/>
  <c r="F73" i="157"/>
  <c r="D74" i="157"/>
  <c r="E73" i="157"/>
  <c r="C74" i="157"/>
  <c r="B74" i="157" s="1"/>
  <c r="K188" i="157"/>
  <c r="N93" i="157"/>
  <c r="F137" i="157"/>
  <c r="D138" i="157"/>
  <c r="C138" i="157"/>
  <c r="B138" i="157" s="1"/>
  <c r="E137" i="157"/>
  <c r="K63" i="157"/>
  <c r="M63" i="157" s="1"/>
  <c r="M92" i="157"/>
  <c r="C168" i="157"/>
  <c r="B168" i="157" s="1"/>
  <c r="E167" i="157"/>
  <c r="D168" i="157"/>
  <c r="F167" i="157"/>
  <c r="D282" i="157"/>
  <c r="E281" i="157"/>
  <c r="C282" i="157"/>
  <c r="B282" i="157" s="1"/>
  <c r="F281" i="157"/>
  <c r="K215" i="157"/>
  <c r="N155" i="157"/>
  <c r="N125" i="157"/>
  <c r="D199" i="157"/>
  <c r="E198" i="157"/>
  <c r="C199" i="157"/>
  <c r="B199" i="157" s="1"/>
  <c r="F198" i="157"/>
  <c r="O64" i="157"/>
  <c r="G65" i="157" s="1"/>
  <c r="J64" i="157"/>
  <c r="F105" i="157"/>
  <c r="C106" i="157"/>
  <c r="B106" i="157" s="1"/>
  <c r="E105" i="157"/>
  <c r="D106" i="157"/>
  <c r="O189" i="157"/>
  <c r="G190" i="157" s="1"/>
  <c r="J189" i="157"/>
  <c r="K189" i="157" s="1"/>
  <c r="M189" i="157" s="1"/>
  <c r="N241" i="157" l="1"/>
  <c r="O46" i="157"/>
  <c r="G47" i="157" s="1"/>
  <c r="F39" i="157"/>
  <c r="C40" i="157"/>
  <c r="E39" i="157"/>
  <c r="N64" i="157"/>
  <c r="I174" i="157"/>
  <c r="I144" i="157"/>
  <c r="K242" i="157"/>
  <c r="M242" i="157" s="1"/>
  <c r="N242" i="157"/>
  <c r="J243" i="157"/>
  <c r="O243" i="157"/>
  <c r="G244" i="157" s="1"/>
  <c r="O93" i="157"/>
  <c r="G94" i="157" s="1"/>
  <c r="N156" i="157"/>
  <c r="N189" i="157"/>
  <c r="N272" i="157"/>
  <c r="J190" i="157"/>
  <c r="O190" i="157"/>
  <c r="G191" i="157" s="1"/>
  <c r="C200" i="157"/>
  <c r="B200" i="157" s="1"/>
  <c r="F199" i="157"/>
  <c r="E199" i="157"/>
  <c r="D200" i="157"/>
  <c r="M215" i="157"/>
  <c r="F282" i="157"/>
  <c r="E282" i="157"/>
  <c r="F138" i="157"/>
  <c r="D139" i="157"/>
  <c r="E138" i="157"/>
  <c r="C139" i="157"/>
  <c r="B139" i="157" s="1"/>
  <c r="D75" i="157"/>
  <c r="E74" i="157"/>
  <c r="C75" i="157"/>
  <c r="B75" i="157" s="1"/>
  <c r="F74" i="157"/>
  <c r="O157" i="157"/>
  <c r="G158" i="157" s="1"/>
  <c r="J157" i="157"/>
  <c r="F106" i="157"/>
  <c r="D107" i="157"/>
  <c r="E106" i="157"/>
  <c r="C107" i="157"/>
  <c r="B107" i="157" s="1"/>
  <c r="F168" i="157"/>
  <c r="E168" i="157"/>
  <c r="D169" i="157"/>
  <c r="C169" i="157"/>
  <c r="B169" i="157" s="1"/>
  <c r="M188" i="157"/>
  <c r="N216" i="157"/>
  <c r="J273" i="157"/>
  <c r="K273" i="157" s="1"/>
  <c r="M273" i="157" s="1"/>
  <c r="O273" i="157"/>
  <c r="G274" i="157" s="1"/>
  <c r="O65" i="157"/>
  <c r="G66" i="157" s="1"/>
  <c r="J65" i="157"/>
  <c r="J127" i="157"/>
  <c r="N127" i="157" s="1"/>
  <c r="O127" i="157"/>
  <c r="G128" i="157" s="1"/>
  <c r="K64" i="157"/>
  <c r="K93" i="157"/>
  <c r="C256" i="157"/>
  <c r="B256" i="157" s="1"/>
  <c r="F255" i="157"/>
  <c r="D256" i="157"/>
  <c r="E255" i="157"/>
  <c r="J217" i="157"/>
  <c r="K217" i="157" s="1"/>
  <c r="M217" i="157" s="1"/>
  <c r="O217" i="157"/>
  <c r="G218" i="157" s="1"/>
  <c r="F228" i="157"/>
  <c r="E228" i="157"/>
  <c r="D229" i="157"/>
  <c r="C229" i="157"/>
  <c r="B229" i="157" s="1"/>
  <c r="N126" i="157"/>
  <c r="J39" i="157" l="1"/>
  <c r="K39" i="157" s="1"/>
  <c r="M39" i="157" s="1"/>
  <c r="B40" i="157"/>
  <c r="D40" i="157"/>
  <c r="O47" i="157"/>
  <c r="G48" i="157" s="1"/>
  <c r="J244" i="157"/>
  <c r="K244" i="157" s="1"/>
  <c r="M244" i="157" s="1"/>
  <c r="O244" i="157"/>
  <c r="G245" i="157" s="1"/>
  <c r="N243" i="157"/>
  <c r="K243" i="157"/>
  <c r="M243" i="157" s="1"/>
  <c r="H94" i="157"/>
  <c r="N217" i="157"/>
  <c r="F229" i="157"/>
  <c r="E229" i="157"/>
  <c r="E256" i="157"/>
  <c r="F256" i="157"/>
  <c r="K65" i="157"/>
  <c r="M65" i="157" s="1"/>
  <c r="D108" i="157"/>
  <c r="E107" i="157"/>
  <c r="C108" i="157"/>
  <c r="B108" i="157" s="1"/>
  <c r="F107" i="157"/>
  <c r="J158" i="157"/>
  <c r="K158" i="157" s="1"/>
  <c r="M158" i="157" s="1"/>
  <c r="O158" i="157"/>
  <c r="G159" i="157" s="1"/>
  <c r="C76" i="157"/>
  <c r="B76" i="157" s="1"/>
  <c r="E75" i="157"/>
  <c r="F75" i="157"/>
  <c r="D76" i="157"/>
  <c r="N65" i="157"/>
  <c r="O274" i="157"/>
  <c r="G275" i="157" s="1"/>
  <c r="J274" i="157"/>
  <c r="K274" i="157" s="1"/>
  <c r="M274" i="157" s="1"/>
  <c r="F200" i="157"/>
  <c r="E200" i="157"/>
  <c r="D201" i="157"/>
  <c r="C201" i="157"/>
  <c r="B201" i="157" s="1"/>
  <c r="J191" i="157"/>
  <c r="K191" i="157" s="1"/>
  <c r="M191" i="157" s="1"/>
  <c r="O191" i="157"/>
  <c r="G192" i="157" s="1"/>
  <c r="O218" i="157"/>
  <c r="G219" i="157" s="1"/>
  <c r="J218" i="157"/>
  <c r="K218" i="157" s="1"/>
  <c r="M218" i="157" s="1"/>
  <c r="M93" i="157"/>
  <c r="O128" i="157"/>
  <c r="G129" i="157" s="1"/>
  <c r="J128" i="157"/>
  <c r="K128" i="157" s="1"/>
  <c r="M128" i="157" s="1"/>
  <c r="J66" i="157"/>
  <c r="O66" i="157"/>
  <c r="G67" i="157" s="1"/>
  <c r="K157" i="157"/>
  <c r="K190" i="157"/>
  <c r="M190" i="157" s="1"/>
  <c r="M64" i="157"/>
  <c r="K127" i="157"/>
  <c r="N273" i="157"/>
  <c r="F169" i="157"/>
  <c r="D170" i="157"/>
  <c r="E169" i="157"/>
  <c r="C170" i="157"/>
  <c r="B170" i="157" s="1"/>
  <c r="N157" i="157"/>
  <c r="D140" i="157"/>
  <c r="E139" i="157"/>
  <c r="C140" i="157"/>
  <c r="B140" i="157" s="1"/>
  <c r="F139" i="157"/>
  <c r="N190" i="157"/>
  <c r="N39" i="157" l="1"/>
  <c r="C41" i="157"/>
  <c r="E40" i="157"/>
  <c r="F40" i="157"/>
  <c r="J40" i="157" s="1"/>
  <c r="O48" i="157"/>
  <c r="N244" i="157"/>
  <c r="N66" i="157"/>
  <c r="J245" i="157"/>
  <c r="O245" i="157"/>
  <c r="G246" i="157" s="1"/>
  <c r="N94" i="157"/>
  <c r="N191" i="157"/>
  <c r="N218" i="157"/>
  <c r="N158" i="157"/>
  <c r="O67" i="157"/>
  <c r="G68" i="157" s="1"/>
  <c r="J67" i="157"/>
  <c r="O192" i="157"/>
  <c r="G193" i="157" s="1"/>
  <c r="J192" i="157"/>
  <c r="K192" i="157" s="1"/>
  <c r="M192" i="157" s="1"/>
  <c r="F201" i="157"/>
  <c r="E201" i="157"/>
  <c r="J275" i="157"/>
  <c r="K275" i="157" s="1"/>
  <c r="M275" i="157" s="1"/>
  <c r="O275" i="157"/>
  <c r="G276" i="157" s="1"/>
  <c r="F76" i="157"/>
  <c r="C77" i="157"/>
  <c r="B77" i="157" s="1"/>
  <c r="E76" i="157"/>
  <c r="D77" i="157"/>
  <c r="O159" i="157"/>
  <c r="G160" i="157" s="1"/>
  <c r="J159" i="157"/>
  <c r="M127" i="157"/>
  <c r="M157" i="157"/>
  <c r="N128" i="157"/>
  <c r="D141" i="157"/>
  <c r="C141" i="157"/>
  <c r="B141" i="157" s="1"/>
  <c r="F140" i="157"/>
  <c r="E140" i="157"/>
  <c r="D171" i="157"/>
  <c r="E170" i="157"/>
  <c r="C171" i="157"/>
  <c r="B171" i="157" s="1"/>
  <c r="F170" i="157"/>
  <c r="O219" i="157"/>
  <c r="G220" i="157" s="1"/>
  <c r="J219" i="157"/>
  <c r="K219" i="157" s="1"/>
  <c r="M219" i="157" s="1"/>
  <c r="C109" i="157"/>
  <c r="B109" i="157" s="1"/>
  <c r="E108" i="157"/>
  <c r="F108" i="157"/>
  <c r="D109" i="157"/>
  <c r="K66" i="157"/>
  <c r="M66" i="157" s="1"/>
  <c r="O129" i="157"/>
  <c r="G130" i="157" s="1"/>
  <c r="J129" i="157"/>
  <c r="K129" i="157" s="1"/>
  <c r="M129" i="157" s="1"/>
  <c r="N274" i="157"/>
  <c r="K40" i="157" l="1"/>
  <c r="M40" i="157" s="1"/>
  <c r="N40" i="157"/>
  <c r="B41" i="157"/>
  <c r="D41" i="157"/>
  <c r="N67" i="157"/>
  <c r="O246" i="157"/>
  <c r="G247" i="157" s="1"/>
  <c r="J246" i="157"/>
  <c r="K245" i="157"/>
  <c r="M245" i="157" s="1"/>
  <c r="N245" i="157"/>
  <c r="K94" i="157"/>
  <c r="M94" i="157" s="1"/>
  <c r="O94" i="157"/>
  <c r="G95" i="157" s="1"/>
  <c r="H95" i="157" s="1"/>
  <c r="F109" i="157"/>
  <c r="C110" i="157"/>
  <c r="B110" i="157" s="1"/>
  <c r="E109" i="157"/>
  <c r="D110" i="157"/>
  <c r="O220" i="157"/>
  <c r="G221" i="157" s="1"/>
  <c r="J220" i="157"/>
  <c r="K220" i="157" s="1"/>
  <c r="M220" i="157" s="1"/>
  <c r="K159" i="157"/>
  <c r="M159" i="157" s="1"/>
  <c r="O193" i="157"/>
  <c r="G194" i="157" s="1"/>
  <c r="J193" i="157"/>
  <c r="K193" i="157" s="1"/>
  <c r="M193" i="157" s="1"/>
  <c r="O68" i="157"/>
  <c r="G69" i="157" s="1"/>
  <c r="J68" i="157"/>
  <c r="N129" i="157"/>
  <c r="D172" i="157"/>
  <c r="C172" i="157"/>
  <c r="B172" i="157" s="1"/>
  <c r="E171" i="157"/>
  <c r="F171" i="157"/>
  <c r="C142" i="157"/>
  <c r="B142" i="157" s="1"/>
  <c r="D142" i="157"/>
  <c r="F141" i="157"/>
  <c r="E141" i="157"/>
  <c r="N159" i="157"/>
  <c r="N275" i="157"/>
  <c r="O130" i="157"/>
  <c r="G131" i="157" s="1"/>
  <c r="J130" i="157"/>
  <c r="K130" i="157" s="1"/>
  <c r="M130" i="157" s="1"/>
  <c r="O160" i="157"/>
  <c r="G161" i="157" s="1"/>
  <c r="J160" i="157"/>
  <c r="K160" i="157" s="1"/>
  <c r="M160" i="157" s="1"/>
  <c r="N219" i="157"/>
  <c r="F77" i="157"/>
  <c r="D78" i="157"/>
  <c r="E77" i="157"/>
  <c r="C78" i="157"/>
  <c r="B78" i="157" s="1"/>
  <c r="O276" i="157"/>
  <c r="G277" i="157" s="1"/>
  <c r="J276" i="157"/>
  <c r="K276" i="157" s="1"/>
  <c r="M276" i="157" s="1"/>
  <c r="N192" i="157"/>
  <c r="K67" i="157"/>
  <c r="M67" i="157" s="1"/>
  <c r="F41" i="157" l="1"/>
  <c r="J41" i="157" s="1"/>
  <c r="E41" i="157"/>
  <c r="C42" i="157"/>
  <c r="N68" i="157"/>
  <c r="K246" i="157"/>
  <c r="M246" i="157" s="1"/>
  <c r="N246" i="157"/>
  <c r="I95" i="157"/>
  <c r="S32" i="157" s="1"/>
  <c r="I101" i="157"/>
  <c r="S38" i="157" s="1"/>
  <c r="I100" i="157"/>
  <c r="S37" i="157" s="1"/>
  <c r="I106" i="157"/>
  <c r="S43" i="157" s="1"/>
  <c r="I96" i="157"/>
  <c r="S33" i="157" s="1"/>
  <c r="I99" i="157"/>
  <c r="S36" i="157" s="1"/>
  <c r="I97" i="157"/>
  <c r="S34" i="157" s="1"/>
  <c r="I104" i="157"/>
  <c r="S41" i="157" s="1"/>
  <c r="I103" i="157"/>
  <c r="S40" i="157" s="1"/>
  <c r="I102" i="157"/>
  <c r="S39" i="157" s="1"/>
  <c r="I108" i="157"/>
  <c r="S45" i="157" s="1"/>
  <c r="I109" i="157"/>
  <c r="S46" i="157" s="1"/>
  <c r="I107" i="157"/>
  <c r="S44" i="157" s="1"/>
  <c r="I110" i="157"/>
  <c r="S47" i="157" s="1"/>
  <c r="H113" i="157"/>
  <c r="I105" i="157"/>
  <c r="S42" i="157" s="1"/>
  <c r="I98" i="157"/>
  <c r="S35" i="157" s="1"/>
  <c r="I111" i="157"/>
  <c r="S48" i="157" s="1"/>
  <c r="J247" i="157"/>
  <c r="O247" i="157"/>
  <c r="G248" i="157" s="1"/>
  <c r="J95" i="157"/>
  <c r="N193" i="157"/>
  <c r="N220" i="157"/>
  <c r="N160" i="157"/>
  <c r="J131" i="157"/>
  <c r="K131" i="157" s="1"/>
  <c r="M131" i="157" s="1"/>
  <c r="O131" i="157"/>
  <c r="G132" i="157" s="1"/>
  <c r="F110" i="157"/>
  <c r="D111" i="157"/>
  <c r="E110" i="157"/>
  <c r="C111" i="157"/>
  <c r="B111" i="157" s="1"/>
  <c r="N276" i="157"/>
  <c r="K68" i="157"/>
  <c r="M68" i="157" s="1"/>
  <c r="J194" i="157"/>
  <c r="K194" i="157" s="1"/>
  <c r="M194" i="157" s="1"/>
  <c r="O194" i="157"/>
  <c r="G195" i="157" s="1"/>
  <c r="D79" i="157"/>
  <c r="E78" i="157"/>
  <c r="C79" i="157"/>
  <c r="B79" i="157" s="1"/>
  <c r="F78" i="157"/>
  <c r="E142" i="157"/>
  <c r="F142" i="157"/>
  <c r="O69" i="157"/>
  <c r="G70" i="157" s="1"/>
  <c r="J69" i="157"/>
  <c r="J277" i="157"/>
  <c r="K277" i="157" s="1"/>
  <c r="M277" i="157" s="1"/>
  <c r="O277" i="157"/>
  <c r="G278" i="157" s="1"/>
  <c r="O161" i="157"/>
  <c r="G162" i="157" s="1"/>
  <c r="J161" i="157"/>
  <c r="N130" i="157"/>
  <c r="E172" i="157"/>
  <c r="F172" i="157"/>
  <c r="J221" i="157"/>
  <c r="K221" i="157" s="1"/>
  <c r="M221" i="157" s="1"/>
  <c r="O221" i="157"/>
  <c r="G222" i="157" s="1"/>
  <c r="B42" i="157" l="1"/>
  <c r="D42" i="157"/>
  <c r="K41" i="157"/>
  <c r="M41" i="157" s="1"/>
  <c r="N41" i="157"/>
  <c r="N69" i="157"/>
  <c r="N95" i="157"/>
  <c r="T32" i="157"/>
  <c r="S50" i="157"/>
  <c r="I113" i="157"/>
  <c r="S51" i="157" s="1"/>
  <c r="O248" i="157"/>
  <c r="G249" i="157" s="1"/>
  <c r="J248" i="157"/>
  <c r="O95" i="157"/>
  <c r="G96" i="157" s="1"/>
  <c r="J96" i="157" s="1"/>
  <c r="T33" i="157" s="1"/>
  <c r="U33" i="157" s="1"/>
  <c r="K247" i="157"/>
  <c r="M247" i="157" s="1"/>
  <c r="N247" i="157"/>
  <c r="K95" i="157"/>
  <c r="M95" i="157" s="1"/>
  <c r="N221" i="157"/>
  <c r="K161" i="157"/>
  <c r="M161" i="157" s="1"/>
  <c r="O278" i="157"/>
  <c r="G279" i="157" s="1"/>
  <c r="J278" i="157"/>
  <c r="K278" i="157" s="1"/>
  <c r="M278" i="157" s="1"/>
  <c r="N194" i="157"/>
  <c r="E111" i="157"/>
  <c r="F111" i="157"/>
  <c r="N131" i="157"/>
  <c r="O222" i="157"/>
  <c r="G223" i="157" s="1"/>
  <c r="J222" i="157"/>
  <c r="K222" i="157" s="1"/>
  <c r="M222" i="157" s="1"/>
  <c r="J162" i="157"/>
  <c r="K162" i="157" s="1"/>
  <c r="M162" i="157" s="1"/>
  <c r="O162" i="157"/>
  <c r="G163" i="157" s="1"/>
  <c r="N277" i="157"/>
  <c r="J70" i="157"/>
  <c r="O70" i="157"/>
  <c r="G71" i="157" s="1"/>
  <c r="K69" i="157"/>
  <c r="M69" i="157" s="1"/>
  <c r="N161" i="157"/>
  <c r="E79" i="157"/>
  <c r="F79" i="157"/>
  <c r="J195" i="157"/>
  <c r="K195" i="157" s="1"/>
  <c r="M195" i="157" s="1"/>
  <c r="O195" i="157"/>
  <c r="G196" i="157" s="1"/>
  <c r="O132" i="157"/>
  <c r="G133" i="157" s="1"/>
  <c r="J132" i="157"/>
  <c r="K132" i="157" s="1"/>
  <c r="M132" i="157" s="1"/>
  <c r="E42" i="157" l="1"/>
  <c r="C43" i="157"/>
  <c r="F42" i="157"/>
  <c r="J42" i="157" s="1"/>
  <c r="S52" i="157"/>
  <c r="N70" i="157"/>
  <c r="U32" i="157"/>
  <c r="O96" i="157"/>
  <c r="G97" i="157" s="1"/>
  <c r="O97" i="157" s="1"/>
  <c r="G98" i="157" s="1"/>
  <c r="K248" i="157"/>
  <c r="M248" i="157" s="1"/>
  <c r="N248" i="157"/>
  <c r="O249" i="157"/>
  <c r="G250" i="157" s="1"/>
  <c r="J249" i="157"/>
  <c r="K249" i="157" s="1"/>
  <c r="M249" i="157" s="1"/>
  <c r="K96" i="157"/>
  <c r="M96" i="157" s="1"/>
  <c r="N96" i="157"/>
  <c r="N132" i="157"/>
  <c r="N222" i="157"/>
  <c r="N278" i="157"/>
  <c r="O71" i="157"/>
  <c r="G72" i="157" s="1"/>
  <c r="J71" i="157"/>
  <c r="O223" i="157"/>
  <c r="G224" i="157" s="1"/>
  <c r="J223" i="157"/>
  <c r="K223" i="157" s="1"/>
  <c r="M223" i="157" s="1"/>
  <c r="J279" i="157"/>
  <c r="K279" i="157" s="1"/>
  <c r="M279" i="157" s="1"/>
  <c r="O279" i="157"/>
  <c r="G280" i="157" s="1"/>
  <c r="N195" i="157"/>
  <c r="N162" i="157"/>
  <c r="O196" i="157"/>
  <c r="G197" i="157" s="1"/>
  <c r="J196" i="157"/>
  <c r="K196" i="157" s="1"/>
  <c r="M196" i="157" s="1"/>
  <c r="O163" i="157"/>
  <c r="G164" i="157" s="1"/>
  <c r="J163" i="157"/>
  <c r="K163" i="157" s="1"/>
  <c r="M163" i="157" s="1"/>
  <c r="K70" i="157"/>
  <c r="M70" i="157" s="1"/>
  <c r="O133" i="157"/>
  <c r="G134" i="157" s="1"/>
  <c r="J133" i="157"/>
  <c r="K133" i="157" s="1"/>
  <c r="M133" i="157" s="1"/>
  <c r="K42" i="157" l="1"/>
  <c r="M42" i="157" s="1"/>
  <c r="N42" i="157"/>
  <c r="B43" i="157"/>
  <c r="D43" i="157"/>
  <c r="J97" i="157"/>
  <c r="T34" i="157" s="1"/>
  <c r="U34" i="157" s="1"/>
  <c r="O250" i="157"/>
  <c r="G251" i="157" s="1"/>
  <c r="J250" i="157"/>
  <c r="N249" i="157"/>
  <c r="J98" i="157"/>
  <c r="T35" i="157" s="1"/>
  <c r="U35" i="157" s="1"/>
  <c r="O98" i="157"/>
  <c r="G99" i="157" s="1"/>
  <c r="N133" i="157"/>
  <c r="N163" i="157"/>
  <c r="N223" i="157"/>
  <c r="K71" i="157"/>
  <c r="M71" i="157" s="1"/>
  <c r="O280" i="157"/>
  <c r="G281" i="157" s="1"/>
  <c r="J280" i="157"/>
  <c r="K280" i="157" s="1"/>
  <c r="M280" i="157" s="1"/>
  <c r="O72" i="157"/>
  <c r="G73" i="157" s="1"/>
  <c r="J72" i="157"/>
  <c r="N196" i="157"/>
  <c r="O224" i="157"/>
  <c r="G225" i="157" s="1"/>
  <c r="J224" i="157"/>
  <c r="K224" i="157" s="1"/>
  <c r="M224" i="157" s="1"/>
  <c r="O164" i="157"/>
  <c r="G165" i="157" s="1"/>
  <c r="J164" i="157"/>
  <c r="K164" i="157" s="1"/>
  <c r="M164" i="157" s="1"/>
  <c r="O134" i="157"/>
  <c r="G135" i="157" s="1"/>
  <c r="J134" i="157"/>
  <c r="K134" i="157" s="1"/>
  <c r="M134" i="157" s="1"/>
  <c r="O50" i="157"/>
  <c r="G50" i="157"/>
  <c r="O197" i="157"/>
  <c r="G198" i="157" s="1"/>
  <c r="J197" i="157"/>
  <c r="K197" i="157" s="1"/>
  <c r="M197" i="157" s="1"/>
  <c r="N279" i="157"/>
  <c r="N71" i="157"/>
  <c r="E43" i="157" l="1"/>
  <c r="C44" i="157"/>
  <c r="F43" i="157"/>
  <c r="J43" i="157" s="1"/>
  <c r="K97" i="157"/>
  <c r="M97" i="157" s="1"/>
  <c r="N97" i="157"/>
  <c r="N72" i="157"/>
  <c r="K250" i="157"/>
  <c r="M250" i="157" s="1"/>
  <c r="N250" i="157"/>
  <c r="J251" i="157"/>
  <c r="O251" i="157"/>
  <c r="G252" i="157" s="1"/>
  <c r="J99" i="157"/>
  <c r="T36" i="157" s="1"/>
  <c r="U36" i="157" s="1"/>
  <c r="O99" i="157"/>
  <c r="G100" i="157" s="1"/>
  <c r="N98" i="157"/>
  <c r="K98" i="157"/>
  <c r="M98" i="157" s="1"/>
  <c r="N280" i="157"/>
  <c r="N197" i="157"/>
  <c r="N134" i="157"/>
  <c r="N164" i="157"/>
  <c r="O225" i="157"/>
  <c r="G226" i="157" s="1"/>
  <c r="J225" i="157"/>
  <c r="K225" i="157" s="1"/>
  <c r="M225" i="157" s="1"/>
  <c r="J198" i="157"/>
  <c r="K198" i="157" s="1"/>
  <c r="M198" i="157" s="1"/>
  <c r="O198" i="157"/>
  <c r="G199" i="157" s="1"/>
  <c r="K72" i="157"/>
  <c r="M72" i="157" s="1"/>
  <c r="J281" i="157"/>
  <c r="K281" i="157" s="1"/>
  <c r="M281" i="157" s="1"/>
  <c r="O281" i="157"/>
  <c r="G282" i="157" s="1"/>
  <c r="J135" i="157"/>
  <c r="K135" i="157" s="1"/>
  <c r="M135" i="157" s="1"/>
  <c r="O135" i="157"/>
  <c r="G136" i="157" s="1"/>
  <c r="O165" i="157"/>
  <c r="G166" i="157" s="1"/>
  <c r="J165" i="157"/>
  <c r="K165" i="157" s="1"/>
  <c r="M165" i="157" s="1"/>
  <c r="N224" i="157"/>
  <c r="O73" i="157"/>
  <c r="G74" i="157" s="1"/>
  <c r="J73" i="157"/>
  <c r="K43" i="157" l="1"/>
  <c r="M43" i="157" s="1"/>
  <c r="N43" i="157"/>
  <c r="D44" i="157"/>
  <c r="B44" i="157"/>
  <c r="K251" i="157"/>
  <c r="M251" i="157" s="1"/>
  <c r="N251" i="157"/>
  <c r="J252" i="157"/>
  <c r="K252" i="157" s="1"/>
  <c r="M252" i="157" s="1"/>
  <c r="O252" i="157"/>
  <c r="G253" i="157" s="1"/>
  <c r="O100" i="157"/>
  <c r="G101" i="157" s="1"/>
  <c r="J100" i="157"/>
  <c r="T37" i="157" s="1"/>
  <c r="U37" i="157" s="1"/>
  <c r="N99" i="157"/>
  <c r="K99" i="157"/>
  <c r="M99" i="157" s="1"/>
  <c r="K73" i="157"/>
  <c r="M73" i="157" s="1"/>
  <c r="J166" i="157"/>
  <c r="K166" i="157" s="1"/>
  <c r="M166" i="157" s="1"/>
  <c r="O166" i="157"/>
  <c r="G167" i="157" s="1"/>
  <c r="N225" i="157"/>
  <c r="N73" i="157"/>
  <c r="O136" i="157"/>
  <c r="G137" i="157" s="1"/>
  <c r="J136" i="157"/>
  <c r="K136" i="157" s="1"/>
  <c r="M136" i="157" s="1"/>
  <c r="O282" i="157"/>
  <c r="O284" i="157" s="1"/>
  <c r="J282" i="157"/>
  <c r="G284" i="157"/>
  <c r="J199" i="157"/>
  <c r="K199" i="157" s="1"/>
  <c r="M199" i="157" s="1"/>
  <c r="O199" i="157"/>
  <c r="G200" i="157" s="1"/>
  <c r="J226" i="157"/>
  <c r="K226" i="157" s="1"/>
  <c r="M226" i="157" s="1"/>
  <c r="O226" i="157"/>
  <c r="G227" i="157" s="1"/>
  <c r="J74" i="157"/>
  <c r="O74" i="157"/>
  <c r="G75" i="157" s="1"/>
  <c r="N165" i="157"/>
  <c r="N135" i="157"/>
  <c r="N281" i="157"/>
  <c r="N198" i="157"/>
  <c r="E44" i="157" l="1"/>
  <c r="C45" i="157"/>
  <c r="F44" i="157"/>
  <c r="J44" i="157" s="1"/>
  <c r="O253" i="157"/>
  <c r="G254" i="157" s="1"/>
  <c r="J253" i="157"/>
  <c r="K253" i="157" s="1"/>
  <c r="M253" i="157" s="1"/>
  <c r="N252" i="157"/>
  <c r="N100" i="157"/>
  <c r="K100" i="157"/>
  <c r="M100" i="157" s="1"/>
  <c r="O101" i="157"/>
  <c r="G102" i="157" s="1"/>
  <c r="J101" i="157"/>
  <c r="T38" i="157" s="1"/>
  <c r="U38" i="157" s="1"/>
  <c r="N226" i="157"/>
  <c r="N199" i="157"/>
  <c r="J227" i="157"/>
  <c r="K227" i="157" s="1"/>
  <c r="M227" i="157" s="1"/>
  <c r="O227" i="157"/>
  <c r="G228" i="157" s="1"/>
  <c r="O200" i="157"/>
  <c r="G201" i="157" s="1"/>
  <c r="J200" i="157"/>
  <c r="K200" i="157" s="1"/>
  <c r="M200" i="157" s="1"/>
  <c r="K282" i="157"/>
  <c r="J284" i="157"/>
  <c r="O75" i="157"/>
  <c r="G76" i="157" s="1"/>
  <c r="J75" i="157"/>
  <c r="N282" i="157"/>
  <c r="N284" i="157" s="1"/>
  <c r="O137" i="157"/>
  <c r="G138" i="157" s="1"/>
  <c r="J137" i="157"/>
  <c r="K137" i="157" s="1"/>
  <c r="M137" i="157" s="1"/>
  <c r="N166" i="157"/>
  <c r="K74" i="157"/>
  <c r="M74" i="157" s="1"/>
  <c r="N74" i="157"/>
  <c r="N136" i="157"/>
  <c r="O167" i="157"/>
  <c r="G168" i="157" s="1"/>
  <c r="J167" i="157"/>
  <c r="K167" i="157" s="1"/>
  <c r="M167" i="157" s="1"/>
  <c r="K44" i="157" l="1"/>
  <c r="M44" i="157" s="1"/>
  <c r="N44" i="157"/>
  <c r="D45" i="157"/>
  <c r="B45" i="157"/>
  <c r="N253" i="157"/>
  <c r="J254" i="157"/>
  <c r="O254" i="157"/>
  <c r="G255" i="157" s="1"/>
  <c r="J102" i="157"/>
  <c r="O102" i="157"/>
  <c r="G103" i="157" s="1"/>
  <c r="N101" i="157"/>
  <c r="K101" i="157"/>
  <c r="M101" i="157" s="1"/>
  <c r="N227" i="157"/>
  <c r="N167" i="157"/>
  <c r="K75" i="157"/>
  <c r="M75" i="157" s="1"/>
  <c r="O228" i="157"/>
  <c r="G229" i="157" s="1"/>
  <c r="J228" i="157"/>
  <c r="K228" i="157" s="1"/>
  <c r="M228" i="157" s="1"/>
  <c r="O138" i="157"/>
  <c r="G139" i="157" s="1"/>
  <c r="J138" i="157"/>
  <c r="K138" i="157" s="1"/>
  <c r="M138" i="157" s="1"/>
  <c r="O76" i="157"/>
  <c r="G77" i="157" s="1"/>
  <c r="J76" i="157"/>
  <c r="N200" i="157"/>
  <c r="O201" i="157"/>
  <c r="O203" i="157" s="1"/>
  <c r="J201" i="157"/>
  <c r="N201" i="157" s="1"/>
  <c r="G203" i="157"/>
  <c r="O168" i="157"/>
  <c r="G169" i="157" s="1"/>
  <c r="J168" i="157"/>
  <c r="K168" i="157" s="1"/>
  <c r="M168" i="157" s="1"/>
  <c r="N137" i="157"/>
  <c r="N75" i="157"/>
  <c r="M282" i="157"/>
  <c r="M284" i="157" s="1"/>
  <c r="K284" i="157"/>
  <c r="E45" i="157" l="1"/>
  <c r="C46" i="157"/>
  <c r="F45" i="157"/>
  <c r="J45" i="157" s="1"/>
  <c r="N76" i="157"/>
  <c r="N102" i="157"/>
  <c r="T39" i="157"/>
  <c r="U39" i="157" s="1"/>
  <c r="K254" i="157"/>
  <c r="M254" i="157" s="1"/>
  <c r="N254" i="157"/>
  <c r="O255" i="157"/>
  <c r="G256" i="157" s="1"/>
  <c r="J255" i="157"/>
  <c r="O103" i="157"/>
  <c r="G104" i="157" s="1"/>
  <c r="J103" i="157"/>
  <c r="T40" i="157" s="1"/>
  <c r="U40" i="157" s="1"/>
  <c r="K102" i="157"/>
  <c r="M102" i="157" s="1"/>
  <c r="N203" i="157"/>
  <c r="N228" i="157"/>
  <c r="N168" i="157"/>
  <c r="O169" i="157"/>
  <c r="G170" i="157" s="1"/>
  <c r="J169" i="157"/>
  <c r="K169" i="157" s="1"/>
  <c r="M169" i="157" s="1"/>
  <c r="K76" i="157"/>
  <c r="M76" i="157" s="1"/>
  <c r="J139" i="157"/>
  <c r="K139" i="157" s="1"/>
  <c r="M139" i="157" s="1"/>
  <c r="O139" i="157"/>
  <c r="G140" i="157" s="1"/>
  <c r="N138" i="157"/>
  <c r="O229" i="157"/>
  <c r="O231" i="157" s="1"/>
  <c r="J229" i="157"/>
  <c r="N229" i="157" s="1"/>
  <c r="G231" i="157"/>
  <c r="K201" i="157"/>
  <c r="J203" i="157"/>
  <c r="O77" i="157"/>
  <c r="G78" i="157" s="1"/>
  <c r="J77" i="157"/>
  <c r="K45" i="157" l="1"/>
  <c r="M45" i="157" s="1"/>
  <c r="N45" i="157"/>
  <c r="D46" i="157"/>
  <c r="B46" i="157"/>
  <c r="K255" i="157"/>
  <c r="M255" i="157" s="1"/>
  <c r="N255" i="157"/>
  <c r="J256" i="157"/>
  <c r="O256" i="157"/>
  <c r="O258" i="157" s="1"/>
  <c r="G258" i="157"/>
  <c r="N103" i="157"/>
  <c r="K103" i="157"/>
  <c r="M103" i="157" s="1"/>
  <c r="J104" i="157"/>
  <c r="T41" i="157" s="1"/>
  <c r="U41" i="157" s="1"/>
  <c r="O104" i="157"/>
  <c r="G105" i="157" s="1"/>
  <c r="N231" i="157"/>
  <c r="N169" i="157"/>
  <c r="J78" i="157"/>
  <c r="O78" i="157"/>
  <c r="G79" i="157" s="1"/>
  <c r="K77" i="157"/>
  <c r="M77" i="157" s="1"/>
  <c r="K229" i="157"/>
  <c r="J231" i="157"/>
  <c r="N139" i="157"/>
  <c r="J170" i="157"/>
  <c r="K170" i="157" s="1"/>
  <c r="M170" i="157" s="1"/>
  <c r="O170" i="157"/>
  <c r="G171" i="157" s="1"/>
  <c r="N77" i="157"/>
  <c r="M201" i="157"/>
  <c r="M203" i="157" s="1"/>
  <c r="K203" i="157"/>
  <c r="J140" i="157"/>
  <c r="K140" i="157" s="1"/>
  <c r="M140" i="157" s="1"/>
  <c r="O140" i="157"/>
  <c r="G141" i="157" s="1"/>
  <c r="F46" i="157" l="1"/>
  <c r="J46" i="157" s="1"/>
  <c r="E46" i="157"/>
  <c r="C47" i="157"/>
  <c r="N256" i="157"/>
  <c r="N258" i="157" s="1"/>
  <c r="K256" i="157"/>
  <c r="J258" i="157"/>
  <c r="N104" i="157"/>
  <c r="K104" i="157"/>
  <c r="M104" i="157" s="1"/>
  <c r="O105" i="157"/>
  <c r="G106" i="157" s="1"/>
  <c r="J105" i="157"/>
  <c r="T42" i="157" s="1"/>
  <c r="U42" i="157" s="1"/>
  <c r="J141" i="157"/>
  <c r="K141" i="157" s="1"/>
  <c r="M141" i="157" s="1"/>
  <c r="O141" i="157"/>
  <c r="G142" i="157" s="1"/>
  <c r="M229" i="157"/>
  <c r="M231" i="157" s="1"/>
  <c r="K231" i="157"/>
  <c r="K78" i="157"/>
  <c r="M78" i="157" s="1"/>
  <c r="N170" i="157"/>
  <c r="O79" i="157"/>
  <c r="O81" i="157" s="1"/>
  <c r="J79" i="157"/>
  <c r="G81" i="157"/>
  <c r="N140" i="157"/>
  <c r="O171" i="157"/>
  <c r="G172" i="157" s="1"/>
  <c r="J171" i="157"/>
  <c r="K171" i="157" s="1"/>
  <c r="M171" i="157" s="1"/>
  <c r="N78" i="157"/>
  <c r="D47" i="157" l="1"/>
  <c r="B47" i="157"/>
  <c r="K46" i="157"/>
  <c r="M46" i="157" s="1"/>
  <c r="N46" i="157"/>
  <c r="N79" i="157"/>
  <c r="N81" i="157" s="1"/>
  <c r="M256" i="157"/>
  <c r="M258" i="157" s="1"/>
  <c r="K258" i="157"/>
  <c r="N105" i="157"/>
  <c r="K105" i="157"/>
  <c r="M105" i="157" s="1"/>
  <c r="O106" i="157"/>
  <c r="G107" i="157" s="1"/>
  <c r="J106" i="157"/>
  <c r="N171" i="157"/>
  <c r="N141" i="157"/>
  <c r="J142" i="157"/>
  <c r="O142" i="157"/>
  <c r="O144" i="157" s="1"/>
  <c r="G144" i="157"/>
  <c r="J172" i="157"/>
  <c r="O172" i="157"/>
  <c r="O174" i="157" s="1"/>
  <c r="G174" i="157"/>
  <c r="K79" i="157"/>
  <c r="J81" i="157"/>
  <c r="F47" i="157" l="1"/>
  <c r="C48" i="157"/>
  <c r="E47" i="157"/>
  <c r="N106" i="157"/>
  <c r="T43" i="157"/>
  <c r="U43" i="157" s="1"/>
  <c r="J107" i="157"/>
  <c r="O107" i="157"/>
  <c r="G108" i="157" s="1"/>
  <c r="K106" i="157"/>
  <c r="M106" i="157" s="1"/>
  <c r="M79" i="157"/>
  <c r="M81" i="157" s="1"/>
  <c r="K81" i="157"/>
  <c r="K172" i="157"/>
  <c r="J174" i="157"/>
  <c r="N172" i="157"/>
  <c r="N174" i="157" s="1"/>
  <c r="K142" i="157"/>
  <c r="J144" i="157"/>
  <c r="N142" i="157"/>
  <c r="N144" i="157" s="1"/>
  <c r="J47" i="157" l="1"/>
  <c r="K47" i="157" s="1"/>
  <c r="M47" i="157" s="1"/>
  <c r="N47" i="157"/>
  <c r="B48" i="157"/>
  <c r="D48" i="157"/>
  <c r="H74" i="197" s="1"/>
  <c r="I74" i="197" s="1"/>
  <c r="N107" i="157"/>
  <c r="T44" i="157"/>
  <c r="U44" i="157" s="1"/>
  <c r="O108" i="157"/>
  <c r="G109" i="157" s="1"/>
  <c r="J108" i="157"/>
  <c r="T45" i="157" s="1"/>
  <c r="U45" i="157" s="1"/>
  <c r="K107" i="157"/>
  <c r="M107" i="157" s="1"/>
  <c r="M142" i="157"/>
  <c r="M144" i="157" s="1"/>
  <c r="K144" i="157"/>
  <c r="M172" i="157"/>
  <c r="M174" i="157" s="1"/>
  <c r="K174" i="157"/>
  <c r="F48" i="157" l="1"/>
  <c r="J48" i="157" s="1"/>
  <c r="E48" i="157"/>
  <c r="N108" i="157"/>
  <c r="K108" i="157"/>
  <c r="M108" i="157" s="1"/>
  <c r="O109" i="157"/>
  <c r="G110" i="157" s="1"/>
  <c r="J109" i="157"/>
  <c r="T46" i="157" s="1"/>
  <c r="U46" i="157" s="1"/>
  <c r="K48" i="157" l="1"/>
  <c r="N48" i="157"/>
  <c r="O110" i="157"/>
  <c r="G111" i="157" s="1"/>
  <c r="G113" i="157" s="1"/>
  <c r="J110" i="157"/>
  <c r="N109" i="157"/>
  <c r="K109" i="157"/>
  <c r="M109" i="157" s="1"/>
  <c r="E74" i="197" l="1"/>
  <c r="C74" i="197"/>
  <c r="B74" i="197"/>
  <c r="C75" i="197"/>
  <c r="D74" i="197"/>
  <c r="D75" i="197"/>
  <c r="B75" i="197"/>
  <c r="F75" i="197" s="1"/>
  <c r="E75" i="197"/>
  <c r="M48" i="157"/>
  <c r="N110" i="157"/>
  <c r="T47" i="157"/>
  <c r="U47" i="157" s="1"/>
  <c r="K110" i="157"/>
  <c r="J111" i="157"/>
  <c r="T48" i="157" s="1"/>
  <c r="O111" i="157"/>
  <c r="O113" i="157" s="1"/>
  <c r="J50" i="157"/>
  <c r="N50" i="157"/>
  <c r="F74" i="197" l="1"/>
  <c r="U48" i="157"/>
  <c r="T50" i="157"/>
  <c r="K111" i="157"/>
  <c r="M111" i="157" s="1"/>
  <c r="J113" i="157"/>
  <c r="T51" i="157" s="1"/>
  <c r="N111" i="157"/>
  <c r="N113" i="157" s="1"/>
  <c r="M110" i="157"/>
  <c r="M50" i="157"/>
  <c r="K50" i="157"/>
  <c r="E76" i="197" l="1"/>
  <c r="B77" i="197"/>
  <c r="D76" i="197"/>
  <c r="C76" i="197"/>
  <c r="E77" i="197"/>
  <c r="D77" i="197"/>
  <c r="C77" i="197"/>
  <c r="B76" i="197"/>
  <c r="F76" i="197" s="1"/>
  <c r="K113" i="157"/>
  <c r="U51" i="157" s="1"/>
  <c r="U50" i="157"/>
  <c r="T52" i="157"/>
  <c r="M113" i="157"/>
  <c r="U52" i="157" l="1"/>
  <c r="F77" i="197"/>
  <c r="T29" i="150"/>
  <c r="L282" i="150"/>
  <c r="L281" i="150"/>
  <c r="L280" i="150"/>
  <c r="L279" i="150"/>
  <c r="L278" i="150"/>
  <c r="L277" i="150"/>
  <c r="L276" i="150"/>
  <c r="L275" i="150"/>
  <c r="L274" i="150"/>
  <c r="L273" i="150"/>
  <c r="L272" i="150"/>
  <c r="L271" i="150"/>
  <c r="L270" i="150"/>
  <c r="L269" i="150"/>
  <c r="L268" i="150"/>
  <c r="L267" i="150"/>
  <c r="L256" i="150"/>
  <c r="L255" i="150"/>
  <c r="L254" i="150"/>
  <c r="L253" i="150"/>
  <c r="L252" i="150"/>
  <c r="L251" i="150"/>
  <c r="L250" i="150"/>
  <c r="L249" i="150"/>
  <c r="L248" i="150"/>
  <c r="L247" i="150"/>
  <c r="L246" i="150"/>
  <c r="L245" i="150"/>
  <c r="L244" i="150"/>
  <c r="L243" i="150"/>
  <c r="L242" i="150"/>
  <c r="L241" i="150"/>
  <c r="C53" i="150"/>
  <c r="D53" i="150" s="1"/>
  <c r="E53" i="150" s="1"/>
  <c r="C85" i="150"/>
  <c r="D85" i="150" s="1"/>
  <c r="C116" i="150"/>
  <c r="D116" i="150" s="1"/>
  <c r="C147" i="150"/>
  <c r="D147" i="150" s="1"/>
  <c r="C177" i="150"/>
  <c r="D177" i="150" s="1"/>
  <c r="C206" i="150"/>
  <c r="D206" i="150" s="1"/>
  <c r="C234" i="150"/>
  <c r="D234" i="150" s="1"/>
  <c r="D235" i="150" s="1"/>
  <c r="L229" i="150"/>
  <c r="L228" i="150"/>
  <c r="L227" i="150"/>
  <c r="L226" i="150"/>
  <c r="L225" i="150"/>
  <c r="L224" i="150"/>
  <c r="L223" i="150"/>
  <c r="L222" i="150"/>
  <c r="L221" i="150"/>
  <c r="L220" i="150"/>
  <c r="L219" i="150"/>
  <c r="L218" i="150"/>
  <c r="L217" i="150"/>
  <c r="L216" i="150"/>
  <c r="L215" i="150"/>
  <c r="L214" i="150"/>
  <c r="L201" i="150"/>
  <c r="L200" i="150"/>
  <c r="L199" i="150"/>
  <c r="L198" i="150"/>
  <c r="L197" i="150"/>
  <c r="L196" i="150"/>
  <c r="L195" i="150"/>
  <c r="L194" i="150"/>
  <c r="L193" i="150"/>
  <c r="L192" i="150"/>
  <c r="L191" i="150"/>
  <c r="L190" i="150"/>
  <c r="L189" i="150"/>
  <c r="L188" i="150"/>
  <c r="L187" i="150"/>
  <c r="L186" i="150"/>
  <c r="K262" i="150"/>
  <c r="M262" i="150" s="1"/>
  <c r="K261" i="150"/>
  <c r="G261" i="150"/>
  <c r="C261" i="150"/>
  <c r="D261" i="150" s="1"/>
  <c r="L172" i="150"/>
  <c r="L171" i="150"/>
  <c r="L170" i="150"/>
  <c r="L169" i="150"/>
  <c r="L168" i="150"/>
  <c r="L167" i="150"/>
  <c r="L166" i="150"/>
  <c r="L165" i="150"/>
  <c r="L164" i="150"/>
  <c r="L163" i="150"/>
  <c r="L162" i="150"/>
  <c r="L161" i="150"/>
  <c r="L160" i="150"/>
  <c r="L159" i="150"/>
  <c r="L158" i="150"/>
  <c r="L157" i="150"/>
  <c r="L142" i="150"/>
  <c r="L141" i="150"/>
  <c r="L140" i="150"/>
  <c r="L139" i="150"/>
  <c r="L138" i="150"/>
  <c r="L137" i="150"/>
  <c r="L136" i="150"/>
  <c r="L135" i="150"/>
  <c r="L134" i="150"/>
  <c r="L133" i="150"/>
  <c r="L132" i="150"/>
  <c r="L131" i="150"/>
  <c r="L130" i="150"/>
  <c r="L129" i="150"/>
  <c r="L128" i="150"/>
  <c r="L127" i="150"/>
  <c r="G116" i="150"/>
  <c r="L111" i="150"/>
  <c r="L110" i="150"/>
  <c r="L109" i="150"/>
  <c r="L108" i="150"/>
  <c r="L107" i="150"/>
  <c r="L106" i="150"/>
  <c r="L105" i="150"/>
  <c r="L104" i="150"/>
  <c r="L103" i="150"/>
  <c r="L102" i="150"/>
  <c r="L101" i="150"/>
  <c r="L100" i="150"/>
  <c r="L99" i="150"/>
  <c r="L98" i="150"/>
  <c r="L97" i="150"/>
  <c r="L96" i="150"/>
  <c r="L79" i="150"/>
  <c r="L78" i="150"/>
  <c r="L77" i="150"/>
  <c r="L76" i="150"/>
  <c r="L75" i="150"/>
  <c r="L74" i="150"/>
  <c r="L73" i="150"/>
  <c r="L72" i="150"/>
  <c r="L71" i="150"/>
  <c r="L70" i="150"/>
  <c r="L69" i="150"/>
  <c r="L68" i="150"/>
  <c r="L67" i="150"/>
  <c r="L66" i="150"/>
  <c r="L65" i="150"/>
  <c r="L64" i="150"/>
  <c r="G53" i="150"/>
  <c r="K236" i="150"/>
  <c r="M236" i="150" s="1"/>
  <c r="K235" i="150"/>
  <c r="M235" i="150" s="1"/>
  <c r="K234" i="150"/>
  <c r="M234" i="150" s="1"/>
  <c r="G234" i="150"/>
  <c r="K209" i="150"/>
  <c r="M209" i="150" s="1"/>
  <c r="K208" i="150"/>
  <c r="M208" i="150" s="1"/>
  <c r="K207" i="150"/>
  <c r="M207" i="150" s="1"/>
  <c r="K206" i="150"/>
  <c r="M206" i="150" s="1"/>
  <c r="G206" i="150"/>
  <c r="K181" i="150"/>
  <c r="M181" i="150" s="1"/>
  <c r="K180" i="150"/>
  <c r="M180" i="150" s="1"/>
  <c r="K179" i="150"/>
  <c r="M179" i="150" s="1"/>
  <c r="K178" i="150"/>
  <c r="M178" i="150" s="1"/>
  <c r="K177" i="150"/>
  <c r="G177" i="150"/>
  <c r="K152" i="150"/>
  <c r="M152" i="150" s="1"/>
  <c r="K151" i="150"/>
  <c r="M151" i="150" s="1"/>
  <c r="K150" i="150"/>
  <c r="M150" i="150" s="1"/>
  <c r="K149" i="150"/>
  <c r="M149" i="150" s="1"/>
  <c r="K148" i="150"/>
  <c r="M148" i="150" s="1"/>
  <c r="K147" i="150"/>
  <c r="G147" i="150"/>
  <c r="K122" i="150"/>
  <c r="M122" i="150" s="1"/>
  <c r="K121" i="150"/>
  <c r="M121" i="150" s="1"/>
  <c r="K120" i="150"/>
  <c r="M120" i="150" s="1"/>
  <c r="K119" i="150"/>
  <c r="M119" i="150" s="1"/>
  <c r="K118" i="150"/>
  <c r="M118" i="150" s="1"/>
  <c r="K117" i="150"/>
  <c r="M117" i="150" s="1"/>
  <c r="K116" i="150"/>
  <c r="K91" i="150"/>
  <c r="M91" i="150" s="1"/>
  <c r="K90" i="150"/>
  <c r="M90" i="150" s="1"/>
  <c r="K89" i="150"/>
  <c r="M89" i="150" s="1"/>
  <c r="K88" i="150"/>
  <c r="M88" i="150" s="1"/>
  <c r="K87" i="150"/>
  <c r="M87" i="150" s="1"/>
  <c r="K86" i="150"/>
  <c r="M86" i="150" s="1"/>
  <c r="K85" i="150"/>
  <c r="G85" i="150"/>
  <c r="K59" i="150"/>
  <c r="K58" i="150"/>
  <c r="K57" i="150"/>
  <c r="K56" i="150"/>
  <c r="K55" i="150"/>
  <c r="K54" i="150"/>
  <c r="K53" i="150"/>
  <c r="V29" i="150" l="1"/>
  <c r="V33" i="150"/>
  <c r="V41" i="150"/>
  <c r="V45" i="150"/>
  <c r="V37" i="150"/>
  <c r="V31" i="150"/>
  <c r="V35" i="150"/>
  <c r="V39" i="150"/>
  <c r="V43" i="150"/>
  <c r="V47" i="150"/>
  <c r="V30" i="150"/>
  <c r="V34" i="150"/>
  <c r="V38" i="150"/>
  <c r="V42" i="150"/>
  <c r="V46" i="150"/>
  <c r="V32" i="150"/>
  <c r="V36" i="150"/>
  <c r="V40" i="150"/>
  <c r="V44" i="150"/>
  <c r="V48" i="150"/>
  <c r="F261" i="150"/>
  <c r="D262" i="150"/>
  <c r="D263" i="150" s="1"/>
  <c r="M261" i="150"/>
  <c r="E261" i="150"/>
  <c r="C262" i="150"/>
  <c r="F53" i="150"/>
  <c r="H53" i="150" s="1"/>
  <c r="D54" i="150"/>
  <c r="C55" i="150" s="1"/>
  <c r="C54" i="150"/>
  <c r="E234" i="150"/>
  <c r="F234" i="150"/>
  <c r="C235" i="150"/>
  <c r="E235" i="150" s="1"/>
  <c r="D86" i="150"/>
  <c r="F85" i="150"/>
  <c r="C86" i="150"/>
  <c r="E85" i="150"/>
  <c r="D117" i="150"/>
  <c r="F116" i="150"/>
  <c r="C117" i="150"/>
  <c r="D178" i="150"/>
  <c r="F177" i="150"/>
  <c r="C178" i="150"/>
  <c r="E116" i="150"/>
  <c r="E177" i="150"/>
  <c r="D148" i="150"/>
  <c r="F147" i="150"/>
  <c r="C148" i="150"/>
  <c r="D207" i="150"/>
  <c r="F206" i="150"/>
  <c r="C207" i="150"/>
  <c r="E147" i="150"/>
  <c r="E206" i="150"/>
  <c r="D236" i="150"/>
  <c r="F235" i="150"/>
  <c r="C236" i="150"/>
  <c r="M85" i="150"/>
  <c r="M116" i="150"/>
  <c r="M147" i="150"/>
  <c r="M177" i="150"/>
  <c r="C263" i="150" l="1"/>
  <c r="E262" i="150"/>
  <c r="F262" i="150"/>
  <c r="H261" i="150"/>
  <c r="F263" i="150"/>
  <c r="D264" i="150"/>
  <c r="C264" i="150"/>
  <c r="D55" i="150"/>
  <c r="D56" i="150" s="1"/>
  <c r="H177" i="150"/>
  <c r="E54" i="150"/>
  <c r="F54" i="150"/>
  <c r="H234" i="150"/>
  <c r="H206" i="150"/>
  <c r="H147" i="150"/>
  <c r="H116" i="150"/>
  <c r="H85" i="150"/>
  <c r="E207" i="150"/>
  <c r="D208" i="150"/>
  <c r="C208" i="150"/>
  <c r="F207" i="150"/>
  <c r="N53" i="150"/>
  <c r="E236" i="150"/>
  <c r="D237" i="150"/>
  <c r="C237" i="150"/>
  <c r="F236" i="150"/>
  <c r="E148" i="150"/>
  <c r="D149" i="150"/>
  <c r="C149" i="150"/>
  <c r="F148" i="150"/>
  <c r="E178" i="150"/>
  <c r="D179" i="150"/>
  <c r="C179" i="150"/>
  <c r="F178" i="150"/>
  <c r="E117" i="150"/>
  <c r="D118" i="150"/>
  <c r="C118" i="150"/>
  <c r="F117" i="150"/>
  <c r="D87" i="150"/>
  <c r="F86" i="150"/>
  <c r="C87" i="150"/>
  <c r="E86" i="150"/>
  <c r="E263" i="150" l="1"/>
  <c r="N261" i="150"/>
  <c r="N234" i="150"/>
  <c r="E55" i="150"/>
  <c r="N206" i="150"/>
  <c r="O177" i="150"/>
  <c r="G178" i="150" s="1"/>
  <c r="N177" i="150"/>
  <c r="O261" i="150"/>
  <c r="G262" i="150" s="1"/>
  <c r="C265" i="150"/>
  <c r="E264" i="150"/>
  <c r="F264" i="150"/>
  <c r="D265" i="150"/>
  <c r="C56" i="150"/>
  <c r="E56" i="150" s="1"/>
  <c r="O116" i="150"/>
  <c r="G117" i="150" s="1"/>
  <c r="F55" i="150"/>
  <c r="O147" i="150"/>
  <c r="G148" i="150" s="1"/>
  <c r="N85" i="150"/>
  <c r="O234" i="150"/>
  <c r="G235" i="150" s="1"/>
  <c r="O206" i="150"/>
  <c r="G207" i="150" s="1"/>
  <c r="N147" i="150"/>
  <c r="N116" i="150"/>
  <c r="O85" i="150"/>
  <c r="G86" i="150" s="1"/>
  <c r="D238" i="150"/>
  <c r="F237" i="150"/>
  <c r="E237" i="150"/>
  <c r="C238" i="150"/>
  <c r="D180" i="150"/>
  <c r="F179" i="150"/>
  <c r="E179" i="150"/>
  <c r="C180" i="150"/>
  <c r="D150" i="150"/>
  <c r="F149" i="150"/>
  <c r="E149" i="150"/>
  <c r="C150" i="150"/>
  <c r="D119" i="150"/>
  <c r="F118" i="150"/>
  <c r="E118" i="150"/>
  <c r="C119" i="150"/>
  <c r="D209" i="150"/>
  <c r="F208" i="150"/>
  <c r="E208" i="150"/>
  <c r="C209" i="150"/>
  <c r="D88" i="150"/>
  <c r="F87" i="150"/>
  <c r="C88" i="150"/>
  <c r="E87" i="150"/>
  <c r="D57" i="150"/>
  <c r="F56" i="150"/>
  <c r="C57" i="150"/>
  <c r="M15" i="150"/>
  <c r="M14" i="150"/>
  <c r="M13" i="150"/>
  <c r="M12" i="150"/>
  <c r="M11" i="150"/>
  <c r="M10" i="150"/>
  <c r="M9" i="150"/>
  <c r="M8" i="150"/>
  <c r="M7" i="150"/>
  <c r="M6" i="150"/>
  <c r="M5" i="150"/>
  <c r="M4" i="150"/>
  <c r="M3" i="150"/>
  <c r="M2" i="150"/>
  <c r="F265" i="150" l="1"/>
  <c r="E265" i="150"/>
  <c r="D266" i="150"/>
  <c r="C266" i="150"/>
  <c r="B266" i="150" s="1"/>
  <c r="H262" i="150"/>
  <c r="D89" i="150"/>
  <c r="F88" i="150"/>
  <c r="C89" i="150"/>
  <c r="E88" i="150"/>
  <c r="F209" i="150"/>
  <c r="E209" i="150"/>
  <c r="D210" i="150"/>
  <c r="C210" i="150"/>
  <c r="F150" i="150"/>
  <c r="E150" i="150"/>
  <c r="D151" i="150"/>
  <c r="C151" i="150"/>
  <c r="F180" i="150"/>
  <c r="E180" i="150"/>
  <c r="D181" i="150"/>
  <c r="C181" i="150"/>
  <c r="H117" i="150"/>
  <c r="H207" i="150"/>
  <c r="C58" i="150"/>
  <c r="E57" i="150"/>
  <c r="D58" i="150"/>
  <c r="F57" i="150"/>
  <c r="F119" i="150"/>
  <c r="E119" i="150"/>
  <c r="D120" i="150"/>
  <c r="C120" i="150"/>
  <c r="F238" i="150"/>
  <c r="E238" i="150"/>
  <c r="D239" i="150"/>
  <c r="C239" i="150"/>
  <c r="H235" i="150"/>
  <c r="H86" i="150"/>
  <c r="H148" i="150"/>
  <c r="H178" i="150"/>
  <c r="M16" i="150"/>
  <c r="N262" i="150" l="1"/>
  <c r="N235" i="150"/>
  <c r="O178" i="150"/>
  <c r="G179" i="150" s="1"/>
  <c r="H179" i="150" s="1"/>
  <c r="N179" i="150" s="1"/>
  <c r="O262" i="150"/>
  <c r="G263" i="150" s="1"/>
  <c r="N148" i="150"/>
  <c r="N117" i="150"/>
  <c r="C267" i="150"/>
  <c r="B267" i="150" s="1"/>
  <c r="E266" i="150"/>
  <c r="F266" i="150"/>
  <c r="D267" i="150"/>
  <c r="N86" i="150"/>
  <c r="O148" i="150"/>
  <c r="G149" i="150" s="1"/>
  <c r="H149" i="150" s="1"/>
  <c r="N149" i="150" s="1"/>
  <c r="N178" i="150"/>
  <c r="O117" i="150"/>
  <c r="G118" i="150" s="1"/>
  <c r="H118" i="150" s="1"/>
  <c r="N118" i="150" s="1"/>
  <c r="O235" i="150"/>
  <c r="O207" i="150"/>
  <c r="N207" i="150"/>
  <c r="O86" i="150"/>
  <c r="G87" i="150" s="1"/>
  <c r="H87" i="150" s="1"/>
  <c r="O87" i="150" s="1"/>
  <c r="G88" i="150" s="1"/>
  <c r="D182" i="150"/>
  <c r="F181" i="150"/>
  <c r="E181" i="150"/>
  <c r="C182" i="150"/>
  <c r="D152" i="150"/>
  <c r="F151" i="150"/>
  <c r="E151" i="150"/>
  <c r="C152" i="150"/>
  <c r="D211" i="150"/>
  <c r="F210" i="150"/>
  <c r="E210" i="150"/>
  <c r="C211" i="150"/>
  <c r="D121" i="150"/>
  <c r="F120" i="150"/>
  <c r="E120" i="150"/>
  <c r="C121" i="150"/>
  <c r="D59" i="150"/>
  <c r="F58" i="150"/>
  <c r="C59" i="150"/>
  <c r="E58" i="150"/>
  <c r="D240" i="150"/>
  <c r="F239" i="150"/>
  <c r="E239" i="150"/>
  <c r="C240" i="150"/>
  <c r="B240" i="150" s="1"/>
  <c r="F89" i="150"/>
  <c r="E89" i="150"/>
  <c r="D90" i="150"/>
  <c r="C90" i="150"/>
  <c r="H263" i="150" l="1"/>
  <c r="F267" i="150"/>
  <c r="E267" i="150"/>
  <c r="D268" i="150"/>
  <c r="C268" i="150"/>
  <c r="B268" i="150" s="1"/>
  <c r="G236" i="150"/>
  <c r="G208" i="150"/>
  <c r="O179" i="150"/>
  <c r="O149" i="150"/>
  <c r="H88" i="150"/>
  <c r="D91" i="150"/>
  <c r="F90" i="150"/>
  <c r="E90" i="150"/>
  <c r="C91" i="150"/>
  <c r="O118" i="150"/>
  <c r="C241" i="150"/>
  <c r="B241" i="150" s="1"/>
  <c r="F240" i="150"/>
  <c r="E240" i="150"/>
  <c r="D241" i="150"/>
  <c r="C212" i="150"/>
  <c r="F211" i="150"/>
  <c r="E211" i="150"/>
  <c r="D212" i="150"/>
  <c r="C153" i="150"/>
  <c r="F152" i="150"/>
  <c r="E152" i="150"/>
  <c r="D153" i="150"/>
  <c r="C183" i="150"/>
  <c r="F182" i="150"/>
  <c r="E182" i="150"/>
  <c r="D183" i="150"/>
  <c r="N87" i="150"/>
  <c r="D60" i="150"/>
  <c r="F59" i="150"/>
  <c r="C60" i="150"/>
  <c r="E59" i="150"/>
  <c r="C122" i="150"/>
  <c r="F121" i="150"/>
  <c r="E121" i="150"/>
  <c r="D122" i="150"/>
  <c r="N263" i="150" l="1"/>
  <c r="K263" i="150"/>
  <c r="M263" i="150" s="1"/>
  <c r="E268" i="150"/>
  <c r="D269" i="150"/>
  <c r="F268" i="150"/>
  <c r="C269" i="150"/>
  <c r="B269" i="150" s="1"/>
  <c r="O263" i="150"/>
  <c r="N88" i="150"/>
  <c r="H236" i="150"/>
  <c r="H208" i="150"/>
  <c r="G180" i="150"/>
  <c r="G150" i="150"/>
  <c r="G119" i="150"/>
  <c r="H119" i="150" s="1"/>
  <c r="O88" i="150"/>
  <c r="D184" i="150"/>
  <c r="F183" i="150"/>
  <c r="C184" i="150"/>
  <c r="E183" i="150"/>
  <c r="D154" i="150"/>
  <c r="F153" i="150"/>
  <c r="C154" i="150"/>
  <c r="E153" i="150"/>
  <c r="D213" i="150"/>
  <c r="F212" i="150"/>
  <c r="C213" i="150"/>
  <c r="B213" i="150" s="1"/>
  <c r="E212" i="150"/>
  <c r="C242" i="150"/>
  <c r="B242" i="150" s="1"/>
  <c r="F241" i="150"/>
  <c r="E241" i="150"/>
  <c r="D242" i="150"/>
  <c r="D61" i="150"/>
  <c r="F60" i="150"/>
  <c r="C61" i="150"/>
  <c r="E60" i="150"/>
  <c r="C92" i="150"/>
  <c r="F91" i="150"/>
  <c r="E91" i="150"/>
  <c r="D92" i="150"/>
  <c r="D123" i="150"/>
  <c r="F122" i="150"/>
  <c r="C123" i="150"/>
  <c r="E122" i="150"/>
  <c r="G264" i="150" l="1"/>
  <c r="F269" i="150"/>
  <c r="C270" i="150"/>
  <c r="B270" i="150" s="1"/>
  <c r="E269" i="150"/>
  <c r="D270" i="150"/>
  <c r="O236" i="150"/>
  <c r="N236" i="150"/>
  <c r="O208" i="150"/>
  <c r="N208" i="150"/>
  <c r="H180" i="150"/>
  <c r="H150" i="150"/>
  <c r="N119" i="150"/>
  <c r="G89" i="150"/>
  <c r="D124" i="150"/>
  <c r="C124" i="150"/>
  <c r="F123" i="150"/>
  <c r="E123" i="150"/>
  <c r="O119" i="150"/>
  <c r="D62" i="150"/>
  <c r="F61" i="150"/>
  <c r="C62" i="150"/>
  <c r="E61" i="150"/>
  <c r="D93" i="150"/>
  <c r="F92" i="150"/>
  <c r="C93" i="150"/>
  <c r="E92" i="150"/>
  <c r="C214" i="150"/>
  <c r="B214" i="150" s="1"/>
  <c r="D214" i="150"/>
  <c r="F213" i="150"/>
  <c r="E213" i="150"/>
  <c r="D155" i="150"/>
  <c r="C155" i="150"/>
  <c r="F154" i="150"/>
  <c r="E154" i="150"/>
  <c r="D185" i="150"/>
  <c r="C185" i="150"/>
  <c r="B185" i="150" s="1"/>
  <c r="F184" i="150"/>
  <c r="E184" i="150"/>
  <c r="D243" i="150"/>
  <c r="F242" i="150"/>
  <c r="C243" i="150"/>
  <c r="B243" i="150" s="1"/>
  <c r="E242" i="150"/>
  <c r="H264" i="150" l="1"/>
  <c r="N264" i="150" s="1"/>
  <c r="N180" i="150"/>
  <c r="D271" i="150"/>
  <c r="E270" i="150"/>
  <c r="C271" i="150"/>
  <c r="B271" i="150" s="1"/>
  <c r="F270" i="150"/>
  <c r="G237" i="150"/>
  <c r="G209" i="150"/>
  <c r="O180" i="150"/>
  <c r="O150" i="150"/>
  <c r="N150" i="150"/>
  <c r="G120" i="150"/>
  <c r="H120" i="150" s="1"/>
  <c r="H89" i="150"/>
  <c r="D94" i="150"/>
  <c r="C94" i="150"/>
  <c r="F93" i="150"/>
  <c r="E93" i="150"/>
  <c r="F243" i="150"/>
  <c r="C244" i="150"/>
  <c r="B244" i="150" s="1"/>
  <c r="E243" i="150"/>
  <c r="D244" i="150"/>
  <c r="D215" i="150"/>
  <c r="E214" i="150"/>
  <c r="C215" i="150"/>
  <c r="B215" i="150" s="1"/>
  <c r="F214" i="150"/>
  <c r="C63" i="150"/>
  <c r="B63" i="150" s="1"/>
  <c r="F62" i="150"/>
  <c r="E62" i="150"/>
  <c r="D63" i="150"/>
  <c r="C186" i="150"/>
  <c r="B186" i="150" s="1"/>
  <c r="F185" i="150"/>
  <c r="D186" i="150"/>
  <c r="E185" i="150"/>
  <c r="C156" i="150"/>
  <c r="B156" i="150" s="1"/>
  <c r="F155" i="150"/>
  <c r="D156" i="150"/>
  <c r="E155" i="150"/>
  <c r="C125" i="150"/>
  <c r="F124" i="150"/>
  <c r="D125" i="150"/>
  <c r="E124" i="150"/>
  <c r="K264" i="150" l="1"/>
  <c r="M264" i="150" s="1"/>
  <c r="O264" i="150"/>
  <c r="G265" i="150" s="1"/>
  <c r="C272" i="150"/>
  <c r="B272" i="150" s="1"/>
  <c r="D272" i="150"/>
  <c r="F271" i="150"/>
  <c r="E271" i="150"/>
  <c r="N120" i="150"/>
  <c r="N89" i="150"/>
  <c r="O89" i="150"/>
  <c r="G90" i="150" s="1"/>
  <c r="H237" i="150"/>
  <c r="N237" i="150" s="1"/>
  <c r="H209" i="150"/>
  <c r="G181" i="150"/>
  <c r="G151" i="150"/>
  <c r="O120" i="150"/>
  <c r="C216" i="150"/>
  <c r="B216" i="150" s="1"/>
  <c r="D216" i="150"/>
  <c r="F215" i="150"/>
  <c r="E215" i="150"/>
  <c r="D245" i="150"/>
  <c r="E244" i="150"/>
  <c r="C245" i="150"/>
  <c r="B245" i="150" s="1"/>
  <c r="F244" i="150"/>
  <c r="D126" i="150"/>
  <c r="F125" i="150"/>
  <c r="C126" i="150"/>
  <c r="B126" i="150" s="1"/>
  <c r="E125" i="150"/>
  <c r="D157" i="150"/>
  <c r="F156" i="150"/>
  <c r="C157" i="150"/>
  <c r="B157" i="150" s="1"/>
  <c r="E156" i="150"/>
  <c r="D187" i="150"/>
  <c r="F186" i="150"/>
  <c r="C187" i="150"/>
  <c r="B187" i="150" s="1"/>
  <c r="E186" i="150"/>
  <c r="F63" i="150"/>
  <c r="D64" i="150"/>
  <c r="C64" i="150"/>
  <c r="B64" i="150" s="1"/>
  <c r="E63" i="150"/>
  <c r="C95" i="150"/>
  <c r="B95" i="150" s="1"/>
  <c r="F94" i="150"/>
  <c r="D95" i="150"/>
  <c r="E94" i="150"/>
  <c r="H265" i="150" l="1"/>
  <c r="K237" i="150"/>
  <c r="D273" i="150"/>
  <c r="C273" i="150"/>
  <c r="B273" i="150" s="1"/>
  <c r="E272" i="150"/>
  <c r="F272" i="150"/>
  <c r="O209" i="150"/>
  <c r="N209" i="150"/>
  <c r="H181" i="150"/>
  <c r="H151" i="150"/>
  <c r="G121" i="150"/>
  <c r="H90" i="150"/>
  <c r="F64" i="150"/>
  <c r="D65" i="150"/>
  <c r="E64" i="150"/>
  <c r="C65" i="150"/>
  <c r="B65" i="150" s="1"/>
  <c r="F187" i="150"/>
  <c r="D188" i="150"/>
  <c r="C188" i="150"/>
  <c r="B188" i="150" s="1"/>
  <c r="E187" i="150"/>
  <c r="F157" i="150"/>
  <c r="D158" i="150"/>
  <c r="C158" i="150"/>
  <c r="B158" i="150" s="1"/>
  <c r="E157" i="150"/>
  <c r="C246" i="150"/>
  <c r="B246" i="150" s="1"/>
  <c r="D246" i="150"/>
  <c r="F245" i="150"/>
  <c r="E245" i="150"/>
  <c r="C217" i="150"/>
  <c r="B217" i="150" s="1"/>
  <c r="E216" i="150"/>
  <c r="D217" i="150"/>
  <c r="F216" i="150"/>
  <c r="D96" i="150"/>
  <c r="F95" i="150"/>
  <c r="C96" i="150"/>
  <c r="B96" i="150" s="1"/>
  <c r="E95" i="150"/>
  <c r="F126" i="150"/>
  <c r="D127" i="150"/>
  <c r="C127" i="150"/>
  <c r="B127" i="150" s="1"/>
  <c r="E126" i="150"/>
  <c r="O265" i="150" l="1"/>
  <c r="G266" i="150" s="1"/>
  <c r="K265" i="150"/>
  <c r="M265" i="150" s="1"/>
  <c r="O181" i="150"/>
  <c r="G182" i="150" s="1"/>
  <c r="N265" i="150"/>
  <c r="F273" i="150"/>
  <c r="D274" i="150"/>
  <c r="C274" i="150"/>
  <c r="B274" i="150" s="1"/>
  <c r="E273" i="150"/>
  <c r="O90" i="150"/>
  <c r="G91" i="150" s="1"/>
  <c r="N181" i="150"/>
  <c r="G210" i="150"/>
  <c r="N151" i="150"/>
  <c r="O151" i="150"/>
  <c r="H121" i="150"/>
  <c r="N90" i="150"/>
  <c r="D247" i="150"/>
  <c r="F246" i="150"/>
  <c r="C247" i="150"/>
  <c r="B247" i="150" s="1"/>
  <c r="E246" i="150"/>
  <c r="D128" i="150"/>
  <c r="E127" i="150"/>
  <c r="C128" i="150"/>
  <c r="B128" i="150" s="1"/>
  <c r="F127" i="150"/>
  <c r="F217" i="150"/>
  <c r="D218" i="150"/>
  <c r="C218" i="150"/>
  <c r="B218" i="150" s="1"/>
  <c r="E217" i="150"/>
  <c r="D159" i="150"/>
  <c r="E158" i="150"/>
  <c r="C159" i="150"/>
  <c r="B159" i="150" s="1"/>
  <c r="F158" i="150"/>
  <c r="D189" i="150"/>
  <c r="E188" i="150"/>
  <c r="C189" i="150"/>
  <c r="B189" i="150" s="1"/>
  <c r="F188" i="150"/>
  <c r="D66" i="150"/>
  <c r="E65" i="150"/>
  <c r="C66" i="150"/>
  <c r="B66" i="150" s="1"/>
  <c r="F65" i="150"/>
  <c r="F96" i="150"/>
  <c r="D97" i="150"/>
  <c r="C97" i="150"/>
  <c r="B97" i="150" s="1"/>
  <c r="E96" i="150"/>
  <c r="J266" i="150" l="1"/>
  <c r="H266" i="150"/>
  <c r="D275" i="150"/>
  <c r="E274" i="150"/>
  <c r="F274" i="150"/>
  <c r="C275" i="150"/>
  <c r="B275" i="150" s="1"/>
  <c r="O121" i="150"/>
  <c r="G122" i="150" s="1"/>
  <c r="H210" i="150"/>
  <c r="H182" i="150"/>
  <c r="G152" i="150"/>
  <c r="N121" i="150"/>
  <c r="H91" i="150"/>
  <c r="C190" i="150"/>
  <c r="B190" i="150" s="1"/>
  <c r="D190" i="150"/>
  <c r="F189" i="150"/>
  <c r="E189" i="150"/>
  <c r="C160" i="150"/>
  <c r="B160" i="150" s="1"/>
  <c r="D160" i="150"/>
  <c r="F159" i="150"/>
  <c r="E159" i="150"/>
  <c r="D219" i="150"/>
  <c r="E218" i="150"/>
  <c r="C219" i="150"/>
  <c r="B219" i="150" s="1"/>
  <c r="F218" i="150"/>
  <c r="D98" i="150"/>
  <c r="E97" i="150"/>
  <c r="C98" i="150"/>
  <c r="B98" i="150" s="1"/>
  <c r="F97" i="150"/>
  <c r="C129" i="150"/>
  <c r="B129" i="150" s="1"/>
  <c r="D129" i="150"/>
  <c r="F128" i="150"/>
  <c r="E128" i="150"/>
  <c r="F247" i="150"/>
  <c r="D248" i="150"/>
  <c r="C248" i="150"/>
  <c r="B248" i="150" s="1"/>
  <c r="E247" i="150"/>
  <c r="C67" i="150"/>
  <c r="B67" i="150" s="1"/>
  <c r="D67" i="150"/>
  <c r="F66" i="150"/>
  <c r="E66" i="150"/>
  <c r="N266" i="150" l="1"/>
  <c r="I266" i="150"/>
  <c r="K266" i="150" s="1"/>
  <c r="M266" i="150" s="1"/>
  <c r="I268" i="150"/>
  <c r="I271" i="150"/>
  <c r="I281" i="150"/>
  <c r="I278" i="150"/>
  <c r="I275" i="150"/>
  <c r="I267" i="150"/>
  <c r="I274" i="150"/>
  <c r="I279" i="150"/>
  <c r="I280" i="150"/>
  <c r="I282" i="150"/>
  <c r="I270" i="150"/>
  <c r="I269" i="150"/>
  <c r="I273" i="150"/>
  <c r="I276" i="150"/>
  <c r="I277" i="150"/>
  <c r="I272" i="150"/>
  <c r="K210" i="150"/>
  <c r="K182" i="150"/>
  <c r="C276" i="150"/>
  <c r="B276" i="150" s="1"/>
  <c r="D276" i="150"/>
  <c r="F275" i="150"/>
  <c r="E275" i="150"/>
  <c r="N210" i="150"/>
  <c r="N182" i="150"/>
  <c r="H152" i="150"/>
  <c r="H122" i="150"/>
  <c r="N122" i="150" s="1"/>
  <c r="O91" i="150"/>
  <c r="L113" i="150"/>
  <c r="N91" i="150"/>
  <c r="C99" i="150"/>
  <c r="B99" i="150" s="1"/>
  <c r="D99" i="150"/>
  <c r="F98" i="150"/>
  <c r="E98" i="150"/>
  <c r="D249" i="150"/>
  <c r="E248" i="150"/>
  <c r="C249" i="150"/>
  <c r="B249" i="150" s="1"/>
  <c r="F248" i="150"/>
  <c r="C130" i="150"/>
  <c r="B130" i="150" s="1"/>
  <c r="E129" i="150"/>
  <c r="D130" i="150"/>
  <c r="F129" i="150"/>
  <c r="C161" i="150"/>
  <c r="B161" i="150" s="1"/>
  <c r="E160" i="150"/>
  <c r="D161" i="150"/>
  <c r="F160" i="150"/>
  <c r="C191" i="150"/>
  <c r="B191" i="150" s="1"/>
  <c r="E190" i="150"/>
  <c r="D191" i="150"/>
  <c r="F190" i="150"/>
  <c r="F67" i="150"/>
  <c r="E67" i="150"/>
  <c r="D68" i="150"/>
  <c r="C68" i="150"/>
  <c r="B68" i="150" s="1"/>
  <c r="C220" i="150"/>
  <c r="B220" i="150" s="1"/>
  <c r="D220" i="150"/>
  <c r="F219" i="150"/>
  <c r="E219" i="150"/>
  <c r="O266" i="150" l="1"/>
  <c r="G267" i="150" s="1"/>
  <c r="O267" i="150" s="1"/>
  <c r="G268" i="150" s="1"/>
  <c r="J268" i="150" s="1"/>
  <c r="K268" i="150" s="1"/>
  <c r="M268" i="150" s="1"/>
  <c r="O122" i="150"/>
  <c r="G123" i="150" s="1"/>
  <c r="H123" i="150" s="1"/>
  <c r="N152" i="150"/>
  <c r="C277" i="150"/>
  <c r="B277" i="150" s="1"/>
  <c r="E276" i="150"/>
  <c r="F276" i="150"/>
  <c r="D277" i="150"/>
  <c r="O152" i="150"/>
  <c r="L144" i="150"/>
  <c r="G92" i="150"/>
  <c r="F191" i="150"/>
  <c r="D192" i="150"/>
  <c r="C192" i="150"/>
  <c r="B192" i="150" s="1"/>
  <c r="E191" i="150"/>
  <c r="F161" i="150"/>
  <c r="D162" i="150"/>
  <c r="C162" i="150"/>
  <c r="B162" i="150" s="1"/>
  <c r="E161" i="150"/>
  <c r="C100" i="150"/>
  <c r="B100" i="150" s="1"/>
  <c r="E99" i="150"/>
  <c r="D100" i="150"/>
  <c r="F99" i="150"/>
  <c r="F130" i="150"/>
  <c r="D131" i="150"/>
  <c r="C131" i="150"/>
  <c r="B131" i="150" s="1"/>
  <c r="E130" i="150"/>
  <c r="C250" i="150"/>
  <c r="B250" i="150" s="1"/>
  <c r="D250" i="150"/>
  <c r="F249" i="150"/>
  <c r="E249" i="150"/>
  <c r="C221" i="150"/>
  <c r="B221" i="150" s="1"/>
  <c r="E220" i="150"/>
  <c r="D221" i="150"/>
  <c r="F220" i="150"/>
  <c r="F68" i="150"/>
  <c r="D69" i="150"/>
  <c r="E68" i="150"/>
  <c r="C69" i="150"/>
  <c r="B69" i="150" s="1"/>
  <c r="J267" i="150" l="1"/>
  <c r="K267" i="150" s="1"/>
  <c r="M267" i="150" s="1"/>
  <c r="O268" i="150"/>
  <c r="G269" i="150" s="1"/>
  <c r="J269" i="150" s="1"/>
  <c r="N268" i="150"/>
  <c r="H284" i="150"/>
  <c r="F277" i="150"/>
  <c r="D278" i="150"/>
  <c r="C278" i="150"/>
  <c r="B278" i="150" s="1"/>
  <c r="E277" i="150"/>
  <c r="K123" i="150"/>
  <c r="M123" i="150" s="1"/>
  <c r="N123" i="150"/>
  <c r="G153" i="150"/>
  <c r="H92" i="150"/>
  <c r="C251" i="150"/>
  <c r="B251" i="150" s="1"/>
  <c r="D251" i="150"/>
  <c r="E250" i="150"/>
  <c r="F250" i="150"/>
  <c r="D132" i="150"/>
  <c r="E131" i="150"/>
  <c r="C132" i="150"/>
  <c r="B132" i="150" s="1"/>
  <c r="F131" i="150"/>
  <c r="F221" i="150"/>
  <c r="D222" i="150"/>
  <c r="C222" i="150"/>
  <c r="B222" i="150" s="1"/>
  <c r="E221" i="150"/>
  <c r="F100" i="150"/>
  <c r="D101" i="150"/>
  <c r="C101" i="150"/>
  <c r="B101" i="150" s="1"/>
  <c r="E100" i="150"/>
  <c r="D70" i="150"/>
  <c r="E69" i="150"/>
  <c r="C70" i="150"/>
  <c r="B70" i="150" s="1"/>
  <c r="F69" i="150"/>
  <c r="D163" i="150"/>
  <c r="E162" i="150"/>
  <c r="C163" i="150"/>
  <c r="B163" i="150" s="1"/>
  <c r="F162" i="150"/>
  <c r="D193" i="150"/>
  <c r="E192" i="150"/>
  <c r="C193" i="150"/>
  <c r="B193" i="150" s="1"/>
  <c r="F192" i="150"/>
  <c r="N267" i="150" l="1"/>
  <c r="N269" i="150"/>
  <c r="D279" i="150"/>
  <c r="E278" i="150"/>
  <c r="C279" i="150"/>
  <c r="B279" i="150" s="1"/>
  <c r="F278" i="150"/>
  <c r="O123" i="150"/>
  <c r="G124" i="150" s="1"/>
  <c r="K92" i="150"/>
  <c r="M92" i="150" s="1"/>
  <c r="H153" i="150"/>
  <c r="N92" i="150"/>
  <c r="C71" i="150"/>
  <c r="B71" i="150" s="1"/>
  <c r="F70" i="150"/>
  <c r="E70" i="150"/>
  <c r="D71" i="150"/>
  <c r="D223" i="150"/>
  <c r="E222" i="150"/>
  <c r="C223" i="150"/>
  <c r="B223" i="150" s="1"/>
  <c r="F222" i="150"/>
  <c r="C194" i="150"/>
  <c r="B194" i="150" s="1"/>
  <c r="D194" i="150"/>
  <c r="F193" i="150"/>
  <c r="E193" i="150"/>
  <c r="C164" i="150"/>
  <c r="B164" i="150" s="1"/>
  <c r="D164" i="150"/>
  <c r="F163" i="150"/>
  <c r="E163" i="150"/>
  <c r="C133" i="150"/>
  <c r="B133" i="150" s="1"/>
  <c r="D133" i="150"/>
  <c r="F132" i="150"/>
  <c r="E132" i="150"/>
  <c r="F251" i="150"/>
  <c r="D252" i="150"/>
  <c r="C252" i="150"/>
  <c r="B252" i="150" s="1"/>
  <c r="E251" i="150"/>
  <c r="D102" i="150"/>
  <c r="E101" i="150"/>
  <c r="C102" i="150"/>
  <c r="B102" i="150" s="1"/>
  <c r="F101" i="150"/>
  <c r="H124" i="150" l="1"/>
  <c r="K153" i="150"/>
  <c r="M153" i="150" s="1"/>
  <c r="C280" i="150"/>
  <c r="B280" i="150" s="1"/>
  <c r="D280" i="150"/>
  <c r="F279" i="150"/>
  <c r="E279" i="150"/>
  <c r="O92" i="150"/>
  <c r="G93" i="150" s="1"/>
  <c r="N153" i="150"/>
  <c r="L174" i="150"/>
  <c r="D165" i="150"/>
  <c r="F164" i="150"/>
  <c r="C165" i="150"/>
  <c r="B165" i="150" s="1"/>
  <c r="E164" i="150"/>
  <c r="D195" i="150"/>
  <c r="F194" i="150"/>
  <c r="C195" i="150"/>
  <c r="B195" i="150" s="1"/>
  <c r="E194" i="150"/>
  <c r="C224" i="150"/>
  <c r="B224" i="150" s="1"/>
  <c r="D224" i="150"/>
  <c r="F223" i="150"/>
  <c r="E223" i="150"/>
  <c r="F71" i="150"/>
  <c r="D72" i="150"/>
  <c r="C72" i="150"/>
  <c r="B72" i="150" s="1"/>
  <c r="E71" i="150"/>
  <c r="C103" i="150"/>
  <c r="B103" i="150" s="1"/>
  <c r="D103" i="150"/>
  <c r="F102" i="150"/>
  <c r="E102" i="150"/>
  <c r="D253" i="150"/>
  <c r="E252" i="150"/>
  <c r="C253" i="150"/>
  <c r="B253" i="150" s="1"/>
  <c r="F252" i="150"/>
  <c r="D134" i="150"/>
  <c r="F133" i="150"/>
  <c r="C134" i="150"/>
  <c r="B134" i="150" s="1"/>
  <c r="E133" i="150"/>
  <c r="O124" i="150" l="1"/>
  <c r="G125" i="150" s="1"/>
  <c r="H93" i="150"/>
  <c r="N93" i="150" s="1"/>
  <c r="D281" i="150"/>
  <c r="F280" i="150"/>
  <c r="C281" i="150"/>
  <c r="B281" i="150" s="1"/>
  <c r="E280" i="150"/>
  <c r="O153" i="150"/>
  <c r="G154" i="150" s="1"/>
  <c r="K124" i="150"/>
  <c r="M124" i="150" s="1"/>
  <c r="N124" i="150"/>
  <c r="C254" i="150"/>
  <c r="B254" i="150" s="1"/>
  <c r="F253" i="150"/>
  <c r="E253" i="150"/>
  <c r="D254" i="150"/>
  <c r="D104" i="150"/>
  <c r="F103" i="150"/>
  <c r="C104" i="150"/>
  <c r="B104" i="150" s="1"/>
  <c r="E103" i="150"/>
  <c r="F195" i="150"/>
  <c r="D196" i="150"/>
  <c r="C196" i="150"/>
  <c r="B196" i="150" s="1"/>
  <c r="E195" i="150"/>
  <c r="F165" i="150"/>
  <c r="D166" i="150"/>
  <c r="C166" i="150"/>
  <c r="B166" i="150" s="1"/>
  <c r="E165" i="150"/>
  <c r="F72" i="150"/>
  <c r="D73" i="150"/>
  <c r="E72" i="150"/>
  <c r="C73" i="150"/>
  <c r="B73" i="150" s="1"/>
  <c r="D225" i="150"/>
  <c r="F224" i="150"/>
  <c r="C225" i="150"/>
  <c r="B225" i="150" s="1"/>
  <c r="E224" i="150"/>
  <c r="F134" i="150"/>
  <c r="D135" i="150"/>
  <c r="C135" i="150"/>
  <c r="B135" i="150" s="1"/>
  <c r="E134" i="150"/>
  <c r="H125" i="150" l="1"/>
  <c r="H154" i="150"/>
  <c r="F281" i="150"/>
  <c r="D282" i="150"/>
  <c r="E281" i="150"/>
  <c r="C282" i="150"/>
  <c r="B282" i="150" s="1"/>
  <c r="D255" i="150"/>
  <c r="F254" i="150"/>
  <c r="E254" i="150"/>
  <c r="C255" i="150"/>
  <c r="B255" i="150" s="1"/>
  <c r="D74" i="150"/>
  <c r="E73" i="150"/>
  <c r="C74" i="150"/>
  <c r="B74" i="150" s="1"/>
  <c r="F73" i="150"/>
  <c r="F104" i="150"/>
  <c r="D105" i="150"/>
  <c r="C105" i="150"/>
  <c r="B105" i="150" s="1"/>
  <c r="E104" i="150"/>
  <c r="D136" i="150"/>
  <c r="E135" i="150"/>
  <c r="C136" i="150"/>
  <c r="B136" i="150" s="1"/>
  <c r="F135" i="150"/>
  <c r="F225" i="150"/>
  <c r="C226" i="150"/>
  <c r="B226" i="150" s="1"/>
  <c r="E225" i="150"/>
  <c r="D226" i="150"/>
  <c r="D167" i="150"/>
  <c r="E166" i="150"/>
  <c r="C167" i="150"/>
  <c r="B167" i="150" s="1"/>
  <c r="F166" i="150"/>
  <c r="D197" i="150"/>
  <c r="E196" i="150"/>
  <c r="C197" i="150"/>
  <c r="B197" i="150" s="1"/>
  <c r="F196" i="150"/>
  <c r="O125" i="150" l="1"/>
  <c r="G126" i="150" s="1"/>
  <c r="N125" i="150"/>
  <c r="O93" i="150"/>
  <c r="G94" i="150" s="1"/>
  <c r="K93" i="150"/>
  <c r="M93" i="150" s="1"/>
  <c r="N154" i="150"/>
  <c r="E282" i="150"/>
  <c r="F282" i="150"/>
  <c r="C198" i="150"/>
  <c r="B198" i="150" s="1"/>
  <c r="E197" i="150"/>
  <c r="D198" i="150"/>
  <c r="F197" i="150"/>
  <c r="C168" i="150"/>
  <c r="B168" i="150" s="1"/>
  <c r="E167" i="150"/>
  <c r="D168" i="150"/>
  <c r="F167" i="150"/>
  <c r="D227" i="150"/>
  <c r="E226" i="150"/>
  <c r="C227" i="150"/>
  <c r="B227" i="150" s="1"/>
  <c r="F226" i="150"/>
  <c r="D106" i="150"/>
  <c r="E105" i="150"/>
  <c r="C106" i="150"/>
  <c r="B106" i="150" s="1"/>
  <c r="F105" i="150"/>
  <c r="C137" i="150"/>
  <c r="B137" i="150" s="1"/>
  <c r="E136" i="150"/>
  <c r="D137" i="150"/>
  <c r="F136" i="150"/>
  <c r="C75" i="150"/>
  <c r="B75" i="150" s="1"/>
  <c r="D75" i="150"/>
  <c r="F74" i="150"/>
  <c r="E74" i="150"/>
  <c r="F255" i="150"/>
  <c r="C256" i="150"/>
  <c r="B256" i="150" s="1"/>
  <c r="E255" i="150"/>
  <c r="D256" i="150"/>
  <c r="J126" i="150" l="1"/>
  <c r="H126" i="150"/>
  <c r="I126" i="150" s="1"/>
  <c r="H94" i="150"/>
  <c r="K125" i="150"/>
  <c r="M125" i="150" s="1"/>
  <c r="K154" i="150"/>
  <c r="M154" i="150" s="1"/>
  <c r="O154" i="150"/>
  <c r="G155" i="150" s="1"/>
  <c r="H155" i="150" s="1"/>
  <c r="D138" i="150"/>
  <c r="F137" i="150"/>
  <c r="C138" i="150"/>
  <c r="B138" i="150" s="1"/>
  <c r="E137" i="150"/>
  <c r="C107" i="150"/>
  <c r="B107" i="150" s="1"/>
  <c r="E106" i="150"/>
  <c r="D107" i="150"/>
  <c r="F106" i="150"/>
  <c r="D169" i="150"/>
  <c r="F168" i="150"/>
  <c r="C169" i="150"/>
  <c r="B169" i="150" s="1"/>
  <c r="E168" i="150"/>
  <c r="D199" i="150"/>
  <c r="F198" i="150"/>
  <c r="C199" i="150"/>
  <c r="B199" i="150" s="1"/>
  <c r="E198" i="150"/>
  <c r="F75" i="150"/>
  <c r="E75" i="150"/>
  <c r="D76" i="150"/>
  <c r="C76" i="150"/>
  <c r="B76" i="150" s="1"/>
  <c r="C228" i="150"/>
  <c r="B228" i="150" s="1"/>
  <c r="E227" i="150"/>
  <c r="D228" i="150"/>
  <c r="F227" i="150"/>
  <c r="E256" i="150"/>
  <c r="F256" i="150"/>
  <c r="N126" i="150" l="1"/>
  <c r="I137" i="150"/>
  <c r="I142" i="150"/>
  <c r="I135" i="150"/>
  <c r="I139" i="150"/>
  <c r="I130" i="150"/>
  <c r="I131" i="150"/>
  <c r="I128" i="150"/>
  <c r="I127" i="150"/>
  <c r="I141" i="150"/>
  <c r="I129" i="150"/>
  <c r="I138" i="150"/>
  <c r="I133" i="150"/>
  <c r="I134" i="150"/>
  <c r="H144" i="150"/>
  <c r="I140" i="150"/>
  <c r="I136" i="150"/>
  <c r="I132" i="150"/>
  <c r="N94" i="150"/>
  <c r="O155" i="150"/>
  <c r="G156" i="150" s="1"/>
  <c r="H156" i="150" s="1"/>
  <c r="I156" i="150" s="1"/>
  <c r="O94" i="150"/>
  <c r="G95" i="150" s="1"/>
  <c r="K155" i="150"/>
  <c r="M155" i="150" s="1"/>
  <c r="K269" i="150"/>
  <c r="F76" i="150"/>
  <c r="D77" i="150"/>
  <c r="E76" i="150"/>
  <c r="C77" i="150"/>
  <c r="B77" i="150" s="1"/>
  <c r="F199" i="150"/>
  <c r="C200" i="150"/>
  <c r="B200" i="150" s="1"/>
  <c r="E199" i="150"/>
  <c r="D200" i="150"/>
  <c r="D229" i="150"/>
  <c r="F228" i="150"/>
  <c r="C229" i="150"/>
  <c r="B229" i="150" s="1"/>
  <c r="E228" i="150"/>
  <c r="F169" i="150"/>
  <c r="C170" i="150"/>
  <c r="B170" i="150" s="1"/>
  <c r="E169" i="150"/>
  <c r="D170" i="150"/>
  <c r="F138" i="150"/>
  <c r="C139" i="150"/>
  <c r="B139" i="150" s="1"/>
  <c r="E138" i="150"/>
  <c r="D139" i="150"/>
  <c r="D108" i="150"/>
  <c r="F107" i="150"/>
  <c r="C108" i="150"/>
  <c r="B108" i="150" s="1"/>
  <c r="E107" i="150"/>
  <c r="I166" i="150" l="1"/>
  <c r="I158" i="150"/>
  <c r="I160" i="150"/>
  <c r="I162" i="150"/>
  <c r="I165" i="150"/>
  <c r="I157" i="150"/>
  <c r="I168" i="150"/>
  <c r="I163" i="150"/>
  <c r="I169" i="150"/>
  <c r="I172" i="150"/>
  <c r="I167" i="150"/>
  <c r="I170" i="150"/>
  <c r="J95" i="150"/>
  <c r="H95" i="150"/>
  <c r="I161" i="150"/>
  <c r="I159" i="150"/>
  <c r="I164" i="150"/>
  <c r="I171" i="150"/>
  <c r="H174" i="150"/>
  <c r="I144" i="150"/>
  <c r="O126" i="150"/>
  <c r="G127" i="150" s="1"/>
  <c r="K126" i="150"/>
  <c r="M126" i="150" s="1"/>
  <c r="K94" i="150"/>
  <c r="M94" i="150" s="1"/>
  <c r="N155" i="150"/>
  <c r="J156" i="150"/>
  <c r="K156" i="150" s="1"/>
  <c r="M156" i="150" s="1"/>
  <c r="I284" i="150"/>
  <c r="O156" i="150"/>
  <c r="G157" i="150" s="1"/>
  <c r="F108" i="150"/>
  <c r="C109" i="150"/>
  <c r="B109" i="150" s="1"/>
  <c r="E108" i="150"/>
  <c r="D109" i="150"/>
  <c r="D171" i="150"/>
  <c r="E170" i="150"/>
  <c r="C171" i="150"/>
  <c r="B171" i="150" s="1"/>
  <c r="F170" i="150"/>
  <c r="D78" i="150"/>
  <c r="E77" i="150"/>
  <c r="C78" i="150"/>
  <c r="B78" i="150" s="1"/>
  <c r="F77" i="150"/>
  <c r="F229" i="150"/>
  <c r="E229" i="150"/>
  <c r="D201" i="150"/>
  <c r="E200" i="150"/>
  <c r="C201" i="150"/>
  <c r="B201" i="150" s="1"/>
  <c r="F200" i="150"/>
  <c r="D140" i="150"/>
  <c r="E139" i="150"/>
  <c r="C140" i="150"/>
  <c r="B140" i="150" s="1"/>
  <c r="F139" i="150"/>
  <c r="I174" i="150" l="1"/>
  <c r="I95" i="150"/>
  <c r="K95" i="150" s="1"/>
  <c r="I109" i="150"/>
  <c r="I103" i="150"/>
  <c r="I96" i="150"/>
  <c r="I107" i="150"/>
  <c r="I100" i="150"/>
  <c r="I105" i="150"/>
  <c r="I108" i="150"/>
  <c r="I106" i="150"/>
  <c r="I101" i="150"/>
  <c r="I110" i="150"/>
  <c r="I102" i="150"/>
  <c r="I97" i="150"/>
  <c r="I104" i="150"/>
  <c r="I111" i="150"/>
  <c r="I98" i="150"/>
  <c r="I99" i="150"/>
  <c r="H113" i="150"/>
  <c r="N95" i="150"/>
  <c r="J127" i="150"/>
  <c r="K127" i="150" s="1"/>
  <c r="M127" i="150" s="1"/>
  <c r="O127" i="150"/>
  <c r="G128" i="150" s="1"/>
  <c r="N156" i="150"/>
  <c r="O157" i="150"/>
  <c r="G158" i="150" s="1"/>
  <c r="J158" i="150" s="1"/>
  <c r="J157" i="150"/>
  <c r="N157" i="150" s="1"/>
  <c r="F201" i="150"/>
  <c r="E201" i="150"/>
  <c r="C172" i="150"/>
  <c r="B172" i="150" s="1"/>
  <c r="D172" i="150"/>
  <c r="F171" i="150"/>
  <c r="E171" i="150"/>
  <c r="D110" i="150"/>
  <c r="E109" i="150"/>
  <c r="C110" i="150"/>
  <c r="B110" i="150" s="1"/>
  <c r="F109" i="150"/>
  <c r="C141" i="150"/>
  <c r="B141" i="150" s="1"/>
  <c r="D141" i="150"/>
  <c r="F140" i="150"/>
  <c r="E140" i="150"/>
  <c r="C79" i="150"/>
  <c r="B79" i="150" s="1"/>
  <c r="F78" i="150"/>
  <c r="E78" i="150"/>
  <c r="D79" i="150"/>
  <c r="O95" i="150" l="1"/>
  <c r="G96" i="150" s="1"/>
  <c r="O96" i="150" s="1"/>
  <c r="G97" i="150" s="1"/>
  <c r="I113" i="150"/>
  <c r="N127" i="150"/>
  <c r="J128" i="150"/>
  <c r="K128" i="150" s="1"/>
  <c r="M128" i="150" s="1"/>
  <c r="O128" i="150"/>
  <c r="G129" i="150" s="1"/>
  <c r="K157" i="150"/>
  <c r="M157" i="150" s="1"/>
  <c r="D142" i="150"/>
  <c r="C142" i="150"/>
  <c r="B142" i="150" s="1"/>
  <c r="O158" i="150"/>
  <c r="G159" i="150" s="1"/>
  <c r="J159" i="150" s="1"/>
  <c r="N158" i="150"/>
  <c r="K158" i="150"/>
  <c r="M158" i="150" s="1"/>
  <c r="M95" i="150"/>
  <c r="F79" i="150"/>
  <c r="E79" i="150"/>
  <c r="F172" i="150"/>
  <c r="E172" i="150"/>
  <c r="C111" i="150"/>
  <c r="B111" i="150" s="1"/>
  <c r="D111" i="150"/>
  <c r="F110" i="150"/>
  <c r="E110" i="150"/>
  <c r="F141" i="150"/>
  <c r="E141" i="150"/>
  <c r="J96" i="150" l="1"/>
  <c r="N96" i="150" s="1"/>
  <c r="N128" i="150"/>
  <c r="J129" i="150"/>
  <c r="K129" i="150" s="1"/>
  <c r="M129" i="150" s="1"/>
  <c r="O129" i="150"/>
  <c r="G130" i="150" s="1"/>
  <c r="F142" i="150"/>
  <c r="E142" i="150"/>
  <c r="O159" i="150"/>
  <c r="G160" i="150" s="1"/>
  <c r="O160" i="150" s="1"/>
  <c r="G161" i="150" s="1"/>
  <c r="N159" i="150"/>
  <c r="K159" i="150"/>
  <c r="J97" i="150"/>
  <c r="O97" i="150"/>
  <c r="G98" i="150" s="1"/>
  <c r="F111" i="150"/>
  <c r="E111" i="150"/>
  <c r="K96" i="150" l="1"/>
  <c r="M96" i="150" s="1"/>
  <c r="N129" i="150"/>
  <c r="J130" i="150"/>
  <c r="K130" i="150" s="1"/>
  <c r="M130" i="150" s="1"/>
  <c r="O130" i="150"/>
  <c r="G131" i="150" s="1"/>
  <c r="J160" i="150"/>
  <c r="K160" i="150" s="1"/>
  <c r="M160" i="150" s="1"/>
  <c r="M159" i="150"/>
  <c r="J161" i="150"/>
  <c r="O161" i="150"/>
  <c r="G162" i="150" s="1"/>
  <c r="K97" i="150"/>
  <c r="N97" i="150"/>
  <c r="O98" i="150"/>
  <c r="G99" i="150" s="1"/>
  <c r="J98" i="150"/>
  <c r="J131" i="150" l="1"/>
  <c r="K131" i="150" s="1"/>
  <c r="M131" i="150" s="1"/>
  <c r="O131" i="150"/>
  <c r="G132" i="150" s="1"/>
  <c r="N130" i="150"/>
  <c r="N160" i="150"/>
  <c r="N161" i="150"/>
  <c r="K161" i="150"/>
  <c r="O162" i="150"/>
  <c r="G163" i="150" s="1"/>
  <c r="J162" i="150"/>
  <c r="M97" i="150"/>
  <c r="K98" i="150"/>
  <c r="M98" i="150" s="1"/>
  <c r="N98" i="150"/>
  <c r="O99" i="150"/>
  <c r="G100" i="150" s="1"/>
  <c r="J99" i="150"/>
  <c r="J132" i="150" l="1"/>
  <c r="K132" i="150" s="1"/>
  <c r="M132" i="150" s="1"/>
  <c r="O132" i="150"/>
  <c r="G133" i="150" s="1"/>
  <c r="N131" i="150"/>
  <c r="K99" i="150"/>
  <c r="M99" i="150" s="1"/>
  <c r="M161" i="150"/>
  <c r="N162" i="150"/>
  <c r="K162" i="150"/>
  <c r="M162" i="150" s="1"/>
  <c r="J163" i="150"/>
  <c r="K163" i="150" s="1"/>
  <c r="M163" i="150" s="1"/>
  <c r="O163" i="150"/>
  <c r="G164" i="150" s="1"/>
  <c r="N99" i="150"/>
  <c r="J100" i="150"/>
  <c r="O100" i="150"/>
  <c r="G101" i="150" s="1"/>
  <c r="K34" i="152"/>
  <c r="K33" i="152"/>
  <c r="J28" i="152"/>
  <c r="F28" i="152"/>
  <c r="J27" i="152"/>
  <c r="C33" i="152" s="1"/>
  <c r="D33" i="152" s="1"/>
  <c r="F27" i="152"/>
  <c r="E26" i="152"/>
  <c r="E29" i="152" s="1"/>
  <c r="D26" i="152"/>
  <c r="D29" i="152" s="1"/>
  <c r="C26" i="152"/>
  <c r="G26" i="197" s="1"/>
  <c r="F25" i="152"/>
  <c r="F24" i="152"/>
  <c r="F23" i="152"/>
  <c r="F22" i="152"/>
  <c r="F21" i="152"/>
  <c r="F20" i="152"/>
  <c r="F19" i="152"/>
  <c r="F18" i="152"/>
  <c r="F17" i="152"/>
  <c r="F16" i="152"/>
  <c r="F15" i="152"/>
  <c r="F14" i="152"/>
  <c r="F13" i="152"/>
  <c r="F12" i="152"/>
  <c r="F11" i="152"/>
  <c r="F10" i="152"/>
  <c r="F9" i="152"/>
  <c r="F8" i="152"/>
  <c r="F7" i="152"/>
  <c r="F6" i="152"/>
  <c r="F5" i="152"/>
  <c r="F4" i="152"/>
  <c r="F3" i="152"/>
  <c r="F2" i="152"/>
  <c r="F24" i="150"/>
  <c r="F23" i="150"/>
  <c r="E22" i="150"/>
  <c r="E25" i="150" s="1"/>
  <c r="D22" i="150"/>
  <c r="D25" i="150" s="1"/>
  <c r="C22" i="150"/>
  <c r="G68" i="197" s="1"/>
  <c r="F21" i="150"/>
  <c r="F20" i="150"/>
  <c r="F19" i="150"/>
  <c r="F18" i="150"/>
  <c r="F17" i="150"/>
  <c r="L16" i="150"/>
  <c r="K16" i="150"/>
  <c r="J16" i="150"/>
  <c r="F16" i="150"/>
  <c r="N15" i="150"/>
  <c r="F15" i="150"/>
  <c r="N14" i="150"/>
  <c r="F14" i="150"/>
  <c r="N13" i="150"/>
  <c r="F13" i="150"/>
  <c r="N12" i="150"/>
  <c r="F12" i="150"/>
  <c r="N11" i="150"/>
  <c r="F11" i="150"/>
  <c r="N10" i="150"/>
  <c r="F10" i="150"/>
  <c r="N9" i="150"/>
  <c r="F9" i="150"/>
  <c r="N8" i="150"/>
  <c r="F8" i="150"/>
  <c r="N7" i="150"/>
  <c r="F7" i="150"/>
  <c r="N6" i="150"/>
  <c r="F6" i="150"/>
  <c r="N5" i="150"/>
  <c r="F5" i="150"/>
  <c r="L18" i="150"/>
  <c r="N4" i="150"/>
  <c r="F4" i="150"/>
  <c r="L17" i="150"/>
  <c r="N3" i="150"/>
  <c r="F3" i="150"/>
  <c r="N2" i="150"/>
  <c r="F2" i="150"/>
  <c r="L38" i="152" l="1"/>
  <c r="J133" i="150"/>
  <c r="K133" i="150" s="1"/>
  <c r="M133" i="150" s="1"/>
  <c r="O133" i="150"/>
  <c r="G134" i="150" s="1"/>
  <c r="N132" i="150"/>
  <c r="C29" i="150"/>
  <c r="Q29" i="150"/>
  <c r="R29" i="150" s="1"/>
  <c r="N163" i="150"/>
  <c r="L20" i="150"/>
  <c r="J164" i="150"/>
  <c r="O164" i="150"/>
  <c r="G165" i="150" s="1"/>
  <c r="K100" i="150"/>
  <c r="J101" i="150"/>
  <c r="O101" i="150"/>
  <c r="G102" i="150" s="1"/>
  <c r="N100" i="150"/>
  <c r="L55" i="152"/>
  <c r="F22" i="150"/>
  <c r="F25" i="150" s="1"/>
  <c r="L39" i="152"/>
  <c r="L44" i="152"/>
  <c r="L49" i="152"/>
  <c r="L56" i="152"/>
  <c r="F26" i="152"/>
  <c r="F29" i="152" s="1"/>
  <c r="M34" i="152"/>
  <c r="L40" i="152"/>
  <c r="L45" i="152"/>
  <c r="L51" i="152"/>
  <c r="L41" i="152"/>
  <c r="L47" i="152"/>
  <c r="L52" i="152"/>
  <c r="L43" i="152"/>
  <c r="L48" i="152"/>
  <c r="L53" i="152"/>
  <c r="C34" i="152"/>
  <c r="D34" i="152" s="1"/>
  <c r="C35" i="152" s="1"/>
  <c r="D35" i="152" s="1"/>
  <c r="C36" i="152" s="1"/>
  <c r="D36" i="152" s="1"/>
  <c r="C37" i="152" s="1"/>
  <c r="D37" i="152" s="1"/>
  <c r="F33" i="152"/>
  <c r="E33" i="152"/>
  <c r="M33" i="152"/>
  <c r="C29" i="152"/>
  <c r="G33" i="152"/>
  <c r="L42" i="152"/>
  <c r="L46" i="152"/>
  <c r="L50" i="152"/>
  <c r="L54" i="152"/>
  <c r="C25" i="150"/>
  <c r="N16" i="150"/>
  <c r="D35" i="132"/>
  <c r="D36" i="132" s="1"/>
  <c r="C35" i="132"/>
  <c r="J134" i="150" l="1"/>
  <c r="K134" i="150" s="1"/>
  <c r="M134" i="150" s="1"/>
  <c r="O134" i="150"/>
  <c r="G135" i="150" s="1"/>
  <c r="N133" i="150"/>
  <c r="F35" i="152"/>
  <c r="E35" i="152"/>
  <c r="D29" i="150"/>
  <c r="F35" i="132"/>
  <c r="E35" i="132"/>
  <c r="R30" i="150"/>
  <c r="Q30" i="150"/>
  <c r="N101" i="150"/>
  <c r="N164" i="150"/>
  <c r="K164" i="150"/>
  <c r="O165" i="150"/>
  <c r="G166" i="150" s="1"/>
  <c r="J165" i="150"/>
  <c r="K101" i="150"/>
  <c r="M101" i="150" s="1"/>
  <c r="M100" i="150"/>
  <c r="O102" i="150"/>
  <c r="G103" i="150" s="1"/>
  <c r="J102" i="150"/>
  <c r="L58" i="152"/>
  <c r="F36" i="152"/>
  <c r="E36" i="152"/>
  <c r="F34" i="152"/>
  <c r="E34" i="152"/>
  <c r="H33" i="152"/>
  <c r="L50" i="150"/>
  <c r="B35" i="132"/>
  <c r="C36" i="132"/>
  <c r="B36" i="132" s="1"/>
  <c r="J135" i="150" l="1"/>
  <c r="K135" i="150" s="1"/>
  <c r="M135" i="150" s="1"/>
  <c r="O135" i="150"/>
  <c r="G136" i="150" s="1"/>
  <c r="N134" i="150"/>
  <c r="C30" i="150"/>
  <c r="F29" i="150"/>
  <c r="N33" i="152"/>
  <c r="E29" i="150"/>
  <c r="Q31" i="150"/>
  <c r="R31" i="150"/>
  <c r="K102" i="150"/>
  <c r="M102" i="150" s="1"/>
  <c r="N165" i="150"/>
  <c r="K165" i="150"/>
  <c r="M165" i="150" s="1"/>
  <c r="M164" i="150"/>
  <c r="O166" i="150"/>
  <c r="G167" i="150" s="1"/>
  <c r="J166" i="150"/>
  <c r="N102" i="150"/>
  <c r="J103" i="150"/>
  <c r="O103" i="150"/>
  <c r="G104" i="150" s="1"/>
  <c r="O33" i="152"/>
  <c r="G34" i="152" s="1"/>
  <c r="H34" i="152" s="1"/>
  <c r="J136" i="150" l="1"/>
  <c r="K136" i="150" s="1"/>
  <c r="M136" i="150" s="1"/>
  <c r="O136" i="150"/>
  <c r="G137" i="150" s="1"/>
  <c r="N135" i="150"/>
  <c r="H29" i="150"/>
  <c r="N29" i="150" s="1"/>
  <c r="D30" i="150"/>
  <c r="B30" i="150"/>
  <c r="R32" i="150"/>
  <c r="Q32" i="150"/>
  <c r="N166" i="150"/>
  <c r="K166" i="150"/>
  <c r="M166" i="150" s="1"/>
  <c r="O167" i="150"/>
  <c r="G168" i="150" s="1"/>
  <c r="J167" i="150"/>
  <c r="K103" i="150"/>
  <c r="M103" i="150" s="1"/>
  <c r="O104" i="150"/>
  <c r="G105" i="150" s="1"/>
  <c r="J104" i="150"/>
  <c r="N103" i="150"/>
  <c r="C38" i="152"/>
  <c r="F37" i="152"/>
  <c r="E37" i="152"/>
  <c r="O29" i="150" l="1"/>
  <c r="G30" i="150" s="1"/>
  <c r="J137" i="150"/>
  <c r="K137" i="150" s="1"/>
  <c r="M137" i="150" s="1"/>
  <c r="O137" i="150"/>
  <c r="G138" i="150" s="1"/>
  <c r="N136" i="150"/>
  <c r="F30" i="150"/>
  <c r="C31" i="150"/>
  <c r="E30" i="150"/>
  <c r="R33" i="150"/>
  <c r="Q33" i="150"/>
  <c r="K29" i="150"/>
  <c r="M29" i="150" s="1"/>
  <c r="N167" i="150"/>
  <c r="K167" i="150"/>
  <c r="M167" i="150" s="1"/>
  <c r="O168" i="150"/>
  <c r="G169" i="150" s="1"/>
  <c r="J168" i="150"/>
  <c r="K104" i="150"/>
  <c r="M104" i="150" s="1"/>
  <c r="N104" i="150"/>
  <c r="J105" i="150"/>
  <c r="O105" i="150"/>
  <c r="G106" i="150" s="1"/>
  <c r="N34" i="152"/>
  <c r="D38" i="152"/>
  <c r="B38" i="152"/>
  <c r="H30" i="150" l="1"/>
  <c r="I48" i="150" s="1"/>
  <c r="N137" i="150"/>
  <c r="J138" i="150"/>
  <c r="K138" i="150" s="1"/>
  <c r="M138" i="150" s="1"/>
  <c r="O138" i="150"/>
  <c r="G139" i="150" s="1"/>
  <c r="J30" i="150"/>
  <c r="N30" i="150" s="1"/>
  <c r="B31" i="150"/>
  <c r="D31" i="150"/>
  <c r="I43" i="150"/>
  <c r="I32" i="150"/>
  <c r="H50" i="150"/>
  <c r="I36" i="150"/>
  <c r="I44" i="150"/>
  <c r="I33" i="150"/>
  <c r="I30" i="150"/>
  <c r="I38" i="150"/>
  <c r="I45" i="150"/>
  <c r="I31" i="150"/>
  <c r="I37" i="150"/>
  <c r="I42" i="150"/>
  <c r="R34" i="150"/>
  <c r="Q34" i="150"/>
  <c r="K105" i="150"/>
  <c r="M105" i="150" s="1"/>
  <c r="N168" i="150"/>
  <c r="K168" i="150"/>
  <c r="M168" i="150" s="1"/>
  <c r="O169" i="150"/>
  <c r="G170" i="150" s="1"/>
  <c r="J169" i="150"/>
  <c r="N105" i="150"/>
  <c r="O106" i="150"/>
  <c r="G107" i="150" s="1"/>
  <c r="J106" i="150"/>
  <c r="O34" i="152"/>
  <c r="G35" i="152" s="1"/>
  <c r="K35" i="152"/>
  <c r="M35" i="152" s="1"/>
  <c r="C39" i="152"/>
  <c r="E38" i="152"/>
  <c r="F38" i="152"/>
  <c r="I47" i="150" l="1"/>
  <c r="I46" i="150"/>
  <c r="I39" i="150"/>
  <c r="I40" i="150"/>
  <c r="I41" i="150"/>
  <c r="I34" i="150"/>
  <c r="I50" i="150" s="1"/>
  <c r="I35" i="150"/>
  <c r="N138" i="150"/>
  <c r="J139" i="150"/>
  <c r="K139" i="150" s="1"/>
  <c r="M139" i="150" s="1"/>
  <c r="O139" i="150"/>
  <c r="G140" i="150" s="1"/>
  <c r="K30" i="150"/>
  <c r="M30" i="150" s="1"/>
  <c r="F31" i="150"/>
  <c r="C32" i="150"/>
  <c r="E31" i="150"/>
  <c r="O30" i="150"/>
  <c r="G31" i="150" s="1"/>
  <c r="Q35" i="150"/>
  <c r="R35" i="150"/>
  <c r="K106" i="150"/>
  <c r="M106" i="150" s="1"/>
  <c r="N169" i="150"/>
  <c r="K169" i="150"/>
  <c r="M169" i="150" s="1"/>
  <c r="O170" i="150"/>
  <c r="G171" i="150" s="1"/>
  <c r="J170" i="150"/>
  <c r="J107" i="150"/>
  <c r="O107" i="150"/>
  <c r="G108" i="150" s="1"/>
  <c r="N106" i="150"/>
  <c r="K36" i="152"/>
  <c r="M36" i="152" s="1"/>
  <c r="B39" i="152"/>
  <c r="D39" i="152"/>
  <c r="N139" i="150" l="1"/>
  <c r="J140" i="150"/>
  <c r="K140" i="150" s="1"/>
  <c r="M140" i="150" s="1"/>
  <c r="O140" i="150"/>
  <c r="G141" i="150" s="1"/>
  <c r="D32" i="150"/>
  <c r="B32" i="150"/>
  <c r="O31" i="150"/>
  <c r="G32" i="150" s="1"/>
  <c r="J31" i="150"/>
  <c r="R36" i="150"/>
  <c r="Q36" i="150"/>
  <c r="K107" i="150"/>
  <c r="M107" i="150" s="1"/>
  <c r="N170" i="150"/>
  <c r="K170" i="150"/>
  <c r="M170" i="150" s="1"/>
  <c r="O171" i="150"/>
  <c r="G172" i="150" s="1"/>
  <c r="J171" i="150"/>
  <c r="N107" i="150"/>
  <c r="J108" i="150"/>
  <c r="O108" i="150"/>
  <c r="G109" i="150" s="1"/>
  <c r="H35" i="152"/>
  <c r="F39" i="152"/>
  <c r="C40" i="152"/>
  <c r="E39" i="152"/>
  <c r="J141" i="150" l="1"/>
  <c r="K141" i="150" s="1"/>
  <c r="M141" i="150" s="1"/>
  <c r="O141" i="150"/>
  <c r="G142" i="150" s="1"/>
  <c r="N140" i="150"/>
  <c r="C33" i="150"/>
  <c r="F32" i="150"/>
  <c r="E32" i="150"/>
  <c r="O32" i="150"/>
  <c r="G33" i="150" s="1"/>
  <c r="K31" i="150"/>
  <c r="M31" i="150" s="1"/>
  <c r="N31" i="150"/>
  <c r="O35" i="152"/>
  <c r="G36" i="152" s="1"/>
  <c r="R37" i="150"/>
  <c r="Q37" i="150"/>
  <c r="N171" i="150"/>
  <c r="K171" i="150"/>
  <c r="M171" i="150" s="1"/>
  <c r="G174" i="150"/>
  <c r="O172" i="150"/>
  <c r="O174" i="150" s="1"/>
  <c r="J172" i="150"/>
  <c r="K108" i="150"/>
  <c r="M108" i="150" s="1"/>
  <c r="N108" i="150"/>
  <c r="O109" i="150"/>
  <c r="G110" i="150" s="1"/>
  <c r="J109" i="150"/>
  <c r="N35" i="152"/>
  <c r="D40" i="152"/>
  <c r="B40" i="152"/>
  <c r="J32" i="150" l="1"/>
  <c r="N32" i="150" s="1"/>
  <c r="J142" i="150"/>
  <c r="K142" i="150" s="1"/>
  <c r="K144" i="150" s="1"/>
  <c r="O142" i="150"/>
  <c r="O144" i="150" s="1"/>
  <c r="G144" i="150"/>
  <c r="N141" i="150"/>
  <c r="D33" i="150"/>
  <c r="B33" i="150"/>
  <c r="R38" i="150"/>
  <c r="Q38" i="150"/>
  <c r="K109" i="150"/>
  <c r="M109" i="150" s="1"/>
  <c r="N172" i="150"/>
  <c r="N174" i="150" s="1"/>
  <c r="K172" i="150"/>
  <c r="J174" i="150"/>
  <c r="N109" i="150"/>
  <c r="J110" i="150"/>
  <c r="O110" i="150"/>
  <c r="G111" i="150" s="1"/>
  <c r="H36" i="152"/>
  <c r="E40" i="152"/>
  <c r="C41" i="152"/>
  <c r="F40" i="152"/>
  <c r="O33" i="150"/>
  <c r="K32" i="150" l="1"/>
  <c r="M32" i="150" s="1"/>
  <c r="M142" i="150"/>
  <c r="M144" i="150" s="1"/>
  <c r="J144" i="150"/>
  <c r="N142" i="150"/>
  <c r="N144" i="150" s="1"/>
  <c r="C34" i="150"/>
  <c r="F33" i="150"/>
  <c r="E33" i="150"/>
  <c r="R39" i="150"/>
  <c r="Q39" i="150"/>
  <c r="N110" i="150"/>
  <c r="M172" i="150"/>
  <c r="M174" i="150" s="1"/>
  <c r="K174" i="150"/>
  <c r="K110" i="150"/>
  <c r="M110" i="150" s="1"/>
  <c r="G113" i="150"/>
  <c r="J111" i="150"/>
  <c r="O111" i="150"/>
  <c r="O113" i="150" s="1"/>
  <c r="O36" i="152"/>
  <c r="G37" i="152" s="1"/>
  <c r="N36" i="152"/>
  <c r="D41" i="152"/>
  <c r="B41" i="152"/>
  <c r="G34" i="150"/>
  <c r="J33" i="150" l="1"/>
  <c r="D34" i="150"/>
  <c r="B34" i="150"/>
  <c r="R40" i="150"/>
  <c r="Q40" i="150"/>
  <c r="K111" i="150"/>
  <c r="J113" i="150"/>
  <c r="N111" i="150"/>
  <c r="N113" i="150" s="1"/>
  <c r="C42" i="152"/>
  <c r="F41" i="152"/>
  <c r="E41" i="152"/>
  <c r="O34" i="150"/>
  <c r="G35" i="150" s="1"/>
  <c r="C35" i="150" l="1"/>
  <c r="E34" i="150"/>
  <c r="F34" i="150"/>
  <c r="J34" i="150" s="1"/>
  <c r="N34" i="150" s="1"/>
  <c r="N33" i="150"/>
  <c r="K33" i="150"/>
  <c r="Q41" i="150"/>
  <c r="R41" i="150"/>
  <c r="M111" i="150"/>
  <c r="M113" i="150" s="1"/>
  <c r="K113" i="150"/>
  <c r="H37" i="152"/>
  <c r="D42" i="152"/>
  <c r="B42" i="152"/>
  <c r="O35" i="150"/>
  <c r="G36" i="150" s="1"/>
  <c r="K34" i="150" l="1"/>
  <c r="M34" i="150" s="1"/>
  <c r="M33" i="150"/>
  <c r="D35" i="150"/>
  <c r="B35" i="150"/>
  <c r="N37" i="152"/>
  <c r="Q42" i="150"/>
  <c r="R42" i="150"/>
  <c r="F42" i="152"/>
  <c r="C43" i="152"/>
  <c r="E42" i="152"/>
  <c r="O36" i="150"/>
  <c r="G37" i="150" s="1"/>
  <c r="F35" i="150" l="1"/>
  <c r="C36" i="150"/>
  <c r="E35" i="150"/>
  <c r="R43" i="150"/>
  <c r="Q43" i="150"/>
  <c r="K37" i="152"/>
  <c r="O37" i="152"/>
  <c r="G38" i="152" s="1"/>
  <c r="B43" i="152"/>
  <c r="D43" i="152"/>
  <c r="O37" i="150"/>
  <c r="G38" i="150" s="1"/>
  <c r="D36" i="150" l="1"/>
  <c r="B36" i="150"/>
  <c r="J35" i="150"/>
  <c r="J38" i="152"/>
  <c r="H38" i="152"/>
  <c r="R44" i="150"/>
  <c r="Q44" i="150"/>
  <c r="M37" i="152"/>
  <c r="F43" i="152"/>
  <c r="C44" i="152"/>
  <c r="E43" i="152"/>
  <c r="O38" i="150"/>
  <c r="G39" i="150" s="1"/>
  <c r="K35" i="150" l="1"/>
  <c r="N35" i="150"/>
  <c r="F36" i="150"/>
  <c r="E36" i="150"/>
  <c r="C37" i="150"/>
  <c r="I55" i="152"/>
  <c r="I38" i="152"/>
  <c r="I41" i="152"/>
  <c r="I42" i="152"/>
  <c r="I47" i="152"/>
  <c r="I54" i="152"/>
  <c r="I45" i="152"/>
  <c r="I46" i="152"/>
  <c r="I50" i="152"/>
  <c r="I56" i="152"/>
  <c r="I53" i="152"/>
  <c r="I52" i="152"/>
  <c r="I49" i="152"/>
  <c r="I51" i="152"/>
  <c r="I39" i="152"/>
  <c r="H58" i="152"/>
  <c r="I43" i="152"/>
  <c r="I40" i="152"/>
  <c r="I48" i="152"/>
  <c r="I44" i="152"/>
  <c r="Q45" i="150"/>
  <c r="R45" i="150"/>
  <c r="B44" i="152"/>
  <c r="D44" i="152"/>
  <c r="O39" i="150"/>
  <c r="G40" i="150" s="1"/>
  <c r="J36" i="150" l="1"/>
  <c r="D37" i="150"/>
  <c r="B37" i="150"/>
  <c r="M35" i="150"/>
  <c r="I58" i="152"/>
  <c r="O38" i="152"/>
  <c r="G39" i="152" s="1"/>
  <c r="O39" i="152" s="1"/>
  <c r="G40" i="152" s="1"/>
  <c r="Q46" i="150"/>
  <c r="R46" i="150"/>
  <c r="N38" i="152"/>
  <c r="K38" i="152"/>
  <c r="E44" i="152"/>
  <c r="C45" i="152"/>
  <c r="F44" i="152"/>
  <c r="O40" i="150"/>
  <c r="G41" i="150" s="1"/>
  <c r="C38" i="150" l="1"/>
  <c r="F37" i="150"/>
  <c r="J37" i="150" s="1"/>
  <c r="E37" i="150"/>
  <c r="K36" i="150"/>
  <c r="N36" i="150"/>
  <c r="J39" i="152"/>
  <c r="K39" i="152" s="1"/>
  <c r="M39" i="152" s="1"/>
  <c r="R47" i="150"/>
  <c r="Q47" i="150"/>
  <c r="J40" i="152"/>
  <c r="N40" i="152" s="1"/>
  <c r="O40" i="152"/>
  <c r="G41" i="152" s="1"/>
  <c r="M38" i="152"/>
  <c r="D45" i="152"/>
  <c r="B45" i="152"/>
  <c r="O41" i="150"/>
  <c r="G42" i="150" s="1"/>
  <c r="M36" i="150" l="1"/>
  <c r="N39" i="152"/>
  <c r="K37" i="150"/>
  <c r="N37" i="150"/>
  <c r="D38" i="150"/>
  <c r="B38" i="150"/>
  <c r="Q48" i="150"/>
  <c r="R48" i="150"/>
  <c r="O41" i="152"/>
  <c r="G42" i="152" s="1"/>
  <c r="J41" i="152"/>
  <c r="K40" i="152"/>
  <c r="C46" i="152"/>
  <c r="E45" i="152"/>
  <c r="F45" i="152"/>
  <c r="O42" i="150"/>
  <c r="G43" i="150" s="1"/>
  <c r="M37" i="150" l="1"/>
  <c r="F38" i="150"/>
  <c r="C39" i="150"/>
  <c r="E38" i="150"/>
  <c r="M40" i="152"/>
  <c r="N41" i="152"/>
  <c r="K41" i="152"/>
  <c r="O42" i="152"/>
  <c r="G43" i="152" s="1"/>
  <c r="J42" i="152"/>
  <c r="K42" i="152" s="1"/>
  <c r="B46" i="152"/>
  <c r="D46" i="152"/>
  <c r="O43" i="150"/>
  <c r="G44" i="150" s="1"/>
  <c r="M41" i="152" l="1"/>
  <c r="M42" i="152"/>
  <c r="D39" i="150"/>
  <c r="B39" i="150"/>
  <c r="J38" i="150"/>
  <c r="N42" i="152"/>
  <c r="O43" i="152"/>
  <c r="G44" i="152" s="1"/>
  <c r="J43" i="152"/>
  <c r="K43" i="152" s="1"/>
  <c r="F46" i="152"/>
  <c r="C47" i="152"/>
  <c r="E46" i="152"/>
  <c r="O44" i="150"/>
  <c r="G45" i="150" s="1"/>
  <c r="K38" i="150" l="1"/>
  <c r="N38" i="150"/>
  <c r="E39" i="150"/>
  <c r="C40" i="150"/>
  <c r="F39" i="150"/>
  <c r="N43" i="152"/>
  <c r="M43" i="152"/>
  <c r="O44" i="152"/>
  <c r="G45" i="152" s="1"/>
  <c r="J44" i="152"/>
  <c r="B47" i="152"/>
  <c r="D47" i="152"/>
  <c r="O45" i="150"/>
  <c r="G46" i="150" s="1"/>
  <c r="M38" i="150" l="1"/>
  <c r="B40" i="150"/>
  <c r="D40" i="150"/>
  <c r="J39" i="150"/>
  <c r="N44" i="152"/>
  <c r="K44" i="152"/>
  <c r="O45" i="152"/>
  <c r="G46" i="152" s="1"/>
  <c r="J45" i="152"/>
  <c r="K45" i="152" s="1"/>
  <c r="F47" i="152"/>
  <c r="C48" i="152"/>
  <c r="E47" i="152"/>
  <c r="O46" i="150"/>
  <c r="G47" i="150" s="1"/>
  <c r="M45" i="152" l="1"/>
  <c r="E40" i="150"/>
  <c r="C41" i="150"/>
  <c r="F40" i="150"/>
  <c r="J40" i="150" s="1"/>
  <c r="K39" i="150"/>
  <c r="N39" i="150"/>
  <c r="O46" i="152"/>
  <c r="G47" i="152" s="1"/>
  <c r="O47" i="152" s="1"/>
  <c r="G48" i="152" s="1"/>
  <c r="O48" i="152" s="1"/>
  <c r="G49" i="152" s="1"/>
  <c r="O49" i="152" s="1"/>
  <c r="G50" i="152" s="1"/>
  <c r="O50" i="152" s="1"/>
  <c r="G51" i="152" s="1"/>
  <c r="O51" i="152" s="1"/>
  <c r="G52" i="152" s="1"/>
  <c r="J46" i="152"/>
  <c r="M44" i="152"/>
  <c r="N45" i="152"/>
  <c r="B48" i="152"/>
  <c r="D48" i="152"/>
  <c r="O47" i="150"/>
  <c r="G48" i="150" s="1"/>
  <c r="M39" i="150" l="1"/>
  <c r="D41" i="150"/>
  <c r="B41" i="150"/>
  <c r="K40" i="150"/>
  <c r="N40" i="150"/>
  <c r="J47" i="152"/>
  <c r="N47" i="152" s="1"/>
  <c r="N46" i="152"/>
  <c r="K46" i="152"/>
  <c r="O52" i="152"/>
  <c r="G53" i="152" s="1"/>
  <c r="E48" i="152"/>
  <c r="C49" i="152"/>
  <c r="F48" i="152"/>
  <c r="O48" i="150"/>
  <c r="M40" i="150" l="1"/>
  <c r="M46" i="152"/>
  <c r="C42" i="150"/>
  <c r="E41" i="150"/>
  <c r="F41" i="150"/>
  <c r="K47" i="152"/>
  <c r="J48" i="152"/>
  <c r="K48" i="152" s="1"/>
  <c r="D49" i="152"/>
  <c r="B49" i="152"/>
  <c r="O53" i="152"/>
  <c r="G54" i="152" s="1"/>
  <c r="M48" i="152" l="1"/>
  <c r="M47" i="152"/>
  <c r="J41" i="150"/>
  <c r="K41" i="150" s="1"/>
  <c r="B42" i="150"/>
  <c r="D42" i="150"/>
  <c r="O50" i="150"/>
  <c r="G50" i="150"/>
  <c r="N48" i="152"/>
  <c r="O54" i="152"/>
  <c r="G55" i="152" s="1"/>
  <c r="C50" i="152"/>
  <c r="F49" i="152"/>
  <c r="E49" i="152"/>
  <c r="M41" i="150" l="1"/>
  <c r="N41" i="150"/>
  <c r="E42" i="150"/>
  <c r="C43" i="150"/>
  <c r="F42" i="150"/>
  <c r="J42" i="150" s="1"/>
  <c r="J49" i="152"/>
  <c r="O55" i="152"/>
  <c r="G56" i="152" s="1"/>
  <c r="D50" i="152"/>
  <c r="B50" i="152"/>
  <c r="N42" i="150" l="1"/>
  <c r="K42" i="150"/>
  <c r="B43" i="150"/>
  <c r="D43" i="150"/>
  <c r="O56" i="152"/>
  <c r="K49" i="152"/>
  <c r="N49" i="152"/>
  <c r="F50" i="152"/>
  <c r="C51" i="152"/>
  <c r="E50" i="152"/>
  <c r="M49" i="152" l="1"/>
  <c r="M42" i="150"/>
  <c r="C44" i="150"/>
  <c r="F43" i="150"/>
  <c r="E43" i="150"/>
  <c r="B51" i="152"/>
  <c r="D51" i="152"/>
  <c r="J50" i="152"/>
  <c r="J43" i="150" l="1"/>
  <c r="K43" i="150" s="1"/>
  <c r="D44" i="150"/>
  <c r="B44" i="150"/>
  <c r="O58" i="152"/>
  <c r="G58" i="152"/>
  <c r="K50" i="152"/>
  <c r="N50" i="152"/>
  <c r="F51" i="152"/>
  <c r="C52" i="152"/>
  <c r="E51" i="152"/>
  <c r="M50" i="152" l="1"/>
  <c r="M43" i="150"/>
  <c r="N43" i="150"/>
  <c r="C45" i="150"/>
  <c r="F44" i="150"/>
  <c r="E44" i="150"/>
  <c r="D52" i="152"/>
  <c r="B52" i="152"/>
  <c r="J51" i="152"/>
  <c r="J44" i="150" l="1"/>
  <c r="N44" i="150" s="1"/>
  <c r="D45" i="150"/>
  <c r="B45" i="150"/>
  <c r="E52" i="152"/>
  <c r="C53" i="152"/>
  <c r="F52" i="152"/>
  <c r="K51" i="152"/>
  <c r="N51" i="152"/>
  <c r="K44" i="150" l="1"/>
  <c r="M44" i="150" s="1"/>
  <c r="M51" i="152"/>
  <c r="E45" i="150"/>
  <c r="C46" i="150"/>
  <c r="F45" i="150"/>
  <c r="J45" i="150" s="1"/>
  <c r="J52" i="152"/>
  <c r="D53" i="152"/>
  <c r="B53" i="152"/>
  <c r="D46" i="150" l="1"/>
  <c r="B46" i="150"/>
  <c r="K45" i="150"/>
  <c r="N45" i="150"/>
  <c r="C54" i="152"/>
  <c r="F53" i="152"/>
  <c r="E53" i="152"/>
  <c r="K52" i="152"/>
  <c r="N52" i="152"/>
  <c r="M45" i="150" l="1"/>
  <c r="M52" i="152"/>
  <c r="F46" i="150"/>
  <c r="C47" i="150"/>
  <c r="E46" i="150"/>
  <c r="J53" i="152"/>
  <c r="N53" i="152" s="1"/>
  <c r="D54" i="152"/>
  <c r="B54" i="152"/>
  <c r="J46" i="150" l="1"/>
  <c r="K46" i="150" s="1"/>
  <c r="B47" i="150"/>
  <c r="D47" i="150"/>
  <c r="K53" i="152"/>
  <c r="C55" i="152"/>
  <c r="E54" i="152"/>
  <c r="F54" i="152"/>
  <c r="N46" i="150" l="1"/>
  <c r="M53" i="152"/>
  <c r="M46" i="150"/>
  <c r="E47" i="150"/>
  <c r="F47" i="150"/>
  <c r="J47" i="150" s="1"/>
  <c r="C48" i="150"/>
  <c r="J54" i="152"/>
  <c r="N54" i="152" s="1"/>
  <c r="B55" i="152"/>
  <c r="D55" i="152"/>
  <c r="N47" i="150" l="1"/>
  <c r="K47" i="150"/>
  <c r="B48" i="150"/>
  <c r="D48" i="150"/>
  <c r="H68" i="197" s="1"/>
  <c r="I68" i="197" s="1"/>
  <c r="K54" i="152"/>
  <c r="C56" i="152"/>
  <c r="F55" i="152"/>
  <c r="E55" i="152"/>
  <c r="M47" i="150" l="1"/>
  <c r="M54" i="152"/>
  <c r="F48" i="150"/>
  <c r="E48" i="150"/>
  <c r="J55" i="152"/>
  <c r="N55" i="152" s="1"/>
  <c r="B56" i="152"/>
  <c r="D56" i="152"/>
  <c r="H26" i="197" s="1"/>
  <c r="I26" i="197" s="1"/>
  <c r="J48" i="150" l="1"/>
  <c r="K55" i="152"/>
  <c r="F56" i="152"/>
  <c r="E56" i="152"/>
  <c r="M55" i="152" l="1"/>
  <c r="K48" i="150"/>
  <c r="N48" i="150"/>
  <c r="N50" i="150" s="1"/>
  <c r="J50" i="150"/>
  <c r="J56" i="152"/>
  <c r="J58" i="152" s="1"/>
  <c r="C68" i="197" l="1"/>
  <c r="D69" i="197"/>
  <c r="C69" i="197"/>
  <c r="E69" i="197"/>
  <c r="B68" i="197"/>
  <c r="F68" i="197" s="1"/>
  <c r="D68" i="197"/>
  <c r="E68" i="197"/>
  <c r="B69" i="197"/>
  <c r="F69" i="197" s="1"/>
  <c r="M48" i="150"/>
  <c r="M50" i="150" s="1"/>
  <c r="K50" i="150"/>
  <c r="K56" i="152"/>
  <c r="N56" i="152"/>
  <c r="N58" i="152" s="1"/>
  <c r="C26" i="197" l="1"/>
  <c r="E26" i="197"/>
  <c r="D27" i="197"/>
  <c r="B26" i="197"/>
  <c r="E27" i="197"/>
  <c r="B27" i="197"/>
  <c r="D26" i="197"/>
  <c r="C27" i="197"/>
  <c r="K58" i="152"/>
  <c r="M56" i="152"/>
  <c r="M58" i="152" s="1"/>
  <c r="F26" i="197" l="1"/>
  <c r="F27" i="197"/>
  <c r="D46" i="133"/>
  <c r="J24" i="139" l="1"/>
  <c r="J23" i="139"/>
  <c r="Q29" i="139" s="1"/>
  <c r="R29" i="139" s="1"/>
  <c r="R30" i="139" l="1"/>
  <c r="Q30" i="139"/>
  <c r="Q31" i="139" l="1"/>
  <c r="R31" i="139"/>
  <c r="R32" i="139" l="1"/>
  <c r="Q32" i="139"/>
  <c r="Q33" i="139" l="1"/>
  <c r="R33" i="139"/>
  <c r="Q34" i="139" l="1"/>
  <c r="R34" i="139"/>
  <c r="Q35" i="139" l="1"/>
  <c r="R35" i="139"/>
  <c r="K86" i="139"/>
  <c r="M86" i="139" s="1"/>
  <c r="K85" i="139"/>
  <c r="M85" i="139" s="1"/>
  <c r="K84" i="139"/>
  <c r="M84" i="139" s="1"/>
  <c r="K83" i="139"/>
  <c r="M83" i="139" s="1"/>
  <c r="E22" i="139"/>
  <c r="D22" i="139"/>
  <c r="C22" i="139"/>
  <c r="F24" i="139"/>
  <c r="F23" i="139"/>
  <c r="F21" i="139"/>
  <c r="F20" i="139"/>
  <c r="F19" i="139"/>
  <c r="F18" i="139"/>
  <c r="F17" i="139"/>
  <c r="F16" i="139"/>
  <c r="F15" i="139"/>
  <c r="F14" i="139"/>
  <c r="F13" i="139"/>
  <c r="F12" i="139"/>
  <c r="F11" i="139"/>
  <c r="F10" i="139"/>
  <c r="F9" i="139"/>
  <c r="F8" i="139"/>
  <c r="F7" i="139"/>
  <c r="F6" i="139"/>
  <c r="F5" i="139"/>
  <c r="F4" i="139"/>
  <c r="F3" i="139"/>
  <c r="G101" i="197" l="1"/>
  <c r="L34" i="139"/>
  <c r="L33" i="139"/>
  <c r="Q36" i="139"/>
  <c r="R36" i="139"/>
  <c r="L49" i="139"/>
  <c r="I84" i="132"/>
  <c r="K62" i="132"/>
  <c r="M62" i="132" s="1"/>
  <c r="K61" i="132"/>
  <c r="M61" i="132" s="1"/>
  <c r="K60" i="132"/>
  <c r="M60" i="132" s="1"/>
  <c r="K59" i="132"/>
  <c r="M59" i="132" s="1"/>
  <c r="K58" i="132"/>
  <c r="M58" i="132" s="1"/>
  <c r="K57" i="132"/>
  <c r="M57" i="132" s="1"/>
  <c r="K56" i="132"/>
  <c r="M56" i="132" s="1"/>
  <c r="K55" i="132"/>
  <c r="M55" i="132" s="1"/>
  <c r="K33" i="132"/>
  <c r="M33" i="132" s="1"/>
  <c r="K41" i="133"/>
  <c r="M41" i="133" s="1"/>
  <c r="K40" i="133"/>
  <c r="M40" i="133" s="1"/>
  <c r="E36" i="133"/>
  <c r="D36" i="133"/>
  <c r="F35" i="133"/>
  <c r="F34" i="133"/>
  <c r="F25" i="112"/>
  <c r="F24" i="112"/>
  <c r="F23" i="112"/>
  <c r="F22" i="112"/>
  <c r="F21" i="112"/>
  <c r="F20" i="112"/>
  <c r="F19" i="112"/>
  <c r="F18" i="112"/>
  <c r="F17" i="112"/>
  <c r="F16" i="112"/>
  <c r="F15" i="112"/>
  <c r="F14" i="112"/>
  <c r="F13" i="112"/>
  <c r="F12" i="112"/>
  <c r="F11" i="112"/>
  <c r="F10" i="112"/>
  <c r="F9" i="112"/>
  <c r="F8" i="112"/>
  <c r="F7" i="112"/>
  <c r="F6" i="112"/>
  <c r="F5" i="112"/>
  <c r="F4" i="112"/>
  <c r="F3" i="112"/>
  <c r="L45" i="133" l="1"/>
  <c r="Q37" i="139"/>
  <c r="R37" i="139"/>
  <c r="C36" i="133"/>
  <c r="K64" i="112"/>
  <c r="M64" i="112" s="1"/>
  <c r="K63" i="112"/>
  <c r="M63" i="112" s="1"/>
  <c r="K62" i="112"/>
  <c r="M62" i="112" s="1"/>
  <c r="K61" i="112"/>
  <c r="M61" i="112" s="1"/>
  <c r="K60" i="112"/>
  <c r="M60" i="112" s="1"/>
  <c r="K59" i="112"/>
  <c r="M59" i="112" s="1"/>
  <c r="K58" i="112"/>
  <c r="M58" i="112" s="1"/>
  <c r="K57" i="112"/>
  <c r="M57" i="112" s="1"/>
  <c r="F28" i="112"/>
  <c r="F27" i="112"/>
  <c r="J86" i="126"/>
  <c r="I86" i="126"/>
  <c r="K84" i="126"/>
  <c r="K83" i="126"/>
  <c r="K82" i="126"/>
  <c r="K81" i="126"/>
  <c r="K80" i="126"/>
  <c r="K79" i="126"/>
  <c r="K78" i="126"/>
  <c r="K77" i="126"/>
  <c r="K76" i="126"/>
  <c r="K75" i="126"/>
  <c r="K74" i="126"/>
  <c r="K73" i="126"/>
  <c r="K72" i="126"/>
  <c r="K71" i="126"/>
  <c r="K70" i="126"/>
  <c r="K69" i="126"/>
  <c r="K68" i="126"/>
  <c r="K67" i="126"/>
  <c r="K66" i="126"/>
  <c r="K65" i="126"/>
  <c r="K64" i="126"/>
  <c r="M64" i="126" s="1"/>
  <c r="K63" i="126"/>
  <c r="M63" i="126" s="1"/>
  <c r="K62" i="126"/>
  <c r="M62" i="126" s="1"/>
  <c r="K61" i="126"/>
  <c r="M61" i="126" s="1"/>
  <c r="K60" i="126"/>
  <c r="M60" i="126" s="1"/>
  <c r="K59" i="126"/>
  <c r="M59" i="126" s="1"/>
  <c r="K58" i="126"/>
  <c r="M58" i="126" s="1"/>
  <c r="K57" i="126"/>
  <c r="M57" i="126" s="1"/>
  <c r="K33" i="126"/>
  <c r="I87" i="119"/>
  <c r="K65" i="119"/>
  <c r="M65" i="119" s="1"/>
  <c r="K64" i="119"/>
  <c r="M64" i="119" s="1"/>
  <c r="K63" i="119"/>
  <c r="M63" i="119" s="1"/>
  <c r="K62" i="119"/>
  <c r="M62" i="119" s="1"/>
  <c r="K61" i="119"/>
  <c r="M61" i="119" s="1"/>
  <c r="K60" i="119"/>
  <c r="M60" i="119" s="1"/>
  <c r="K59" i="119"/>
  <c r="M59" i="119" s="1"/>
  <c r="K58" i="119"/>
  <c r="M58" i="119" s="1"/>
  <c r="K33" i="119"/>
  <c r="M33" i="119" s="1"/>
  <c r="L62" i="133" l="1"/>
  <c r="L58" i="133"/>
  <c r="L54" i="133"/>
  <c r="L50" i="133"/>
  <c r="L56" i="133"/>
  <c r="L61" i="133"/>
  <c r="L57" i="133"/>
  <c r="L53" i="133"/>
  <c r="L49" i="133"/>
  <c r="L48" i="133"/>
  <c r="L52" i="133"/>
  <c r="L59" i="133"/>
  <c r="L55" i="133"/>
  <c r="L51" i="133"/>
  <c r="L60" i="133"/>
  <c r="Q38" i="139"/>
  <c r="R38" i="139"/>
  <c r="M33" i="126"/>
  <c r="K86" i="126"/>
  <c r="Q39" i="139" l="1"/>
  <c r="R39" i="139"/>
  <c r="Q40" i="139" l="1"/>
  <c r="R40" i="139"/>
  <c r="Q41" i="139" l="1"/>
  <c r="R41" i="139"/>
  <c r="J27" i="143"/>
  <c r="C33" i="143" s="1"/>
  <c r="B33" i="143" s="1"/>
  <c r="F28" i="143"/>
  <c r="F27" i="143"/>
  <c r="E26" i="143"/>
  <c r="E29" i="143" s="1"/>
  <c r="D26" i="143"/>
  <c r="D29" i="143" s="1"/>
  <c r="C26" i="143"/>
  <c r="G80" i="197" s="1"/>
  <c r="F25" i="143"/>
  <c r="F24" i="143"/>
  <c r="F23" i="143"/>
  <c r="F22" i="143"/>
  <c r="F21" i="143"/>
  <c r="F20" i="143"/>
  <c r="F19" i="143"/>
  <c r="F18" i="143"/>
  <c r="F17" i="143"/>
  <c r="F16" i="143"/>
  <c r="F15" i="143"/>
  <c r="F14" i="143"/>
  <c r="F13" i="143"/>
  <c r="F12" i="143"/>
  <c r="F11" i="143"/>
  <c r="F10" i="143"/>
  <c r="F9" i="143"/>
  <c r="F8" i="143"/>
  <c r="F7" i="143"/>
  <c r="F6" i="143"/>
  <c r="F5" i="143"/>
  <c r="F4" i="143"/>
  <c r="F3" i="143"/>
  <c r="F2" i="143"/>
  <c r="L53" i="143" l="1"/>
  <c r="L54" i="143"/>
  <c r="R42" i="139"/>
  <c r="Q42" i="139"/>
  <c r="D33" i="143"/>
  <c r="L46" i="143"/>
  <c r="C29" i="143"/>
  <c r="L52" i="143"/>
  <c r="L37" i="143"/>
  <c r="L39" i="143"/>
  <c r="L44" i="143"/>
  <c r="L50" i="143"/>
  <c r="F26" i="143"/>
  <c r="L35" i="143"/>
  <c r="L42" i="143"/>
  <c r="L48" i="143"/>
  <c r="L38" i="143"/>
  <c r="L40" i="143"/>
  <c r="L49" i="143"/>
  <c r="L45" i="143"/>
  <c r="L41" i="143"/>
  <c r="G33" i="143"/>
  <c r="L36" i="143"/>
  <c r="L43" i="143"/>
  <c r="L47" i="143"/>
  <c r="L51" i="143"/>
  <c r="L56" i="143" l="1"/>
  <c r="Q43" i="139"/>
  <c r="R43" i="139"/>
  <c r="C34" i="143"/>
  <c r="B34" i="143" s="1"/>
  <c r="E33" i="143"/>
  <c r="F33" i="143"/>
  <c r="F29" i="143"/>
  <c r="H33" i="143" l="1"/>
  <c r="D34" i="143"/>
  <c r="Q44" i="139"/>
  <c r="R44" i="139"/>
  <c r="F34" i="143" l="1"/>
  <c r="E34" i="143"/>
  <c r="C35" i="143"/>
  <c r="B35" i="143" s="1"/>
  <c r="R45" i="139"/>
  <c r="Q45" i="139"/>
  <c r="O33" i="143"/>
  <c r="K33" i="143"/>
  <c r="N33" i="143"/>
  <c r="D35" i="143" l="1"/>
  <c r="G34" i="143"/>
  <c r="H34" i="143" s="1"/>
  <c r="Q46" i="139"/>
  <c r="R46" i="139"/>
  <c r="M33" i="143"/>
  <c r="C36" i="143" l="1"/>
  <c r="D36" i="143" s="1"/>
  <c r="C37" i="143" s="1"/>
  <c r="D37" i="143" s="1"/>
  <c r="F37" i="143" s="1"/>
  <c r="B36" i="143"/>
  <c r="E35" i="143"/>
  <c r="F35" i="143"/>
  <c r="N34" i="143"/>
  <c r="R47" i="139"/>
  <c r="Q47" i="139"/>
  <c r="K34" i="143"/>
  <c r="M34" i="143" s="1"/>
  <c r="F36" i="143" l="1"/>
  <c r="C38" i="143"/>
  <c r="D38" i="143" s="1"/>
  <c r="E36" i="143"/>
  <c r="E37" i="143"/>
  <c r="B37" i="143"/>
  <c r="Q48" i="139"/>
  <c r="R48" i="139"/>
  <c r="O34" i="143"/>
  <c r="B38" i="143"/>
  <c r="G35" i="143" l="1"/>
  <c r="R49" i="139"/>
  <c r="Q49" i="139"/>
  <c r="C39" i="143"/>
  <c r="B39" i="143" s="1"/>
  <c r="E38" i="143"/>
  <c r="F38" i="143"/>
  <c r="D39" i="143"/>
  <c r="H35" i="143" l="1"/>
  <c r="N35" i="143" s="1"/>
  <c r="E39" i="143"/>
  <c r="C40" i="143"/>
  <c r="B40" i="143" s="1"/>
  <c r="D40" i="143"/>
  <c r="F39" i="143"/>
  <c r="H56" i="143" l="1"/>
  <c r="I44" i="143"/>
  <c r="I40" i="143"/>
  <c r="I42" i="143"/>
  <c r="I50" i="143"/>
  <c r="I39" i="143"/>
  <c r="I52" i="143"/>
  <c r="I45" i="143"/>
  <c r="I35" i="143"/>
  <c r="I46" i="143"/>
  <c r="I37" i="143"/>
  <c r="I54" i="143"/>
  <c r="I38" i="143"/>
  <c r="I53" i="143"/>
  <c r="I43" i="143"/>
  <c r="I48" i="143"/>
  <c r="O35" i="143"/>
  <c r="I51" i="143"/>
  <c r="I47" i="143"/>
  <c r="I49" i="143"/>
  <c r="I36" i="143"/>
  <c r="I41" i="143"/>
  <c r="C41" i="143"/>
  <c r="B41" i="143" s="1"/>
  <c r="F40" i="143"/>
  <c r="E40" i="143"/>
  <c r="D41" i="143"/>
  <c r="G36" i="143" l="1"/>
  <c r="I56" i="143"/>
  <c r="K35" i="143"/>
  <c r="D42" i="143"/>
  <c r="F41" i="143"/>
  <c r="C42" i="143"/>
  <c r="B42" i="143" s="1"/>
  <c r="E41" i="143"/>
  <c r="O69" i="143" l="1"/>
  <c r="G70" i="143" s="1"/>
  <c r="I89" i="143"/>
  <c r="K69" i="143"/>
  <c r="M35" i="143"/>
  <c r="J36" i="143"/>
  <c r="O36" i="143"/>
  <c r="F42" i="143"/>
  <c r="C43" i="143"/>
  <c r="B43" i="143" s="1"/>
  <c r="D43" i="143"/>
  <c r="E42" i="143"/>
  <c r="J70" i="143" l="1"/>
  <c r="O70" i="143"/>
  <c r="G71" i="143" s="1"/>
  <c r="M69" i="143"/>
  <c r="K36" i="143"/>
  <c r="N36" i="143"/>
  <c r="G37" i="143"/>
  <c r="E43" i="143"/>
  <c r="C44" i="143"/>
  <c r="B44" i="143" s="1"/>
  <c r="D44" i="143"/>
  <c r="F43" i="143"/>
  <c r="N70" i="143" l="1"/>
  <c r="O71" i="143"/>
  <c r="G72" i="143" s="1"/>
  <c r="J71" i="143"/>
  <c r="K70" i="143"/>
  <c r="O37" i="143"/>
  <c r="J37" i="143"/>
  <c r="N37" i="143" s="1"/>
  <c r="M36" i="143"/>
  <c r="E44" i="143"/>
  <c r="D45" i="143"/>
  <c r="C45" i="143"/>
  <c r="B45" i="143" s="1"/>
  <c r="F44" i="143"/>
  <c r="K71" i="143" l="1"/>
  <c r="N71" i="143"/>
  <c r="M70" i="143"/>
  <c r="O72" i="143"/>
  <c r="G73" i="143" s="1"/>
  <c r="J72" i="143"/>
  <c r="K37" i="143"/>
  <c r="G38" i="143"/>
  <c r="E45" i="143"/>
  <c r="F45" i="143"/>
  <c r="C46" i="143"/>
  <c r="B46" i="143" s="1"/>
  <c r="D46" i="143"/>
  <c r="M71" i="143" l="1"/>
  <c r="K72" i="143"/>
  <c r="N72" i="143"/>
  <c r="J73" i="143"/>
  <c r="O73" i="143"/>
  <c r="G74" i="143" s="1"/>
  <c r="O38" i="143"/>
  <c r="G39" i="143" s="1"/>
  <c r="J38" i="143"/>
  <c r="N38" i="143" s="1"/>
  <c r="M37" i="143"/>
  <c r="E46" i="143"/>
  <c r="D47" i="143"/>
  <c r="F46" i="143"/>
  <c r="C47" i="143"/>
  <c r="B47" i="143" s="1"/>
  <c r="M72" i="143" l="1"/>
  <c r="K73" i="143"/>
  <c r="N73" i="143"/>
  <c r="O74" i="143"/>
  <c r="G75" i="143" s="1"/>
  <c r="J74" i="143"/>
  <c r="K38" i="143"/>
  <c r="O39" i="143"/>
  <c r="G40" i="143" s="1"/>
  <c r="J39" i="143"/>
  <c r="K39" i="143" s="1"/>
  <c r="M39" i="143" s="1"/>
  <c r="C48" i="143"/>
  <c r="B48" i="143" s="1"/>
  <c r="E47" i="143"/>
  <c r="F47" i="143"/>
  <c r="D48" i="143"/>
  <c r="M73" i="143" l="1"/>
  <c r="K74" i="143"/>
  <c r="N74" i="143"/>
  <c r="J75" i="143"/>
  <c r="O75" i="143"/>
  <c r="G76" i="143" s="1"/>
  <c r="N39" i="143"/>
  <c r="O40" i="143"/>
  <c r="G41" i="143" s="1"/>
  <c r="J40" i="143"/>
  <c r="K40" i="143" s="1"/>
  <c r="M38" i="143"/>
  <c r="D49" i="143"/>
  <c r="F48" i="143"/>
  <c r="E48" i="143"/>
  <c r="C49" i="143"/>
  <c r="B49" i="143" s="1"/>
  <c r="M40" i="143" l="1"/>
  <c r="M74" i="143"/>
  <c r="K75" i="143"/>
  <c r="N75" i="143"/>
  <c r="O76" i="143"/>
  <c r="G77" i="143" s="1"/>
  <c r="J76" i="143"/>
  <c r="N40" i="143"/>
  <c r="O41" i="143"/>
  <c r="G42" i="143" s="1"/>
  <c r="J41" i="143"/>
  <c r="N41" i="143" s="1"/>
  <c r="D50" i="143"/>
  <c r="F49" i="143"/>
  <c r="C50" i="143"/>
  <c r="B50" i="143" s="1"/>
  <c r="E49" i="143"/>
  <c r="M75" i="143" l="1"/>
  <c r="K76" i="143"/>
  <c r="N76" i="143"/>
  <c r="O77" i="143"/>
  <c r="G78" i="143" s="1"/>
  <c r="J77" i="143"/>
  <c r="K41" i="143"/>
  <c r="J42" i="143"/>
  <c r="K42" i="143" s="1"/>
  <c r="O42" i="143"/>
  <c r="G43" i="143" s="1"/>
  <c r="F50" i="143"/>
  <c r="E50" i="143"/>
  <c r="C51" i="143"/>
  <c r="B51" i="143" s="1"/>
  <c r="D51" i="143"/>
  <c r="G83" i="139"/>
  <c r="C83" i="139"/>
  <c r="D83" i="139" s="1"/>
  <c r="D84" i="139" s="1"/>
  <c r="C29" i="139"/>
  <c r="B29" i="139" s="1"/>
  <c r="F2" i="139"/>
  <c r="F22" i="139" s="1"/>
  <c r="M42" i="143" l="1"/>
  <c r="L90" i="139"/>
  <c r="V33" i="139" s="1"/>
  <c r="L91" i="139"/>
  <c r="V34" i="139" s="1"/>
  <c r="M76" i="143"/>
  <c r="K77" i="143"/>
  <c r="N77" i="143"/>
  <c r="J78" i="143"/>
  <c r="O78" i="143"/>
  <c r="G79" i="143" s="1"/>
  <c r="O43" i="143"/>
  <c r="G44" i="143" s="1"/>
  <c r="J43" i="143"/>
  <c r="K43" i="143" s="1"/>
  <c r="N42" i="143"/>
  <c r="M41" i="143"/>
  <c r="D29" i="139"/>
  <c r="D52" i="143"/>
  <c r="C52" i="143"/>
  <c r="B52" i="143" s="1"/>
  <c r="F51" i="143"/>
  <c r="E51" i="143"/>
  <c r="L103" i="139"/>
  <c r="V46" i="139" s="1"/>
  <c r="L99" i="139"/>
  <c r="V42" i="139" s="1"/>
  <c r="L95" i="139"/>
  <c r="V38" i="139" s="1"/>
  <c r="L106" i="139"/>
  <c r="V49" i="139" s="1"/>
  <c r="L102" i="139"/>
  <c r="V45" i="139" s="1"/>
  <c r="L98" i="139"/>
  <c r="V41" i="139" s="1"/>
  <c r="L94" i="139"/>
  <c r="V37" i="139" s="1"/>
  <c r="L105" i="139"/>
  <c r="V48" i="139" s="1"/>
  <c r="L101" i="139"/>
  <c r="V44" i="139" s="1"/>
  <c r="L97" i="139"/>
  <c r="V40" i="139" s="1"/>
  <c r="L93" i="139"/>
  <c r="V36" i="139" s="1"/>
  <c r="L104" i="139"/>
  <c r="V47" i="139" s="1"/>
  <c r="L100" i="139"/>
  <c r="V43" i="139" s="1"/>
  <c r="L96" i="139"/>
  <c r="V39" i="139" s="1"/>
  <c r="L92" i="139"/>
  <c r="V35" i="139" s="1"/>
  <c r="E83" i="139"/>
  <c r="C84" i="139"/>
  <c r="D85" i="139"/>
  <c r="F84" i="139"/>
  <c r="C85" i="139"/>
  <c r="B85" i="139" s="1"/>
  <c r="F83" i="139"/>
  <c r="C103" i="197" l="1"/>
  <c r="E103" i="197"/>
  <c r="D103" i="197"/>
  <c r="B103" i="197"/>
  <c r="F103" i="197" s="1"/>
  <c r="M43" i="143"/>
  <c r="L80" i="139"/>
  <c r="L108" i="139"/>
  <c r="M77" i="143"/>
  <c r="K78" i="143"/>
  <c r="N78" i="143"/>
  <c r="O79" i="143"/>
  <c r="G80" i="143" s="1"/>
  <c r="J79" i="143"/>
  <c r="N43" i="143"/>
  <c r="O44" i="143"/>
  <c r="G45" i="143" s="1"/>
  <c r="J44" i="143"/>
  <c r="K44" i="143" s="1"/>
  <c r="D53" i="143"/>
  <c r="H80" i="197" s="1"/>
  <c r="I80" i="197" s="1"/>
  <c r="C53" i="143"/>
  <c r="B53" i="143" s="1"/>
  <c r="E84" i="139"/>
  <c r="B84" i="139"/>
  <c r="C30" i="139"/>
  <c r="B30" i="139" s="1"/>
  <c r="D30" i="139"/>
  <c r="E29" i="139"/>
  <c r="F29" i="139"/>
  <c r="E52" i="143"/>
  <c r="F52" i="143"/>
  <c r="H83" i="139"/>
  <c r="C86" i="139"/>
  <c r="B86" i="139" s="1"/>
  <c r="F85" i="139"/>
  <c r="E85" i="139"/>
  <c r="D86" i="139"/>
  <c r="D54" i="143" l="1"/>
  <c r="M44" i="143"/>
  <c r="V52" i="139"/>
  <c r="V51" i="139"/>
  <c r="M78" i="143"/>
  <c r="K79" i="143"/>
  <c r="C54" i="143"/>
  <c r="B54" i="143" s="1"/>
  <c r="J80" i="143"/>
  <c r="O80" i="143"/>
  <c r="G81" i="143" s="1"/>
  <c r="N79" i="143"/>
  <c r="N44" i="143"/>
  <c r="O45" i="143"/>
  <c r="G46" i="143" s="1"/>
  <c r="J45" i="143"/>
  <c r="K45" i="143" s="1"/>
  <c r="E53" i="143"/>
  <c r="F53" i="143"/>
  <c r="D31" i="139"/>
  <c r="E30" i="139"/>
  <c r="F30" i="139"/>
  <c r="C31" i="139"/>
  <c r="B31" i="139" s="1"/>
  <c r="N83" i="139"/>
  <c r="O83" i="139"/>
  <c r="D87" i="139"/>
  <c r="E86" i="139"/>
  <c r="C87" i="139"/>
  <c r="B87" i="139" s="1"/>
  <c r="F86" i="139"/>
  <c r="F31" i="139" l="1"/>
  <c r="M45" i="143"/>
  <c r="V53" i="139"/>
  <c r="M79" i="143"/>
  <c r="K80" i="143"/>
  <c r="E54" i="143"/>
  <c r="F54" i="143"/>
  <c r="N80" i="143"/>
  <c r="J81" i="143"/>
  <c r="O81" i="143"/>
  <c r="G82" i="143" s="1"/>
  <c r="N45" i="143"/>
  <c r="O46" i="143"/>
  <c r="G47" i="143" s="1"/>
  <c r="J46" i="143"/>
  <c r="K46" i="143" s="1"/>
  <c r="D32" i="139"/>
  <c r="D33" i="139" s="1"/>
  <c r="C32" i="139"/>
  <c r="B32" i="139" s="1"/>
  <c r="E31" i="139"/>
  <c r="G84" i="139"/>
  <c r="H84" i="139" s="1"/>
  <c r="D88" i="139"/>
  <c r="F87" i="139"/>
  <c r="E87" i="139"/>
  <c r="C88" i="139"/>
  <c r="B88" i="139" s="1"/>
  <c r="M46" i="143" l="1"/>
  <c r="M80" i="143"/>
  <c r="K81" i="143"/>
  <c r="L348" i="143"/>
  <c r="V55" i="143" s="1"/>
  <c r="N81" i="143"/>
  <c r="J82" i="143"/>
  <c r="O82" i="143"/>
  <c r="G83" i="143" s="1"/>
  <c r="N46" i="143"/>
  <c r="J47" i="143"/>
  <c r="K47" i="143" s="1"/>
  <c r="O47" i="143"/>
  <c r="G48" i="143" s="1"/>
  <c r="C33" i="139"/>
  <c r="B33" i="139" s="1"/>
  <c r="F32" i="139"/>
  <c r="E32" i="139"/>
  <c r="N84" i="139"/>
  <c r="O84" i="139"/>
  <c r="F33" i="139"/>
  <c r="D34" i="139"/>
  <c r="C34" i="139"/>
  <c r="B34" i="139" s="1"/>
  <c r="E88" i="139"/>
  <c r="C89" i="139"/>
  <c r="B89" i="139" s="1"/>
  <c r="F88" i="139"/>
  <c r="D89" i="139"/>
  <c r="E82" i="197" l="1"/>
  <c r="D82" i="197"/>
  <c r="B82" i="197"/>
  <c r="C82" i="197"/>
  <c r="M47" i="143"/>
  <c r="C90" i="139"/>
  <c r="B90" i="139" s="1"/>
  <c r="D90" i="139"/>
  <c r="M81" i="143"/>
  <c r="K82" i="143"/>
  <c r="J83" i="143"/>
  <c r="O83" i="143"/>
  <c r="G84" i="143" s="1"/>
  <c r="N82" i="143"/>
  <c r="N47" i="143"/>
  <c r="J48" i="143"/>
  <c r="K48" i="143" s="1"/>
  <c r="O48" i="143"/>
  <c r="G49" i="143" s="1"/>
  <c r="E33" i="139"/>
  <c r="G85" i="139"/>
  <c r="F89" i="139"/>
  <c r="E89" i="139"/>
  <c r="E34" i="139"/>
  <c r="D35" i="139"/>
  <c r="C35" i="139"/>
  <c r="B35" i="139" s="1"/>
  <c r="F34" i="139"/>
  <c r="F82" i="197" l="1"/>
  <c r="M48" i="143"/>
  <c r="F90" i="139"/>
  <c r="D91" i="139"/>
  <c r="E90" i="139"/>
  <c r="C91" i="139"/>
  <c r="B91" i="139" s="1"/>
  <c r="M82" i="143"/>
  <c r="K83" i="143"/>
  <c r="N83" i="143"/>
  <c r="O84" i="143"/>
  <c r="G85" i="143" s="1"/>
  <c r="J84" i="143"/>
  <c r="N48" i="143"/>
  <c r="O49" i="143"/>
  <c r="G50" i="143" s="1"/>
  <c r="J49" i="143"/>
  <c r="K49" i="143" s="1"/>
  <c r="H85" i="139"/>
  <c r="C36" i="139"/>
  <c r="B36" i="139" s="1"/>
  <c r="F35" i="139"/>
  <c r="E35" i="139"/>
  <c r="D36" i="139"/>
  <c r="M49" i="143" l="1"/>
  <c r="F91" i="139"/>
  <c r="E91" i="139"/>
  <c r="K84" i="143"/>
  <c r="M83" i="143"/>
  <c r="N84" i="143"/>
  <c r="O85" i="143"/>
  <c r="J85" i="143"/>
  <c r="N49" i="143"/>
  <c r="O50" i="143"/>
  <c r="G51" i="143" s="1"/>
  <c r="J50" i="143"/>
  <c r="K50" i="143" s="1"/>
  <c r="N85" i="139"/>
  <c r="O85" i="139"/>
  <c r="C92" i="139"/>
  <c r="B92" i="139" s="1"/>
  <c r="D92" i="139"/>
  <c r="D37" i="139"/>
  <c r="F36" i="139"/>
  <c r="E36" i="139"/>
  <c r="C37" i="139"/>
  <c r="B37" i="139" s="1"/>
  <c r="M50" i="143" l="1"/>
  <c r="M84" i="143"/>
  <c r="G86" i="143"/>
  <c r="K85" i="143"/>
  <c r="N85" i="143"/>
  <c r="N50" i="143"/>
  <c r="J51" i="143"/>
  <c r="K51" i="143" s="1"/>
  <c r="O51" i="143"/>
  <c r="G52" i="143" s="1"/>
  <c r="G86" i="139"/>
  <c r="E92" i="139"/>
  <c r="F92" i="139"/>
  <c r="D93" i="139"/>
  <c r="C93" i="139"/>
  <c r="B93" i="139" s="1"/>
  <c r="C38" i="139"/>
  <c r="B38" i="139" s="1"/>
  <c r="F37" i="139"/>
  <c r="D38" i="139"/>
  <c r="E37" i="139"/>
  <c r="M51" i="143" l="1"/>
  <c r="O86" i="143"/>
  <c r="J86" i="143"/>
  <c r="M85" i="143"/>
  <c r="N51" i="143"/>
  <c r="J52" i="143"/>
  <c r="K52" i="143" s="1"/>
  <c r="O52" i="143"/>
  <c r="G53" i="143" s="1"/>
  <c r="H86" i="139"/>
  <c r="F93" i="139"/>
  <c r="C94" i="139"/>
  <c r="B94" i="139" s="1"/>
  <c r="D94" i="139"/>
  <c r="E93" i="139"/>
  <c r="E38" i="139"/>
  <c r="D39" i="139"/>
  <c r="C39" i="139"/>
  <c r="B39" i="139" s="1"/>
  <c r="F38" i="139"/>
  <c r="M52" i="143" l="1"/>
  <c r="N86" i="143"/>
  <c r="K86" i="143"/>
  <c r="G87" i="143"/>
  <c r="N52" i="143"/>
  <c r="O53" i="143"/>
  <c r="G54" i="143" s="1"/>
  <c r="J53" i="143"/>
  <c r="K53" i="143" s="1"/>
  <c r="N86" i="139"/>
  <c r="O86" i="139"/>
  <c r="D95" i="139"/>
  <c r="E94" i="139"/>
  <c r="C95" i="139"/>
  <c r="B95" i="139" s="1"/>
  <c r="F94" i="139"/>
  <c r="C40" i="139"/>
  <c r="B40" i="139" s="1"/>
  <c r="F39" i="139"/>
  <c r="D40" i="139"/>
  <c r="E39" i="139"/>
  <c r="E80" i="197" l="1"/>
  <c r="B81" i="197"/>
  <c r="D81" i="197"/>
  <c r="C80" i="197"/>
  <c r="B80" i="197"/>
  <c r="D80" i="197"/>
  <c r="C81" i="197"/>
  <c r="E81" i="197"/>
  <c r="M53" i="143"/>
  <c r="O87" i="143"/>
  <c r="O89" i="143" s="1"/>
  <c r="J87" i="143"/>
  <c r="G89" i="143"/>
  <c r="M86" i="143"/>
  <c r="N53" i="143"/>
  <c r="G56" i="143"/>
  <c r="J54" i="143"/>
  <c r="N54" i="143" s="1"/>
  <c r="O54" i="143"/>
  <c r="O56" i="143" s="1"/>
  <c r="G87" i="139"/>
  <c r="D41" i="139"/>
  <c r="E40" i="139"/>
  <c r="F40" i="139"/>
  <c r="C41" i="139"/>
  <c r="B41" i="139" s="1"/>
  <c r="C96" i="139"/>
  <c r="B96" i="139" s="1"/>
  <c r="E95" i="139"/>
  <c r="D96" i="139"/>
  <c r="F95" i="139"/>
  <c r="F80" i="197" l="1"/>
  <c r="F81" i="197"/>
  <c r="K87" i="143"/>
  <c r="J89" i="143"/>
  <c r="N87" i="143"/>
  <c r="N89" i="143" s="1"/>
  <c r="N56" i="143"/>
  <c r="K54" i="143"/>
  <c r="J56" i="143"/>
  <c r="H87" i="139"/>
  <c r="C97" i="139"/>
  <c r="B97" i="139" s="1"/>
  <c r="F96" i="139"/>
  <c r="E96" i="139"/>
  <c r="D97" i="139"/>
  <c r="F41" i="139"/>
  <c r="E41" i="139"/>
  <c r="C42" i="139"/>
  <c r="B42" i="139" s="1"/>
  <c r="D42" i="139"/>
  <c r="M87" i="143" l="1"/>
  <c r="M89" i="143" s="1"/>
  <c r="K89" i="143"/>
  <c r="M54" i="143"/>
  <c r="M56" i="143" s="1"/>
  <c r="K56" i="143"/>
  <c r="N87" i="139"/>
  <c r="F97" i="139"/>
  <c r="D98" i="139"/>
  <c r="C98" i="139"/>
  <c r="B98" i="139" s="1"/>
  <c r="E97" i="139"/>
  <c r="E42" i="139"/>
  <c r="C43" i="139"/>
  <c r="B43" i="139" s="1"/>
  <c r="F42" i="139"/>
  <c r="D43" i="139"/>
  <c r="C40" i="133"/>
  <c r="D40" i="133" s="1"/>
  <c r="C41" i="133" l="1"/>
  <c r="K87" i="139"/>
  <c r="F36" i="133"/>
  <c r="G20" i="197" s="1"/>
  <c r="C44" i="139"/>
  <c r="B44" i="139" s="1"/>
  <c r="F43" i="139"/>
  <c r="D44" i="139"/>
  <c r="E43" i="139"/>
  <c r="D99" i="139"/>
  <c r="E98" i="139"/>
  <c r="F98" i="139"/>
  <c r="C99" i="139"/>
  <c r="B99" i="139" s="1"/>
  <c r="L47" i="133"/>
  <c r="D41" i="133"/>
  <c r="D42" i="133" s="1"/>
  <c r="L46" i="133"/>
  <c r="E40" i="133"/>
  <c r="F40" i="133"/>
  <c r="G40" i="133"/>
  <c r="M87" i="139" l="1"/>
  <c r="L64" i="133"/>
  <c r="D45" i="139"/>
  <c r="C45" i="139"/>
  <c r="B45" i="139" s="1"/>
  <c r="E44" i="139"/>
  <c r="F44" i="139"/>
  <c r="C100" i="139"/>
  <c r="B100" i="139" s="1"/>
  <c r="F99" i="139"/>
  <c r="E99" i="139"/>
  <c r="D100" i="139"/>
  <c r="E41" i="133"/>
  <c r="H40" i="133"/>
  <c r="C42" i="133"/>
  <c r="F41" i="133"/>
  <c r="D43" i="133"/>
  <c r="F42" i="133"/>
  <c r="C43" i="133"/>
  <c r="N40" i="133" l="1"/>
  <c r="O40" i="133" s="1"/>
  <c r="G41" i="133" s="1"/>
  <c r="E42" i="133"/>
  <c r="E45" i="139"/>
  <c r="D46" i="139"/>
  <c r="F45" i="139"/>
  <c r="C46" i="139"/>
  <c r="B46" i="139" s="1"/>
  <c r="D101" i="139"/>
  <c r="C101" i="139"/>
  <c r="B101" i="139" s="1"/>
  <c r="F100" i="139"/>
  <c r="E100" i="139"/>
  <c r="E43" i="133"/>
  <c r="F43" i="133"/>
  <c r="D44" i="133"/>
  <c r="C44" i="133"/>
  <c r="E46" i="139" l="1"/>
  <c r="F46" i="139"/>
  <c r="C47" i="139"/>
  <c r="B47" i="139" s="1"/>
  <c r="D47" i="139"/>
  <c r="F101" i="139"/>
  <c r="D102" i="139"/>
  <c r="C102" i="139"/>
  <c r="B102" i="139" s="1"/>
  <c r="E101" i="139"/>
  <c r="E44" i="133"/>
  <c r="C45" i="133"/>
  <c r="B45" i="133" s="1"/>
  <c r="F44" i="133"/>
  <c r="D103" i="139" l="1"/>
  <c r="E102" i="139"/>
  <c r="F102" i="139"/>
  <c r="C103" i="139"/>
  <c r="B103" i="139" s="1"/>
  <c r="C48" i="139"/>
  <c r="B48" i="139" s="1"/>
  <c r="F47" i="139"/>
  <c r="E47" i="139"/>
  <c r="D48" i="139"/>
  <c r="F45" i="133"/>
  <c r="C46" i="133"/>
  <c r="B46" i="133" s="1"/>
  <c r="E45" i="133"/>
  <c r="C49" i="139" l="1"/>
  <c r="B49" i="139" s="1"/>
  <c r="D49" i="139"/>
  <c r="F48" i="139"/>
  <c r="E48" i="139"/>
  <c r="C104" i="139"/>
  <c r="B104" i="139" s="1"/>
  <c r="D104" i="139"/>
  <c r="F103" i="139"/>
  <c r="E103" i="139"/>
  <c r="C47" i="133"/>
  <c r="B47" i="133" s="1"/>
  <c r="E46" i="133"/>
  <c r="D47" i="133"/>
  <c r="F46" i="133"/>
  <c r="F49" i="139" l="1"/>
  <c r="E49" i="139"/>
  <c r="D105" i="139"/>
  <c r="F104" i="139"/>
  <c r="E104" i="139"/>
  <c r="C105" i="139"/>
  <c r="B105" i="139" s="1"/>
  <c r="D48" i="133"/>
  <c r="C48" i="133"/>
  <c r="B48" i="133" s="1"/>
  <c r="F47" i="133"/>
  <c r="E47" i="133"/>
  <c r="F105" i="139" l="1"/>
  <c r="E105" i="139"/>
  <c r="D106" i="139"/>
  <c r="C106" i="139"/>
  <c r="B106" i="139" s="1"/>
  <c r="C49" i="133"/>
  <c r="B49" i="133" s="1"/>
  <c r="D49" i="133"/>
  <c r="F48" i="133"/>
  <c r="E48" i="133"/>
  <c r="E106" i="139" l="1"/>
  <c r="F106" i="139"/>
  <c r="D50" i="133"/>
  <c r="C50" i="133"/>
  <c r="B50" i="133" s="1"/>
  <c r="E49" i="133"/>
  <c r="F49" i="133"/>
  <c r="D51" i="133" l="1"/>
  <c r="F50" i="133"/>
  <c r="C51" i="133"/>
  <c r="B51" i="133" s="1"/>
  <c r="E50" i="133"/>
  <c r="E51" i="133" l="1"/>
  <c r="D52" i="133"/>
  <c r="F51" i="133"/>
  <c r="C52" i="133"/>
  <c r="B52" i="133" s="1"/>
  <c r="F52" i="133" l="1"/>
  <c r="E52" i="133"/>
  <c r="D53" i="133"/>
  <c r="C53" i="133"/>
  <c r="B53" i="133" s="1"/>
  <c r="F53" i="133" l="1"/>
  <c r="C54" i="133"/>
  <c r="B54" i="133" s="1"/>
  <c r="D54" i="133"/>
  <c r="E53" i="133"/>
  <c r="C55" i="133" l="1"/>
  <c r="B55" i="133" s="1"/>
  <c r="D55" i="133"/>
  <c r="F54" i="133"/>
  <c r="E54" i="133"/>
  <c r="D56" i="133" l="1"/>
  <c r="C56" i="133"/>
  <c r="B56" i="133" s="1"/>
  <c r="F55" i="133"/>
  <c r="E55" i="133"/>
  <c r="C57" i="133" l="1"/>
  <c r="B57" i="133" s="1"/>
  <c r="E56" i="133"/>
  <c r="D57" i="133"/>
  <c r="F56" i="133"/>
  <c r="D58" i="133" l="1"/>
  <c r="C58" i="133"/>
  <c r="B58" i="133" s="1"/>
  <c r="E57" i="133"/>
  <c r="F57" i="133"/>
  <c r="D59" i="133" l="1"/>
  <c r="F58" i="133"/>
  <c r="E58" i="133"/>
  <c r="C59" i="133"/>
  <c r="B59" i="133" s="1"/>
  <c r="C60" i="133" l="1"/>
  <c r="B60" i="133" s="1"/>
  <c r="D60" i="133"/>
  <c r="E59" i="133"/>
  <c r="F59" i="133"/>
  <c r="F60" i="133" l="1"/>
  <c r="C61" i="133"/>
  <c r="B61" i="133" s="1"/>
  <c r="E60" i="133"/>
  <c r="D61" i="133"/>
  <c r="C62" i="133" l="1"/>
  <c r="B62" i="133" s="1"/>
  <c r="D62" i="133"/>
  <c r="H20" i="197" s="1"/>
  <c r="F61" i="133"/>
  <c r="E61" i="133"/>
  <c r="I20" i="197" l="1"/>
  <c r="F62" i="133"/>
  <c r="E62" i="133"/>
  <c r="G55" i="132" l="1"/>
  <c r="C55" i="132"/>
  <c r="D55" i="132" s="1"/>
  <c r="C33" i="132"/>
  <c r="D33" i="132" s="1"/>
  <c r="F28" i="132"/>
  <c r="F27" i="132"/>
  <c r="E26" i="132"/>
  <c r="E29" i="132" s="1"/>
  <c r="D26" i="132"/>
  <c r="D29" i="132" s="1"/>
  <c r="C26" i="132"/>
  <c r="G107" i="197" s="1"/>
  <c r="F25" i="132"/>
  <c r="F24" i="132"/>
  <c r="F23" i="132"/>
  <c r="F22" i="132"/>
  <c r="F21" i="132"/>
  <c r="F20" i="132"/>
  <c r="F19" i="132"/>
  <c r="F18" i="132"/>
  <c r="F17" i="132"/>
  <c r="F16" i="132"/>
  <c r="F15" i="132"/>
  <c r="F14" i="132"/>
  <c r="F13" i="132"/>
  <c r="F12" i="132"/>
  <c r="F11" i="132"/>
  <c r="F10" i="132"/>
  <c r="F9" i="132"/>
  <c r="F8" i="132"/>
  <c r="F7" i="132"/>
  <c r="F6" i="132"/>
  <c r="F5" i="132"/>
  <c r="F4" i="132"/>
  <c r="F3" i="132"/>
  <c r="F2" i="132"/>
  <c r="L35" i="132" l="1"/>
  <c r="L34" i="132"/>
  <c r="L65" i="132"/>
  <c r="L39" i="132"/>
  <c r="C29" i="132"/>
  <c r="L37" i="132"/>
  <c r="L50" i="132"/>
  <c r="F26" i="132"/>
  <c r="F29" i="132" s="1"/>
  <c r="L45" i="132"/>
  <c r="L46" i="132"/>
  <c r="L47" i="132"/>
  <c r="G33" i="132"/>
  <c r="E33" i="132"/>
  <c r="F33" i="132"/>
  <c r="F55" i="132"/>
  <c r="C56" i="132"/>
  <c r="D56" i="132"/>
  <c r="E55" i="132"/>
  <c r="L76" i="132"/>
  <c r="L68" i="132"/>
  <c r="L80" i="132"/>
  <c r="L72" i="132"/>
  <c r="L64" i="132"/>
  <c r="L79" i="132"/>
  <c r="L71" i="132"/>
  <c r="L63" i="132"/>
  <c r="L75" i="132"/>
  <c r="L78" i="132"/>
  <c r="L67" i="132"/>
  <c r="L77" i="132"/>
  <c r="L44" i="132"/>
  <c r="L36" i="132"/>
  <c r="L48" i="132"/>
  <c r="L40" i="132"/>
  <c r="L43" i="132"/>
  <c r="L49" i="132"/>
  <c r="L70" i="132"/>
  <c r="L73" i="132"/>
  <c r="L42" i="132"/>
  <c r="L66" i="132"/>
  <c r="L81" i="132"/>
  <c r="L41" i="132"/>
  <c r="L69" i="132"/>
  <c r="L38" i="132"/>
  <c r="L74" i="132"/>
  <c r="L82" i="132"/>
  <c r="L84" i="132" l="1"/>
  <c r="L52" i="132"/>
  <c r="E34" i="132"/>
  <c r="F34" i="132"/>
  <c r="H33" i="132"/>
  <c r="I34" i="132" s="1"/>
  <c r="H55" i="132"/>
  <c r="D57" i="132"/>
  <c r="C57" i="132"/>
  <c r="F56" i="132"/>
  <c r="E56" i="132"/>
  <c r="G57" i="126"/>
  <c r="C57" i="126"/>
  <c r="D57" i="126" s="1"/>
  <c r="C58" i="126" s="1"/>
  <c r="C33" i="126"/>
  <c r="D33" i="126" s="1"/>
  <c r="F28" i="126"/>
  <c r="F27" i="126"/>
  <c r="E26" i="126"/>
  <c r="E29" i="126" s="1"/>
  <c r="D26" i="126"/>
  <c r="D29" i="126" s="1"/>
  <c r="C26" i="126"/>
  <c r="G56" i="197" s="1"/>
  <c r="F25" i="126"/>
  <c r="F24" i="126"/>
  <c r="F23" i="126"/>
  <c r="F22" i="126"/>
  <c r="F21" i="126"/>
  <c r="F20" i="126"/>
  <c r="F19" i="126"/>
  <c r="F18" i="126"/>
  <c r="F17" i="126"/>
  <c r="F16" i="126"/>
  <c r="F15" i="126"/>
  <c r="F14" i="126"/>
  <c r="F13" i="126"/>
  <c r="F12" i="126"/>
  <c r="F11" i="126"/>
  <c r="F10" i="126"/>
  <c r="F9" i="126"/>
  <c r="F8" i="126"/>
  <c r="F7" i="126"/>
  <c r="F6" i="126"/>
  <c r="F5" i="126"/>
  <c r="F4" i="126"/>
  <c r="F3" i="126"/>
  <c r="F2" i="126"/>
  <c r="I35" i="132" l="1"/>
  <c r="N33" i="132"/>
  <c r="O55" i="132"/>
  <c r="N55" i="132"/>
  <c r="C29" i="126"/>
  <c r="L80" i="126"/>
  <c r="M80" i="126" s="1"/>
  <c r="G33" i="126"/>
  <c r="L36" i="126"/>
  <c r="L44" i="126"/>
  <c r="L37" i="126"/>
  <c r="L81" i="126"/>
  <c r="M81" i="126" s="1"/>
  <c r="L65" i="126"/>
  <c r="L66" i="126"/>
  <c r="M66" i="126" s="1"/>
  <c r="L72" i="126"/>
  <c r="M72" i="126" s="1"/>
  <c r="C34" i="126"/>
  <c r="D34" i="126"/>
  <c r="L52" i="126"/>
  <c r="L35" i="126"/>
  <c r="L45" i="126"/>
  <c r="L74" i="126"/>
  <c r="M74" i="126" s="1"/>
  <c r="D58" i="126"/>
  <c r="D59" i="126" s="1"/>
  <c r="L47" i="126"/>
  <c r="O33" i="132"/>
  <c r="D58" i="132"/>
  <c r="C58" i="132"/>
  <c r="F57" i="132"/>
  <c r="E57" i="132"/>
  <c r="L38" i="126"/>
  <c r="L48" i="126"/>
  <c r="L39" i="126"/>
  <c r="F26" i="126"/>
  <c r="F29" i="126" s="1"/>
  <c r="L41" i="126"/>
  <c r="L49" i="126"/>
  <c r="L40" i="126"/>
  <c r="L50" i="126"/>
  <c r="L42" i="126"/>
  <c r="L46" i="126"/>
  <c r="F33" i="126"/>
  <c r="E33" i="126"/>
  <c r="F57" i="126"/>
  <c r="E57" i="126"/>
  <c r="L78" i="126"/>
  <c r="M78" i="126" s="1"/>
  <c r="L70" i="126"/>
  <c r="M70" i="126" s="1"/>
  <c r="L77" i="126"/>
  <c r="M77" i="126" s="1"/>
  <c r="L69" i="126"/>
  <c r="M69" i="126" s="1"/>
  <c r="L84" i="126"/>
  <c r="M84" i="126" s="1"/>
  <c r="L76" i="126"/>
  <c r="M76" i="126" s="1"/>
  <c r="L68" i="126"/>
  <c r="M68" i="126" s="1"/>
  <c r="L83" i="126"/>
  <c r="M83" i="126" s="1"/>
  <c r="L75" i="126"/>
  <c r="M75" i="126" s="1"/>
  <c r="L73" i="126"/>
  <c r="M73" i="126" s="1"/>
  <c r="L79" i="126"/>
  <c r="M79" i="126" s="1"/>
  <c r="L71" i="126"/>
  <c r="M71" i="126" s="1"/>
  <c r="L67" i="126"/>
  <c r="M67" i="126" s="1"/>
  <c r="L82" i="126"/>
  <c r="M82" i="126" s="1"/>
  <c r="L43" i="126"/>
  <c r="L51" i="126"/>
  <c r="G56" i="132" l="1"/>
  <c r="E36" i="132"/>
  <c r="F36" i="132"/>
  <c r="D37" i="132"/>
  <c r="C37" i="132"/>
  <c r="B37" i="132" s="1"/>
  <c r="L54" i="126"/>
  <c r="E58" i="126"/>
  <c r="L86" i="126"/>
  <c r="M65" i="126"/>
  <c r="M86" i="126" s="1"/>
  <c r="C59" i="126"/>
  <c r="E59" i="126" s="1"/>
  <c r="G34" i="132"/>
  <c r="J34" i="132" s="1"/>
  <c r="H57" i="126"/>
  <c r="H33" i="126"/>
  <c r="I35" i="126" s="1"/>
  <c r="F34" i="126"/>
  <c r="C35" i="126"/>
  <c r="B35" i="126" s="1"/>
  <c r="D35" i="126"/>
  <c r="E34" i="126"/>
  <c r="F58" i="126"/>
  <c r="E58" i="132"/>
  <c r="D59" i="132"/>
  <c r="C59" i="132"/>
  <c r="F58" i="132"/>
  <c r="F59" i="126"/>
  <c r="D60" i="126"/>
  <c r="C60" i="126"/>
  <c r="N34" i="132" l="1"/>
  <c r="H56" i="132"/>
  <c r="O56" i="132" s="1"/>
  <c r="F37" i="132"/>
  <c r="E37" i="132"/>
  <c r="D38" i="132"/>
  <c r="C38" i="132"/>
  <c r="B38" i="132" s="1"/>
  <c r="O33" i="126"/>
  <c r="H54" i="126"/>
  <c r="O57" i="126"/>
  <c r="N57" i="126"/>
  <c r="N33" i="126"/>
  <c r="P33" i="126" s="1"/>
  <c r="I41" i="126"/>
  <c r="I45" i="126"/>
  <c r="I52" i="126"/>
  <c r="I48" i="126"/>
  <c r="I37" i="126"/>
  <c r="I43" i="126"/>
  <c r="I39" i="126"/>
  <c r="I50" i="126"/>
  <c r="I36" i="126"/>
  <c r="I51" i="126"/>
  <c r="I49" i="126"/>
  <c r="I47" i="126"/>
  <c r="I38" i="126"/>
  <c r="I44" i="126"/>
  <c r="I42" i="126"/>
  <c r="I40" i="126"/>
  <c r="I46" i="126"/>
  <c r="E35" i="126"/>
  <c r="F35" i="126"/>
  <c r="C60" i="132"/>
  <c r="F59" i="132"/>
  <c r="E59" i="132"/>
  <c r="D60" i="132"/>
  <c r="C36" i="126"/>
  <c r="B36" i="126" s="1"/>
  <c r="D36" i="126"/>
  <c r="D61" i="126"/>
  <c r="C61" i="126"/>
  <c r="F60" i="126"/>
  <c r="E60" i="126"/>
  <c r="Q33" i="126" l="1"/>
  <c r="G57" i="132"/>
  <c r="N56" i="132"/>
  <c r="H52" i="132"/>
  <c r="F38" i="132"/>
  <c r="E38" i="132"/>
  <c r="D39" i="132"/>
  <c r="C39" i="132"/>
  <c r="B39" i="132" s="1"/>
  <c r="I49" i="132"/>
  <c r="I44" i="132"/>
  <c r="I45" i="132"/>
  <c r="I40" i="132"/>
  <c r="I42" i="132"/>
  <c r="I46" i="132"/>
  <c r="I47" i="132"/>
  <c r="I43" i="132"/>
  <c r="I48" i="132"/>
  <c r="I38" i="132"/>
  <c r="I39" i="132"/>
  <c r="I41" i="132"/>
  <c r="I36" i="132"/>
  <c r="I37" i="132"/>
  <c r="I50" i="132"/>
  <c r="I54" i="126"/>
  <c r="G58" i="126"/>
  <c r="G34" i="126"/>
  <c r="D61" i="132"/>
  <c r="F60" i="132"/>
  <c r="E60" i="132"/>
  <c r="C61" i="132"/>
  <c r="E36" i="126"/>
  <c r="D37" i="126"/>
  <c r="C37" i="126"/>
  <c r="B37" i="126" s="1"/>
  <c r="F36" i="126"/>
  <c r="C62" i="126"/>
  <c r="E61" i="126"/>
  <c r="D62" i="126"/>
  <c r="F61" i="126"/>
  <c r="H57" i="132" l="1"/>
  <c r="I52" i="132"/>
  <c r="O34" i="132"/>
  <c r="G35" i="132" s="1"/>
  <c r="K34" i="132"/>
  <c r="E39" i="132"/>
  <c r="F39" i="132"/>
  <c r="D40" i="132"/>
  <c r="C40" i="132"/>
  <c r="B40" i="132" s="1"/>
  <c r="H58" i="126"/>
  <c r="N58" i="126" s="1"/>
  <c r="O34" i="126"/>
  <c r="J34" i="126"/>
  <c r="F61" i="132"/>
  <c r="E61" i="132"/>
  <c r="D62" i="132"/>
  <c r="C62" i="132"/>
  <c r="F37" i="126"/>
  <c r="E37" i="126"/>
  <c r="D63" i="126"/>
  <c r="C63" i="126"/>
  <c r="F62" i="126"/>
  <c r="E62" i="126"/>
  <c r="C38" i="126"/>
  <c r="B38" i="126" s="1"/>
  <c r="D38" i="126"/>
  <c r="J35" i="132" l="1"/>
  <c r="K35" i="132" s="1"/>
  <c r="M35" i="132" s="1"/>
  <c r="O35" i="132"/>
  <c r="O57" i="132"/>
  <c r="N57" i="132"/>
  <c r="M34" i="132"/>
  <c r="E40" i="132"/>
  <c r="F40" i="132"/>
  <c r="D41" i="132"/>
  <c r="C41" i="132"/>
  <c r="B41" i="132" s="1"/>
  <c r="N34" i="126"/>
  <c r="P34" i="126" s="1"/>
  <c r="Q34" i="126" s="1"/>
  <c r="G35" i="126"/>
  <c r="K34" i="126"/>
  <c r="O58" i="126"/>
  <c r="E62" i="132"/>
  <c r="D63" i="132"/>
  <c r="C63" i="132"/>
  <c r="F62" i="132"/>
  <c r="F38" i="126"/>
  <c r="C39" i="126"/>
  <c r="B39" i="126" s="1"/>
  <c r="E38" i="126"/>
  <c r="D39" i="126"/>
  <c r="C64" i="126"/>
  <c r="D64" i="126"/>
  <c r="E63" i="126"/>
  <c r="F63" i="126"/>
  <c r="N35" i="132" l="1"/>
  <c r="G58" i="132"/>
  <c r="F41" i="132"/>
  <c r="E41" i="132"/>
  <c r="D42" i="132"/>
  <c r="C42" i="132"/>
  <c r="B42" i="132" s="1"/>
  <c r="O35" i="126"/>
  <c r="J35" i="126"/>
  <c r="G59" i="126"/>
  <c r="F63" i="132"/>
  <c r="E63" i="132"/>
  <c r="C64" i="132"/>
  <c r="D64" i="132"/>
  <c r="F39" i="126"/>
  <c r="C40" i="126"/>
  <c r="B40" i="126" s="1"/>
  <c r="D40" i="126"/>
  <c r="E39" i="126"/>
  <c r="E64" i="126"/>
  <c r="D65" i="126"/>
  <c r="F64" i="126"/>
  <c r="C65" i="126"/>
  <c r="H58" i="132" l="1"/>
  <c r="N58" i="132" s="1"/>
  <c r="G36" i="132"/>
  <c r="F42" i="132"/>
  <c r="E42" i="132"/>
  <c r="D43" i="132"/>
  <c r="C43" i="132"/>
  <c r="B43" i="132" s="1"/>
  <c r="H59" i="126"/>
  <c r="N59" i="126" s="1"/>
  <c r="G36" i="126"/>
  <c r="K35" i="126"/>
  <c r="N35" i="126"/>
  <c r="D65" i="132"/>
  <c r="E64" i="132"/>
  <c r="C65" i="132"/>
  <c r="F64" i="132"/>
  <c r="F65" i="126"/>
  <c r="D66" i="126"/>
  <c r="E65" i="126"/>
  <c r="C66" i="126"/>
  <c r="D41" i="126"/>
  <c r="E40" i="126"/>
  <c r="C41" i="126"/>
  <c r="B41" i="126" s="1"/>
  <c r="F40" i="126"/>
  <c r="O59" i="126" l="1"/>
  <c r="G60" i="126" s="1"/>
  <c r="O58" i="132"/>
  <c r="J36" i="132"/>
  <c r="O36" i="132"/>
  <c r="F43" i="132"/>
  <c r="E43" i="132"/>
  <c r="D44" i="132"/>
  <c r="C44" i="132"/>
  <c r="B44" i="132" s="1"/>
  <c r="O36" i="126"/>
  <c r="J36" i="126"/>
  <c r="M35" i="126"/>
  <c r="P35" i="126" s="1"/>
  <c r="Q35" i="126" s="1"/>
  <c r="C66" i="132"/>
  <c r="D66" i="132"/>
  <c r="F65" i="132"/>
  <c r="E65" i="132"/>
  <c r="D67" i="126"/>
  <c r="E66" i="126"/>
  <c r="C67" i="126"/>
  <c r="F66" i="126"/>
  <c r="C42" i="126"/>
  <c r="B42" i="126" s="1"/>
  <c r="F41" i="126"/>
  <c r="E41" i="126"/>
  <c r="D42" i="126"/>
  <c r="G59" i="132" l="1"/>
  <c r="K36" i="132"/>
  <c r="N36" i="132"/>
  <c r="G37" i="132"/>
  <c r="E44" i="132"/>
  <c r="F44" i="132"/>
  <c r="D45" i="132"/>
  <c r="C45" i="132"/>
  <c r="B45" i="132" s="1"/>
  <c r="N36" i="126"/>
  <c r="G37" i="126"/>
  <c r="H60" i="126"/>
  <c r="K36" i="126"/>
  <c r="F66" i="132"/>
  <c r="D67" i="132"/>
  <c r="E66" i="132"/>
  <c r="C67" i="132"/>
  <c r="D43" i="126"/>
  <c r="F42" i="126"/>
  <c r="C43" i="126"/>
  <c r="B43" i="126" s="1"/>
  <c r="E42" i="126"/>
  <c r="C68" i="126"/>
  <c r="F67" i="126"/>
  <c r="E67" i="126"/>
  <c r="D68" i="126"/>
  <c r="H59" i="132" l="1"/>
  <c r="O59" i="132" s="1"/>
  <c r="J37" i="132"/>
  <c r="N37" i="132" s="1"/>
  <c r="O37" i="132"/>
  <c r="G38" i="132" s="1"/>
  <c r="M36" i="132"/>
  <c r="E45" i="132"/>
  <c r="F45" i="132"/>
  <c r="D46" i="132"/>
  <c r="C46" i="132"/>
  <c r="B46" i="132" s="1"/>
  <c r="O60" i="126"/>
  <c r="N60" i="126"/>
  <c r="M36" i="126"/>
  <c r="P36" i="126" s="1"/>
  <c r="Q36" i="126" s="1"/>
  <c r="O37" i="126"/>
  <c r="G38" i="126" s="1"/>
  <c r="J37" i="126"/>
  <c r="F67" i="132"/>
  <c r="D68" i="132"/>
  <c r="E67" i="132"/>
  <c r="C68" i="132"/>
  <c r="F68" i="126"/>
  <c r="D69" i="126"/>
  <c r="C69" i="126"/>
  <c r="E68" i="126"/>
  <c r="D44" i="126"/>
  <c r="C44" i="126"/>
  <c r="B44" i="126" s="1"/>
  <c r="E43" i="126"/>
  <c r="F43" i="126"/>
  <c r="N59" i="132" l="1"/>
  <c r="G60" i="132"/>
  <c r="O38" i="132"/>
  <c r="G39" i="132" s="1"/>
  <c r="J38" i="132"/>
  <c r="K37" i="132"/>
  <c r="F46" i="132"/>
  <c r="E46" i="132"/>
  <c r="D47" i="132"/>
  <c r="C47" i="132"/>
  <c r="B47" i="132" s="1"/>
  <c r="O38" i="126"/>
  <c r="G39" i="126" s="1"/>
  <c r="J38" i="126"/>
  <c r="N38" i="126" s="1"/>
  <c r="K37" i="126"/>
  <c r="M37" i="126" s="1"/>
  <c r="N37" i="126"/>
  <c r="G61" i="126"/>
  <c r="D69" i="132"/>
  <c r="E68" i="132"/>
  <c r="C69" i="132"/>
  <c r="F68" i="132"/>
  <c r="E69" i="126"/>
  <c r="D70" i="126"/>
  <c r="C70" i="126"/>
  <c r="F69" i="126"/>
  <c r="F44" i="126"/>
  <c r="E44" i="126"/>
  <c r="D45" i="126"/>
  <c r="C45" i="126"/>
  <c r="B45" i="126" s="1"/>
  <c r="P37" i="126" l="1"/>
  <c r="Q37" i="126" s="1"/>
  <c r="N38" i="132"/>
  <c r="H60" i="132"/>
  <c r="O60" i="132" s="1"/>
  <c r="G61" i="132" s="1"/>
  <c r="M37" i="132"/>
  <c r="K38" i="132"/>
  <c r="O39" i="132"/>
  <c r="G40" i="132" s="1"/>
  <c r="J39" i="132"/>
  <c r="K39" i="132" s="1"/>
  <c r="F47" i="132"/>
  <c r="E47" i="132"/>
  <c r="D48" i="132"/>
  <c r="C48" i="132"/>
  <c r="B48" i="132" s="1"/>
  <c r="K38" i="126"/>
  <c r="H61" i="126"/>
  <c r="N61" i="126" s="1"/>
  <c r="O39" i="126"/>
  <c r="G40" i="126" s="1"/>
  <c r="J39" i="126"/>
  <c r="C70" i="132"/>
  <c r="F69" i="132"/>
  <c r="E69" i="132"/>
  <c r="D70" i="132"/>
  <c r="F70" i="126"/>
  <c r="E70" i="126"/>
  <c r="D71" i="126"/>
  <c r="C71" i="126"/>
  <c r="F45" i="126"/>
  <c r="E45" i="126"/>
  <c r="D46" i="126"/>
  <c r="C46" i="126"/>
  <c r="B46" i="126" s="1"/>
  <c r="M38" i="132" l="1"/>
  <c r="M39" i="132"/>
  <c r="M38" i="126"/>
  <c r="P38" i="126" s="1"/>
  <c r="Q38" i="126" s="1"/>
  <c r="N39" i="132"/>
  <c r="O61" i="126"/>
  <c r="G62" i="126" s="1"/>
  <c r="N60" i="132"/>
  <c r="H61" i="132"/>
  <c r="O61" i="132" s="1"/>
  <c r="G62" i="132" s="1"/>
  <c r="J40" i="132"/>
  <c r="O40" i="132"/>
  <c r="G41" i="132" s="1"/>
  <c r="E48" i="132"/>
  <c r="F48" i="132"/>
  <c r="D49" i="132"/>
  <c r="C49" i="132"/>
  <c r="B49" i="132" s="1"/>
  <c r="K39" i="126"/>
  <c r="J40" i="126"/>
  <c r="O40" i="126"/>
  <c r="G41" i="126" s="1"/>
  <c r="N39" i="126"/>
  <c r="F70" i="132"/>
  <c r="E70" i="132"/>
  <c r="D71" i="132"/>
  <c r="C71" i="132"/>
  <c r="E46" i="126"/>
  <c r="F46" i="126"/>
  <c r="D47" i="126"/>
  <c r="C47" i="126"/>
  <c r="B47" i="126" s="1"/>
  <c r="F71" i="126"/>
  <c r="D72" i="126"/>
  <c r="C72" i="126"/>
  <c r="E71" i="126"/>
  <c r="M39" i="126" l="1"/>
  <c r="P39" i="126" s="1"/>
  <c r="Q39" i="126" s="1"/>
  <c r="N61" i="132"/>
  <c r="H62" i="132"/>
  <c r="H84" i="132" s="1"/>
  <c r="K40" i="132"/>
  <c r="N40" i="132"/>
  <c r="J41" i="132"/>
  <c r="K41" i="132" s="1"/>
  <c r="O41" i="132"/>
  <c r="G42" i="132" s="1"/>
  <c r="E49" i="132"/>
  <c r="F49" i="132"/>
  <c r="D50" i="132"/>
  <c r="H107" i="197" s="1"/>
  <c r="I107" i="197" s="1"/>
  <c r="C50" i="132"/>
  <c r="B50" i="132" s="1"/>
  <c r="O41" i="126"/>
  <c r="G42" i="126" s="1"/>
  <c r="J41" i="126"/>
  <c r="N41" i="126" s="1"/>
  <c r="H62" i="126"/>
  <c r="O62" i="126" s="1"/>
  <c r="G63" i="126" s="1"/>
  <c r="K40" i="126"/>
  <c r="N40" i="126"/>
  <c r="F71" i="132"/>
  <c r="E71" i="132"/>
  <c r="D72" i="132"/>
  <c r="C72" i="132"/>
  <c r="F72" i="126"/>
  <c r="D73" i="126"/>
  <c r="E72" i="126"/>
  <c r="C73" i="126"/>
  <c r="F47" i="126"/>
  <c r="C48" i="126"/>
  <c r="B48" i="126" s="1"/>
  <c r="D48" i="126"/>
  <c r="E47" i="126"/>
  <c r="M41" i="132" l="1"/>
  <c r="M40" i="132"/>
  <c r="M40" i="126"/>
  <c r="P40" i="126" s="1"/>
  <c r="Q40" i="126" s="1"/>
  <c r="O62" i="132"/>
  <c r="G63" i="132" s="1"/>
  <c r="J63" i="132" s="1"/>
  <c r="N63" i="132" s="1"/>
  <c r="N62" i="132"/>
  <c r="O42" i="132"/>
  <c r="G43" i="132" s="1"/>
  <c r="J42" i="132"/>
  <c r="K42" i="132" s="1"/>
  <c r="N41" i="132"/>
  <c r="F50" i="132"/>
  <c r="E50" i="132"/>
  <c r="H63" i="126"/>
  <c r="O63" i="126" s="1"/>
  <c r="G64" i="126" s="1"/>
  <c r="N62" i="126"/>
  <c r="K41" i="126"/>
  <c r="J42" i="126"/>
  <c r="K42" i="126" s="1"/>
  <c r="O42" i="126"/>
  <c r="G43" i="126" s="1"/>
  <c r="D73" i="132"/>
  <c r="E72" i="132"/>
  <c r="C73" i="132"/>
  <c r="F72" i="132"/>
  <c r="F73" i="126"/>
  <c r="D74" i="126"/>
  <c r="E73" i="126"/>
  <c r="C74" i="126"/>
  <c r="D49" i="126"/>
  <c r="E48" i="126"/>
  <c r="C49" i="126"/>
  <c r="B49" i="126" s="1"/>
  <c r="F48" i="126"/>
  <c r="M42" i="132" l="1"/>
  <c r="M42" i="126"/>
  <c r="M41" i="126"/>
  <c r="P41" i="126" s="1"/>
  <c r="Q41" i="126" s="1"/>
  <c r="N42" i="132"/>
  <c r="O43" i="132"/>
  <c r="G44" i="132" s="1"/>
  <c r="J43" i="132"/>
  <c r="K43" i="132" s="1"/>
  <c r="N63" i="126"/>
  <c r="J43" i="126"/>
  <c r="K43" i="126" s="1"/>
  <c r="O43" i="126"/>
  <c r="G44" i="126" s="1"/>
  <c r="N42" i="126"/>
  <c r="H64" i="126"/>
  <c r="N64" i="126" s="1"/>
  <c r="C74" i="132"/>
  <c r="E73" i="132"/>
  <c r="F73" i="132"/>
  <c r="D74" i="132"/>
  <c r="D75" i="126"/>
  <c r="E74" i="126"/>
  <c r="C75" i="126"/>
  <c r="F74" i="126"/>
  <c r="C50" i="126"/>
  <c r="B50" i="126" s="1"/>
  <c r="D50" i="126"/>
  <c r="F49" i="126"/>
  <c r="E49" i="126"/>
  <c r="M43" i="132" l="1"/>
  <c r="P42" i="126"/>
  <c r="Q42" i="126" s="1"/>
  <c r="M43" i="126"/>
  <c r="N43" i="132"/>
  <c r="O44" i="132"/>
  <c r="G45" i="132" s="1"/>
  <c r="J44" i="132"/>
  <c r="K44" i="132" s="1"/>
  <c r="N43" i="126"/>
  <c r="J44" i="126"/>
  <c r="K44" i="126" s="1"/>
  <c r="O44" i="126"/>
  <c r="G45" i="126" s="1"/>
  <c r="O64" i="126"/>
  <c r="G65" i="126" s="1"/>
  <c r="N65" i="126" s="1"/>
  <c r="H86" i="126"/>
  <c r="F74" i="132"/>
  <c r="D75" i="132"/>
  <c r="C75" i="132"/>
  <c r="E74" i="132"/>
  <c r="D51" i="126"/>
  <c r="C51" i="126"/>
  <c r="B51" i="126" s="1"/>
  <c r="E50" i="126"/>
  <c r="F50" i="126"/>
  <c r="C76" i="126"/>
  <c r="E75" i="126"/>
  <c r="D76" i="126"/>
  <c r="F75" i="126"/>
  <c r="M44" i="132" l="1"/>
  <c r="P43" i="126"/>
  <c r="Q43" i="126" s="1"/>
  <c r="M44" i="126"/>
  <c r="N44" i="132"/>
  <c r="J45" i="132"/>
  <c r="K45" i="132" s="1"/>
  <c r="O45" i="132"/>
  <c r="G46" i="132" s="1"/>
  <c r="N44" i="126"/>
  <c r="J45" i="126"/>
  <c r="K45" i="126" s="1"/>
  <c r="O45" i="126"/>
  <c r="G46" i="126" s="1"/>
  <c r="F75" i="132"/>
  <c r="D76" i="132"/>
  <c r="E75" i="132"/>
  <c r="C76" i="132"/>
  <c r="C77" i="126"/>
  <c r="F76" i="126"/>
  <c r="D77" i="126"/>
  <c r="E76" i="126"/>
  <c r="E51" i="126"/>
  <c r="D52" i="126"/>
  <c r="H56" i="197" s="1"/>
  <c r="C52" i="126"/>
  <c r="B52" i="126" s="1"/>
  <c r="F51" i="126"/>
  <c r="I56" i="197" l="1"/>
  <c r="M45" i="132"/>
  <c r="P44" i="126"/>
  <c r="Q44" i="126" s="1"/>
  <c r="M45" i="126"/>
  <c r="N45" i="132"/>
  <c r="J46" i="132"/>
  <c r="K46" i="132" s="1"/>
  <c r="O46" i="132"/>
  <c r="G47" i="132" s="1"/>
  <c r="N45" i="126"/>
  <c r="O46" i="126"/>
  <c r="G47" i="126" s="1"/>
  <c r="J46" i="126"/>
  <c r="K46" i="126" s="1"/>
  <c r="D77" i="132"/>
  <c r="E76" i="132"/>
  <c r="C77" i="132"/>
  <c r="F76" i="132"/>
  <c r="E52" i="126"/>
  <c r="F52" i="126"/>
  <c r="F77" i="126"/>
  <c r="D78" i="126"/>
  <c r="E77" i="126"/>
  <c r="C78" i="126"/>
  <c r="M46" i="132" l="1"/>
  <c r="M46" i="126"/>
  <c r="P45" i="126"/>
  <c r="Q45" i="126" s="1"/>
  <c r="N46" i="132"/>
  <c r="J47" i="132"/>
  <c r="K47" i="132" s="1"/>
  <c r="O47" i="132"/>
  <c r="G48" i="132" s="1"/>
  <c r="N46" i="126"/>
  <c r="J47" i="126"/>
  <c r="K47" i="126" s="1"/>
  <c r="O47" i="126"/>
  <c r="G48" i="126" s="1"/>
  <c r="C78" i="132"/>
  <c r="F77" i="132"/>
  <c r="D78" i="132"/>
  <c r="E77" i="132"/>
  <c r="F78" i="126"/>
  <c r="D79" i="126"/>
  <c r="E78" i="126"/>
  <c r="C79" i="126"/>
  <c r="M47" i="132" l="1"/>
  <c r="P46" i="126"/>
  <c r="Q46" i="126" s="1"/>
  <c r="M47" i="126"/>
  <c r="N47" i="132"/>
  <c r="O48" i="132"/>
  <c r="G49" i="132" s="1"/>
  <c r="J48" i="132"/>
  <c r="K48" i="132" s="1"/>
  <c r="N47" i="126"/>
  <c r="O48" i="126"/>
  <c r="G49" i="126" s="1"/>
  <c r="J48" i="126"/>
  <c r="K48" i="126" s="1"/>
  <c r="F78" i="132"/>
  <c r="D79" i="132"/>
  <c r="C79" i="132"/>
  <c r="E78" i="132"/>
  <c r="F79" i="126"/>
  <c r="D80" i="126"/>
  <c r="E79" i="126"/>
  <c r="C80" i="126"/>
  <c r="M48" i="132" l="1"/>
  <c r="P47" i="126"/>
  <c r="Q47" i="126" s="1"/>
  <c r="M48" i="126"/>
  <c r="N48" i="132"/>
  <c r="J49" i="132"/>
  <c r="K49" i="132" s="1"/>
  <c r="O49" i="132"/>
  <c r="G50" i="132" s="1"/>
  <c r="N48" i="126"/>
  <c r="P48" i="126" s="1"/>
  <c r="Q48" i="126" s="1"/>
  <c r="O49" i="126"/>
  <c r="G50" i="126" s="1"/>
  <c r="J49" i="126"/>
  <c r="K49" i="126" s="1"/>
  <c r="F79" i="132"/>
  <c r="D80" i="132"/>
  <c r="E79" i="132"/>
  <c r="C80" i="132"/>
  <c r="F80" i="126"/>
  <c r="D81" i="126"/>
  <c r="E80" i="126"/>
  <c r="C81" i="126"/>
  <c r="M49" i="132" l="1"/>
  <c r="M49" i="126"/>
  <c r="N49" i="132"/>
  <c r="O50" i="132"/>
  <c r="J50" i="132"/>
  <c r="K50" i="132" s="1"/>
  <c r="N49" i="126"/>
  <c r="O50" i="126"/>
  <c r="G51" i="126" s="1"/>
  <c r="J50" i="126"/>
  <c r="K50" i="126" s="1"/>
  <c r="D81" i="132"/>
  <c r="E80" i="132"/>
  <c r="C81" i="132"/>
  <c r="F80" i="132"/>
  <c r="F81" i="126"/>
  <c r="D82" i="126"/>
  <c r="E81" i="126"/>
  <c r="C82" i="126"/>
  <c r="M50" i="132" l="1"/>
  <c r="M50" i="126"/>
  <c r="P49" i="126"/>
  <c r="Q49" i="126" s="1"/>
  <c r="N50" i="132"/>
  <c r="N50" i="126"/>
  <c r="J51" i="126"/>
  <c r="K51" i="126" s="1"/>
  <c r="O51" i="126"/>
  <c r="G52" i="126" s="1"/>
  <c r="C82" i="132"/>
  <c r="F81" i="132"/>
  <c r="E81" i="132"/>
  <c r="D82" i="132"/>
  <c r="D83" i="126"/>
  <c r="E82" i="126"/>
  <c r="C83" i="126"/>
  <c r="F82" i="126"/>
  <c r="P50" i="126" l="1"/>
  <c r="Q50" i="126" s="1"/>
  <c r="M51" i="126"/>
  <c r="N51" i="126"/>
  <c r="G54" i="126"/>
  <c r="J52" i="126"/>
  <c r="N52" i="126" s="1"/>
  <c r="O52" i="126"/>
  <c r="O54" i="126" s="1"/>
  <c r="F82" i="132"/>
  <c r="E82" i="132"/>
  <c r="C84" i="126"/>
  <c r="D84" i="126"/>
  <c r="E83" i="126"/>
  <c r="F83" i="126"/>
  <c r="P51" i="126" l="1"/>
  <c r="Q51" i="126" s="1"/>
  <c r="O52" i="132"/>
  <c r="G52" i="132"/>
  <c r="N54" i="126"/>
  <c r="K52" i="126"/>
  <c r="J54" i="126"/>
  <c r="F84" i="126"/>
  <c r="E84" i="126"/>
  <c r="C57" i="197" l="1"/>
  <c r="B56" i="197"/>
  <c r="C56" i="197"/>
  <c r="B57" i="197"/>
  <c r="D56" i="197"/>
  <c r="D57" i="197"/>
  <c r="J52" i="132"/>
  <c r="N52" i="132"/>
  <c r="M52" i="126"/>
  <c r="K54" i="126"/>
  <c r="F57" i="197" l="1"/>
  <c r="F56" i="197"/>
  <c r="M54" i="126"/>
  <c r="P52" i="126"/>
  <c r="M52" i="132"/>
  <c r="K52" i="132"/>
  <c r="E108" i="197" l="1"/>
  <c r="E107" i="197"/>
  <c r="D107" i="197"/>
  <c r="B107" i="197"/>
  <c r="C108" i="197"/>
  <c r="C107" i="197"/>
  <c r="B108" i="197"/>
  <c r="D108" i="197"/>
  <c r="P54" i="126"/>
  <c r="Q52" i="126"/>
  <c r="Q54" i="126" s="1"/>
  <c r="F108" i="197" l="1"/>
  <c r="F107" i="197"/>
  <c r="C57" i="112"/>
  <c r="D57" i="112" s="1"/>
  <c r="I84" i="112"/>
  <c r="L84" i="112"/>
  <c r="I83" i="112"/>
  <c r="L83" i="112"/>
  <c r="I82" i="112"/>
  <c r="L82" i="112"/>
  <c r="I81" i="112"/>
  <c r="L81" i="112"/>
  <c r="I80" i="112"/>
  <c r="L80" i="112"/>
  <c r="I79" i="112"/>
  <c r="L79" i="112"/>
  <c r="I78" i="112"/>
  <c r="L78" i="112"/>
  <c r="I77" i="112"/>
  <c r="L77" i="112"/>
  <c r="I76" i="112"/>
  <c r="L76" i="112"/>
  <c r="I75" i="112"/>
  <c r="L75" i="112"/>
  <c r="I74" i="112"/>
  <c r="L74" i="112"/>
  <c r="I73" i="112"/>
  <c r="L73" i="112"/>
  <c r="I72" i="112"/>
  <c r="L72" i="112"/>
  <c r="I71" i="112"/>
  <c r="L71" i="112"/>
  <c r="I70" i="112"/>
  <c r="L70" i="112"/>
  <c r="I69" i="112"/>
  <c r="L69" i="112"/>
  <c r="I68" i="112"/>
  <c r="L68" i="112"/>
  <c r="I67" i="112"/>
  <c r="L67" i="112"/>
  <c r="I66" i="112"/>
  <c r="L66" i="112"/>
  <c r="I65" i="112"/>
  <c r="L65" i="112"/>
  <c r="G57" i="112"/>
  <c r="I86" i="112" l="1"/>
  <c r="L86" i="112"/>
  <c r="F57" i="112"/>
  <c r="C58" i="112"/>
  <c r="E57" i="112"/>
  <c r="D58" i="112"/>
  <c r="H57" i="112" l="1"/>
  <c r="E58" i="112"/>
  <c r="F58" i="112"/>
  <c r="D59" i="112"/>
  <c r="C59" i="112"/>
  <c r="O57" i="112" l="1"/>
  <c r="N57" i="112"/>
  <c r="E59" i="112"/>
  <c r="D60" i="112"/>
  <c r="F59" i="112"/>
  <c r="C60" i="112"/>
  <c r="G58" i="112" l="1"/>
  <c r="E60" i="112"/>
  <c r="F60" i="112"/>
  <c r="D61" i="112"/>
  <c r="C61" i="112"/>
  <c r="H58" i="112" l="1"/>
  <c r="C62" i="112"/>
  <c r="F61" i="112"/>
  <c r="E61" i="112"/>
  <c r="D62" i="112"/>
  <c r="O58" i="112" l="1"/>
  <c r="N58" i="112"/>
  <c r="D63" i="112"/>
  <c r="F62" i="112"/>
  <c r="E62" i="112"/>
  <c r="C63" i="112"/>
  <c r="G59" i="112" l="1"/>
  <c r="D64" i="112"/>
  <c r="C64" i="112"/>
  <c r="F63" i="112"/>
  <c r="E63" i="112"/>
  <c r="H59" i="112" l="1"/>
  <c r="N59" i="112" s="1"/>
  <c r="E64" i="112"/>
  <c r="D65" i="112"/>
  <c r="C65" i="112"/>
  <c r="F64" i="112"/>
  <c r="O59" i="112" l="1"/>
  <c r="F65" i="112"/>
  <c r="D66" i="112"/>
  <c r="F66" i="112" s="1"/>
  <c r="E65" i="112"/>
  <c r="C66" i="112"/>
  <c r="G60" i="112" l="1"/>
  <c r="D67" i="112"/>
  <c r="F67" i="112" s="1"/>
  <c r="E66" i="112"/>
  <c r="C67" i="112"/>
  <c r="H60" i="112" l="1"/>
  <c r="N60" i="112" s="1"/>
  <c r="C68" i="112"/>
  <c r="D68" i="112"/>
  <c r="F68" i="112" s="1"/>
  <c r="E67" i="112"/>
  <c r="O60" i="112" l="1"/>
  <c r="D69" i="112"/>
  <c r="F69" i="112" s="1"/>
  <c r="E68" i="112"/>
  <c r="C69" i="112"/>
  <c r="G61" i="112" l="1"/>
  <c r="E69" i="112"/>
  <c r="D70" i="112"/>
  <c r="F70" i="112" s="1"/>
  <c r="C70" i="112"/>
  <c r="H61" i="112" l="1"/>
  <c r="O61" i="112" s="1"/>
  <c r="D71" i="112"/>
  <c r="F71" i="112" s="1"/>
  <c r="C71" i="112"/>
  <c r="E70" i="112"/>
  <c r="N61" i="112" l="1"/>
  <c r="G62" i="112"/>
  <c r="D72" i="112"/>
  <c r="F72" i="112" s="1"/>
  <c r="E71" i="112"/>
  <c r="C72" i="112"/>
  <c r="H62" i="112" l="1"/>
  <c r="O62" i="112" s="1"/>
  <c r="G63" i="112" s="1"/>
  <c r="D73" i="112"/>
  <c r="F73" i="112" s="1"/>
  <c r="E72" i="112"/>
  <c r="C73" i="112"/>
  <c r="N62" i="112" l="1"/>
  <c r="H63" i="112"/>
  <c r="O63" i="112" s="1"/>
  <c r="G64" i="112" s="1"/>
  <c r="D74" i="112"/>
  <c r="F74" i="112" s="1"/>
  <c r="E73" i="112"/>
  <c r="C74" i="112"/>
  <c r="N63" i="112" l="1"/>
  <c r="H64" i="112"/>
  <c r="N64" i="112" s="1"/>
  <c r="D75" i="112"/>
  <c r="F75" i="112" s="1"/>
  <c r="E74" i="112"/>
  <c r="C75" i="112"/>
  <c r="O64" i="112" l="1"/>
  <c r="G65" i="112" s="1"/>
  <c r="H86" i="112"/>
  <c r="C76" i="112"/>
  <c r="D76" i="112"/>
  <c r="F76" i="112" s="1"/>
  <c r="E75" i="112"/>
  <c r="O65" i="112" l="1"/>
  <c r="G66" i="112" s="1"/>
  <c r="J65" i="112"/>
  <c r="N65" i="112" s="1"/>
  <c r="D77" i="112"/>
  <c r="F77" i="112" s="1"/>
  <c r="E76" i="112"/>
  <c r="C77" i="112"/>
  <c r="O66" i="112" l="1"/>
  <c r="G67" i="112" s="1"/>
  <c r="J66" i="112"/>
  <c r="K66" i="112" s="1"/>
  <c r="M66" i="112" s="1"/>
  <c r="K65" i="112"/>
  <c r="E77" i="112"/>
  <c r="D78" i="112"/>
  <c r="F78" i="112" s="1"/>
  <c r="C78" i="112"/>
  <c r="N66" i="112" l="1"/>
  <c r="O67" i="112"/>
  <c r="G68" i="112" s="1"/>
  <c r="J67" i="112"/>
  <c r="K67" i="112" s="1"/>
  <c r="M67" i="112" s="1"/>
  <c r="M65" i="112"/>
  <c r="D79" i="112"/>
  <c r="F79" i="112" s="1"/>
  <c r="C79" i="112"/>
  <c r="E78" i="112"/>
  <c r="N67" i="112" l="1"/>
  <c r="O68" i="112"/>
  <c r="G69" i="112" s="1"/>
  <c r="J68" i="112"/>
  <c r="K68" i="112" s="1"/>
  <c r="M68" i="112" s="1"/>
  <c r="E79" i="112"/>
  <c r="D80" i="112"/>
  <c r="F80" i="112" s="1"/>
  <c r="C80" i="112"/>
  <c r="N68" i="112" l="1"/>
  <c r="O69" i="112"/>
  <c r="G70" i="112" s="1"/>
  <c r="J69" i="112"/>
  <c r="K69" i="112" s="1"/>
  <c r="M69" i="112" s="1"/>
  <c r="D81" i="112"/>
  <c r="C81" i="112"/>
  <c r="E80" i="112"/>
  <c r="O70" i="112" l="1"/>
  <c r="G71" i="112" s="1"/>
  <c r="J70" i="112"/>
  <c r="K70" i="112" s="1"/>
  <c r="M70" i="112" s="1"/>
  <c r="N69" i="112"/>
  <c r="F81" i="112"/>
  <c r="D82" i="112"/>
  <c r="E81" i="112"/>
  <c r="C82" i="112"/>
  <c r="N70" i="112" l="1"/>
  <c r="O71" i="112"/>
  <c r="G72" i="112" s="1"/>
  <c r="J71" i="112"/>
  <c r="K71" i="112" s="1"/>
  <c r="M71" i="112" s="1"/>
  <c r="D83" i="112"/>
  <c r="E82" i="112"/>
  <c r="C83" i="112"/>
  <c r="F82" i="112"/>
  <c r="N71" i="112" l="1"/>
  <c r="O72" i="112"/>
  <c r="G73" i="112" s="1"/>
  <c r="J72" i="112"/>
  <c r="K72" i="112" s="1"/>
  <c r="M72" i="112" s="1"/>
  <c r="C84" i="112"/>
  <c r="F83" i="112"/>
  <c r="D84" i="112"/>
  <c r="E83" i="112"/>
  <c r="N72" i="112" l="1"/>
  <c r="O73" i="112"/>
  <c r="G74" i="112" s="1"/>
  <c r="J73" i="112"/>
  <c r="K73" i="112" s="1"/>
  <c r="M73" i="112" s="1"/>
  <c r="F84" i="112"/>
  <c r="E84" i="112"/>
  <c r="N73" i="112" l="1"/>
  <c r="O74" i="112"/>
  <c r="G75" i="112" s="1"/>
  <c r="J74" i="112"/>
  <c r="K74" i="112" s="1"/>
  <c r="M74" i="112" s="1"/>
  <c r="G58" i="119"/>
  <c r="C58" i="119"/>
  <c r="D58" i="119" s="1"/>
  <c r="C33" i="119"/>
  <c r="D33" i="119" s="1"/>
  <c r="F28" i="119"/>
  <c r="F27" i="119"/>
  <c r="E26" i="119"/>
  <c r="E29" i="119" s="1"/>
  <c r="D26" i="119"/>
  <c r="D29" i="119" s="1"/>
  <c r="C26" i="119"/>
  <c r="F25" i="119"/>
  <c r="F24" i="119"/>
  <c r="F23" i="119"/>
  <c r="F22" i="119"/>
  <c r="F21" i="119"/>
  <c r="F20" i="119"/>
  <c r="F19" i="119"/>
  <c r="F18" i="119"/>
  <c r="F17" i="119"/>
  <c r="F16" i="119"/>
  <c r="F15" i="119"/>
  <c r="F14" i="119"/>
  <c r="F13" i="119"/>
  <c r="F12" i="119"/>
  <c r="F11" i="119"/>
  <c r="F10" i="119"/>
  <c r="F9" i="119"/>
  <c r="F8" i="119"/>
  <c r="F7" i="119"/>
  <c r="F6" i="119"/>
  <c r="F5" i="119"/>
  <c r="F4" i="119"/>
  <c r="F3" i="119"/>
  <c r="F2" i="119"/>
  <c r="N74" i="112" l="1"/>
  <c r="C34" i="119"/>
  <c r="D34" i="119"/>
  <c r="O75" i="112"/>
  <c r="G76" i="112" s="1"/>
  <c r="J75" i="112"/>
  <c r="K75" i="112" s="1"/>
  <c r="M75" i="112" s="1"/>
  <c r="C29" i="119"/>
  <c r="L66" i="119"/>
  <c r="L84" i="119"/>
  <c r="L49" i="119"/>
  <c r="L35" i="119"/>
  <c r="L34" i="119"/>
  <c r="L69" i="119"/>
  <c r="L81" i="119"/>
  <c r="L38" i="119"/>
  <c r="L37" i="119"/>
  <c r="L36" i="119"/>
  <c r="F33" i="119"/>
  <c r="L72" i="119"/>
  <c r="L73" i="119"/>
  <c r="E33" i="119"/>
  <c r="L39" i="119"/>
  <c r="L40" i="119"/>
  <c r="L43" i="119"/>
  <c r="L48" i="119"/>
  <c r="L52" i="119"/>
  <c r="F58" i="119"/>
  <c r="E58" i="119"/>
  <c r="C59" i="119"/>
  <c r="D59" i="119"/>
  <c r="F26" i="119"/>
  <c r="F29" i="119" s="1"/>
  <c r="L46" i="119"/>
  <c r="L53" i="119"/>
  <c r="L45" i="119"/>
  <c r="L50" i="119"/>
  <c r="L42" i="119"/>
  <c r="G33" i="119"/>
  <c r="L41" i="119"/>
  <c r="L51" i="119"/>
  <c r="L79" i="119"/>
  <c r="L71" i="119"/>
  <c r="L70" i="119"/>
  <c r="L85" i="119"/>
  <c r="L78" i="119"/>
  <c r="L77" i="119"/>
  <c r="L83" i="119"/>
  <c r="L75" i="119"/>
  <c r="L67" i="119"/>
  <c r="L82" i="119"/>
  <c r="L68" i="119"/>
  <c r="L74" i="119"/>
  <c r="L80" i="119"/>
  <c r="L44" i="119"/>
  <c r="L47" i="119"/>
  <c r="L76" i="119"/>
  <c r="E34" i="119" l="1"/>
  <c r="N75" i="112"/>
  <c r="B34" i="119"/>
  <c r="D35" i="119"/>
  <c r="F34" i="119"/>
  <c r="C35" i="119"/>
  <c r="B35" i="119" s="1"/>
  <c r="O76" i="112"/>
  <c r="G77" i="112" s="1"/>
  <c r="J76" i="112"/>
  <c r="K76" i="112" s="1"/>
  <c r="M76" i="112" s="1"/>
  <c r="L55" i="119"/>
  <c r="L87" i="119"/>
  <c r="H33" i="119"/>
  <c r="H58" i="119"/>
  <c r="C36" i="119"/>
  <c r="B36" i="119" s="1"/>
  <c r="F59" i="119"/>
  <c r="D60" i="119"/>
  <c r="C60" i="119"/>
  <c r="E59" i="119"/>
  <c r="N76" i="112" l="1"/>
  <c r="D36" i="119"/>
  <c r="E35" i="119"/>
  <c r="F35" i="119"/>
  <c r="O77" i="112"/>
  <c r="G78" i="112" s="1"/>
  <c r="J77" i="112"/>
  <c r="K77" i="112" s="1"/>
  <c r="M77" i="112" s="1"/>
  <c r="N33" i="119"/>
  <c r="O58" i="119"/>
  <c r="N58" i="119"/>
  <c r="O33" i="119"/>
  <c r="F60" i="119"/>
  <c r="D61" i="119"/>
  <c r="C61" i="119"/>
  <c r="E60" i="119"/>
  <c r="C37" i="119"/>
  <c r="B37" i="119" s="1"/>
  <c r="E36" i="119" l="1"/>
  <c r="D37" i="119"/>
  <c r="E37" i="119" s="1"/>
  <c r="F36" i="119"/>
  <c r="N77" i="112"/>
  <c r="O78" i="112"/>
  <c r="G79" i="112" s="1"/>
  <c r="J78" i="112"/>
  <c r="K78" i="112" s="1"/>
  <c r="M78" i="112" s="1"/>
  <c r="G34" i="119"/>
  <c r="H34" i="119" s="1"/>
  <c r="G59" i="119"/>
  <c r="H59" i="119" s="1"/>
  <c r="E61" i="119"/>
  <c r="C62" i="119"/>
  <c r="D62" i="119"/>
  <c r="F61" i="119"/>
  <c r="C38" i="119" l="1"/>
  <c r="B38" i="119" s="1"/>
  <c r="D38" i="119"/>
  <c r="F37" i="119"/>
  <c r="O79" i="112"/>
  <c r="G80" i="112" s="1"/>
  <c r="J79" i="112"/>
  <c r="K79" i="112" s="1"/>
  <c r="M79" i="112" s="1"/>
  <c r="N78" i="112"/>
  <c r="N34" i="119"/>
  <c r="I40" i="119"/>
  <c r="I49" i="119"/>
  <c r="I42" i="119"/>
  <c r="I52" i="119"/>
  <c r="I48" i="119"/>
  <c r="I45" i="119"/>
  <c r="H55" i="119"/>
  <c r="I35" i="119"/>
  <c r="I44" i="119"/>
  <c r="I37" i="119"/>
  <c r="O59" i="119"/>
  <c r="I53" i="119"/>
  <c r="I41" i="119"/>
  <c r="I46" i="119"/>
  <c r="N59" i="119"/>
  <c r="I38" i="119"/>
  <c r="I39" i="119"/>
  <c r="I51" i="119"/>
  <c r="I36" i="119"/>
  <c r="I43" i="119"/>
  <c r="I34" i="119"/>
  <c r="I47" i="119"/>
  <c r="I50" i="119"/>
  <c r="C63" i="119"/>
  <c r="F62" i="119"/>
  <c r="E62" i="119"/>
  <c r="D63" i="119"/>
  <c r="E38" i="119"/>
  <c r="C39" i="119"/>
  <c r="B39" i="119" s="1"/>
  <c r="D39" i="119" l="1"/>
  <c r="F38" i="119"/>
  <c r="N79" i="112"/>
  <c r="O80" i="112"/>
  <c r="G81" i="112" s="1"/>
  <c r="J80" i="112"/>
  <c r="K80" i="112" s="1"/>
  <c r="M80" i="112" s="1"/>
  <c r="G60" i="119"/>
  <c r="K34" i="119"/>
  <c r="I55" i="119"/>
  <c r="O34" i="119"/>
  <c r="C40" i="119"/>
  <c r="B40" i="119" s="1"/>
  <c r="E39" i="119"/>
  <c r="D64" i="119"/>
  <c r="C64" i="119"/>
  <c r="F63" i="119"/>
  <c r="E63" i="119"/>
  <c r="D40" i="119" l="1"/>
  <c r="F39" i="119"/>
  <c r="N80" i="112"/>
  <c r="O81" i="112"/>
  <c r="G82" i="112" s="1"/>
  <c r="J81" i="112"/>
  <c r="K81" i="112" s="1"/>
  <c r="M81" i="112" s="1"/>
  <c r="G35" i="119"/>
  <c r="H60" i="119"/>
  <c r="N60" i="119" s="1"/>
  <c r="M34" i="119"/>
  <c r="E40" i="119"/>
  <c r="C41" i="119"/>
  <c r="B41" i="119" s="1"/>
  <c r="D65" i="119"/>
  <c r="E64" i="119"/>
  <c r="C65" i="119"/>
  <c r="F64" i="119"/>
  <c r="D41" i="119" l="1"/>
  <c r="F40" i="119"/>
  <c r="N81" i="112"/>
  <c r="O82" i="112"/>
  <c r="G83" i="112" s="1"/>
  <c r="J82" i="112"/>
  <c r="K82" i="112" s="1"/>
  <c r="M82" i="112" s="1"/>
  <c r="J35" i="119"/>
  <c r="N35" i="119" s="1"/>
  <c r="O35" i="119"/>
  <c r="O60" i="119"/>
  <c r="E41" i="119"/>
  <c r="C42" i="119"/>
  <c r="B42" i="119" s="1"/>
  <c r="E65" i="119"/>
  <c r="C66" i="119"/>
  <c r="F65" i="119"/>
  <c r="D66" i="119"/>
  <c r="D42" i="119" l="1"/>
  <c r="F41" i="119"/>
  <c r="N82" i="112"/>
  <c r="O83" i="112"/>
  <c r="G84" i="112" s="1"/>
  <c r="J83" i="112"/>
  <c r="K83" i="112" s="1"/>
  <c r="M83" i="112" s="1"/>
  <c r="G36" i="119"/>
  <c r="K35" i="119"/>
  <c r="G61" i="119"/>
  <c r="E42" i="119"/>
  <c r="C43" i="119"/>
  <c r="B43" i="119" s="1"/>
  <c r="F66" i="119"/>
  <c r="D67" i="119"/>
  <c r="E66" i="119"/>
  <c r="C67" i="119"/>
  <c r="D43" i="119" l="1"/>
  <c r="F43" i="119" s="1"/>
  <c r="F42" i="119"/>
  <c r="N83" i="112"/>
  <c r="G86" i="112"/>
  <c r="O84" i="112"/>
  <c r="O86" i="112" s="1"/>
  <c r="J84" i="112"/>
  <c r="M35" i="119"/>
  <c r="J36" i="119"/>
  <c r="N36" i="119" s="1"/>
  <c r="O36" i="119"/>
  <c r="H61" i="119"/>
  <c r="O61" i="119" s="1"/>
  <c r="C44" i="119"/>
  <c r="B44" i="119" s="1"/>
  <c r="E43" i="119"/>
  <c r="D44" i="119"/>
  <c r="F44" i="119" s="1"/>
  <c r="D68" i="119"/>
  <c r="E67" i="119"/>
  <c r="C68" i="119"/>
  <c r="F67" i="119"/>
  <c r="J86" i="112" l="1"/>
  <c r="K84" i="112"/>
  <c r="N84" i="112"/>
  <c r="N86" i="112" s="1"/>
  <c r="G62" i="119"/>
  <c r="G37" i="119"/>
  <c r="N61" i="119"/>
  <c r="K36" i="119"/>
  <c r="C69" i="119"/>
  <c r="F68" i="119"/>
  <c r="E68" i="119"/>
  <c r="D69" i="119"/>
  <c r="E44" i="119"/>
  <c r="D45" i="119"/>
  <c r="F45" i="119" s="1"/>
  <c r="C45" i="119"/>
  <c r="B45" i="119" s="1"/>
  <c r="M84" i="112" l="1"/>
  <c r="M86" i="112" s="1"/>
  <c r="K86" i="112"/>
  <c r="H62" i="119"/>
  <c r="N62" i="119" s="1"/>
  <c r="J37" i="119"/>
  <c r="N37" i="119" s="1"/>
  <c r="O37" i="119"/>
  <c r="M36" i="119"/>
  <c r="D70" i="119"/>
  <c r="C70" i="119"/>
  <c r="E69" i="119"/>
  <c r="F69" i="119"/>
  <c r="D46" i="119"/>
  <c r="F46" i="119" s="1"/>
  <c r="E45" i="119"/>
  <c r="C46" i="119"/>
  <c r="B46" i="119" s="1"/>
  <c r="O62" i="119" l="1"/>
  <c r="G63" i="119" s="1"/>
  <c r="G38" i="119"/>
  <c r="K37" i="119"/>
  <c r="D47" i="119"/>
  <c r="F47" i="119" s="1"/>
  <c r="E46" i="119"/>
  <c r="C47" i="119"/>
  <c r="B47" i="119" s="1"/>
  <c r="F70" i="119"/>
  <c r="E70" i="119"/>
  <c r="D71" i="119"/>
  <c r="C71" i="119"/>
  <c r="H63" i="119" l="1"/>
  <c r="N63" i="119" s="1"/>
  <c r="J38" i="119"/>
  <c r="N38" i="119" s="1"/>
  <c r="O38" i="119"/>
  <c r="G39" i="119" s="1"/>
  <c r="M37" i="119"/>
  <c r="D72" i="119"/>
  <c r="E71" i="119"/>
  <c r="F71" i="119"/>
  <c r="C72" i="119"/>
  <c r="C48" i="119"/>
  <c r="B48" i="119" s="1"/>
  <c r="E47" i="119"/>
  <c r="D48" i="119"/>
  <c r="F48" i="119" s="1"/>
  <c r="O63" i="119" l="1"/>
  <c r="G64" i="119" s="1"/>
  <c r="H64" i="119" s="1"/>
  <c r="O64" i="119" s="1"/>
  <c r="G65" i="119" s="1"/>
  <c r="J39" i="119"/>
  <c r="N39" i="119" s="1"/>
  <c r="O39" i="119"/>
  <c r="G40" i="119" s="1"/>
  <c r="K38" i="119"/>
  <c r="C73" i="119"/>
  <c r="D73" i="119"/>
  <c r="E72" i="119"/>
  <c r="F72" i="119"/>
  <c r="C49" i="119"/>
  <c r="B49" i="119" s="1"/>
  <c r="E48" i="119"/>
  <c r="D49" i="119"/>
  <c r="F49" i="119" s="1"/>
  <c r="N64" i="119" l="1"/>
  <c r="M38" i="119"/>
  <c r="H65" i="119"/>
  <c r="O65" i="119" s="1"/>
  <c r="G66" i="119" s="1"/>
  <c r="J40" i="119"/>
  <c r="O40" i="119"/>
  <c r="G41" i="119" s="1"/>
  <c r="K39" i="119"/>
  <c r="M39" i="119" s="1"/>
  <c r="E73" i="119"/>
  <c r="F73" i="119"/>
  <c r="D74" i="119"/>
  <c r="C74" i="119"/>
  <c r="E49" i="119"/>
  <c r="D50" i="119"/>
  <c r="F50" i="119" s="1"/>
  <c r="C50" i="119"/>
  <c r="B50" i="119" s="1"/>
  <c r="O41" i="119" l="1"/>
  <c r="G42" i="119" s="1"/>
  <c r="J41" i="119"/>
  <c r="N40" i="119"/>
  <c r="K40" i="119"/>
  <c r="M40" i="119" s="1"/>
  <c r="J66" i="119"/>
  <c r="N65" i="119"/>
  <c r="H87" i="119"/>
  <c r="F74" i="119"/>
  <c r="C75" i="119"/>
  <c r="D75" i="119"/>
  <c r="E74" i="119"/>
  <c r="D51" i="119"/>
  <c r="F51" i="119" s="1"/>
  <c r="E50" i="119"/>
  <c r="C51" i="119"/>
  <c r="B51" i="119" s="1"/>
  <c r="K41" i="119" l="1"/>
  <c r="M41" i="119" s="1"/>
  <c r="J42" i="119"/>
  <c r="O42" i="119"/>
  <c r="G43" i="119" s="1"/>
  <c r="N66" i="119"/>
  <c r="N41" i="119"/>
  <c r="C52" i="119"/>
  <c r="B52" i="119" s="1"/>
  <c r="E51" i="119"/>
  <c r="D52" i="119"/>
  <c r="F52" i="119" s="1"/>
  <c r="D76" i="119"/>
  <c r="E75" i="119"/>
  <c r="C76" i="119"/>
  <c r="F75" i="119"/>
  <c r="N42" i="119" l="1"/>
  <c r="J43" i="119"/>
  <c r="O43" i="119"/>
  <c r="G44" i="119" s="1"/>
  <c r="K42" i="119"/>
  <c r="M42" i="119" s="1"/>
  <c r="E52" i="119"/>
  <c r="D53" i="119"/>
  <c r="C53" i="119"/>
  <c r="B53" i="119" s="1"/>
  <c r="C77" i="119"/>
  <c r="F76" i="119"/>
  <c r="E76" i="119"/>
  <c r="D77" i="119"/>
  <c r="F53" i="119" l="1"/>
  <c r="N43" i="119"/>
  <c r="K43" i="119"/>
  <c r="M43" i="119" s="1"/>
  <c r="J44" i="119"/>
  <c r="O44" i="119"/>
  <c r="G45" i="119" s="1"/>
  <c r="E53" i="119"/>
  <c r="D78" i="119"/>
  <c r="C78" i="119"/>
  <c r="F77" i="119"/>
  <c r="E77" i="119"/>
  <c r="N44" i="119" l="1"/>
  <c r="K44" i="119"/>
  <c r="M44" i="119" s="1"/>
  <c r="J45" i="119"/>
  <c r="O45" i="119"/>
  <c r="G46" i="119" s="1"/>
  <c r="F78" i="119"/>
  <c r="D79" i="119"/>
  <c r="E78" i="119"/>
  <c r="C79" i="119"/>
  <c r="K45" i="119" l="1"/>
  <c r="M45" i="119" s="1"/>
  <c r="N45" i="119"/>
  <c r="J46" i="119"/>
  <c r="O46" i="119"/>
  <c r="G47" i="119" s="1"/>
  <c r="D80" i="119"/>
  <c r="E79" i="119"/>
  <c r="C80" i="119"/>
  <c r="F79" i="119"/>
  <c r="K46" i="119" l="1"/>
  <c r="N46" i="119"/>
  <c r="O47" i="119"/>
  <c r="G48" i="119" s="1"/>
  <c r="J47" i="119"/>
  <c r="F80" i="119"/>
  <c r="C81" i="119"/>
  <c r="E80" i="119"/>
  <c r="D81" i="119"/>
  <c r="M46" i="119" l="1"/>
  <c r="K47" i="119"/>
  <c r="N47" i="119"/>
  <c r="O48" i="119"/>
  <c r="G49" i="119" s="1"/>
  <c r="J48" i="119"/>
  <c r="D82" i="119"/>
  <c r="F81" i="119"/>
  <c r="E81" i="119"/>
  <c r="C82" i="119"/>
  <c r="M47" i="119" l="1"/>
  <c r="K48" i="119"/>
  <c r="O49" i="119"/>
  <c r="G50" i="119" s="1"/>
  <c r="J49" i="119"/>
  <c r="N49" i="119" s="1"/>
  <c r="N48" i="119"/>
  <c r="F82" i="119"/>
  <c r="C83" i="119"/>
  <c r="D83" i="119"/>
  <c r="E82" i="119"/>
  <c r="M48" i="119" l="1"/>
  <c r="K49" i="119"/>
  <c r="J50" i="119"/>
  <c r="K50" i="119" s="1"/>
  <c r="O50" i="119"/>
  <c r="G51" i="119" s="1"/>
  <c r="D84" i="119"/>
  <c r="E83" i="119"/>
  <c r="C84" i="119"/>
  <c r="F83" i="119"/>
  <c r="M50" i="119" l="1"/>
  <c r="M49" i="119"/>
  <c r="N50" i="119"/>
  <c r="O51" i="119"/>
  <c r="G52" i="119" s="1"/>
  <c r="J51" i="119"/>
  <c r="K51" i="119" s="1"/>
  <c r="C85" i="119"/>
  <c r="D85" i="119"/>
  <c r="F84" i="119"/>
  <c r="E84" i="119"/>
  <c r="M51" i="119" l="1"/>
  <c r="N51" i="119"/>
  <c r="O52" i="119"/>
  <c r="G53" i="119" s="1"/>
  <c r="J52" i="119"/>
  <c r="K52" i="119" s="1"/>
  <c r="F85" i="119"/>
  <c r="E85" i="119"/>
  <c r="M52" i="119" l="1"/>
  <c r="G55" i="119"/>
  <c r="O53" i="119"/>
  <c r="O55" i="119" s="1"/>
  <c r="J53" i="119"/>
  <c r="N52" i="119"/>
  <c r="K53" i="119" l="1"/>
  <c r="J55" i="119"/>
  <c r="N53" i="119"/>
  <c r="N55" i="119" s="1"/>
  <c r="M53" i="119" l="1"/>
  <c r="M55" i="119" s="1"/>
  <c r="K55" i="119"/>
  <c r="C33" i="112" l="1"/>
  <c r="B33" i="112" s="1"/>
  <c r="C26" i="112"/>
  <c r="G62" i="197" s="1"/>
  <c r="G113" i="197" s="1"/>
  <c r="F2" i="112"/>
  <c r="D26" i="112"/>
  <c r="D29" i="112" s="1"/>
  <c r="E26" i="112"/>
  <c r="E29" i="112" s="1"/>
  <c r="C29" i="112" l="1"/>
  <c r="L39" i="112"/>
  <c r="L52" i="112"/>
  <c r="G33" i="112"/>
  <c r="L51" i="112"/>
  <c r="L40" i="112"/>
  <c r="L41" i="112"/>
  <c r="L43" i="112"/>
  <c r="L44" i="112"/>
  <c r="L33" i="112"/>
  <c r="L47" i="112"/>
  <c r="L35" i="112"/>
  <c r="L48" i="112"/>
  <c r="L36" i="112"/>
  <c r="L49" i="112"/>
  <c r="D33" i="112"/>
  <c r="L34" i="112"/>
  <c r="L42" i="112"/>
  <c r="L50" i="112"/>
  <c r="L37" i="112"/>
  <c r="L45" i="112"/>
  <c r="L38" i="112"/>
  <c r="L46" i="112"/>
  <c r="F26" i="112"/>
  <c r="F29" i="112" s="1"/>
  <c r="F33" i="112" l="1"/>
  <c r="L54" i="112"/>
  <c r="D34" i="112"/>
  <c r="F34" i="112" s="1"/>
  <c r="C34" i="112"/>
  <c r="B34" i="112" s="1"/>
  <c r="E33" i="112"/>
  <c r="H33" i="112" l="1"/>
  <c r="N33" i="112" s="1"/>
  <c r="E34" i="112"/>
  <c r="D35" i="112"/>
  <c r="C35" i="112"/>
  <c r="B35" i="112" s="1"/>
  <c r="F35" i="112" l="1"/>
  <c r="I36" i="112"/>
  <c r="I47" i="112"/>
  <c r="I41" i="112"/>
  <c r="I49" i="112"/>
  <c r="I44" i="112"/>
  <c r="I48" i="112"/>
  <c r="I50" i="112"/>
  <c r="I39" i="112"/>
  <c r="I45" i="112"/>
  <c r="I34" i="112"/>
  <c r="I43" i="112"/>
  <c r="I40" i="112"/>
  <c r="I46" i="112"/>
  <c r="I51" i="112"/>
  <c r="I38" i="112"/>
  <c r="I33" i="112"/>
  <c r="K33" i="112" s="1"/>
  <c r="I52" i="112"/>
  <c r="I35" i="112"/>
  <c r="I42" i="112"/>
  <c r="I37" i="112"/>
  <c r="H54" i="112"/>
  <c r="E35" i="112"/>
  <c r="D36" i="112"/>
  <c r="F36" i="112" s="1"/>
  <c r="C36" i="112"/>
  <c r="B36" i="112" s="1"/>
  <c r="O33" i="112" l="1"/>
  <c r="G34" i="112" s="1"/>
  <c r="J34" i="112" s="1"/>
  <c r="I54" i="112"/>
  <c r="M33" i="112"/>
  <c r="E36" i="112"/>
  <c r="D37" i="112"/>
  <c r="C37" i="112"/>
  <c r="B37" i="112" s="1"/>
  <c r="F37" i="112" l="1"/>
  <c r="O34" i="112"/>
  <c r="G35" i="112" s="1"/>
  <c r="J35" i="112" s="1"/>
  <c r="N35" i="112" s="1"/>
  <c r="K34" i="112"/>
  <c r="N34" i="112"/>
  <c r="E37" i="112"/>
  <c r="D38" i="112"/>
  <c r="C38" i="112"/>
  <c r="B38" i="112" s="1"/>
  <c r="F38" i="112" l="1"/>
  <c r="O35" i="112"/>
  <c r="G36" i="112" s="1"/>
  <c r="O36" i="112" s="1"/>
  <c r="G37" i="112" s="1"/>
  <c r="K35" i="112"/>
  <c r="M35" i="112" s="1"/>
  <c r="M34" i="112"/>
  <c r="E38" i="112"/>
  <c r="D39" i="112"/>
  <c r="C39" i="112"/>
  <c r="B39" i="112" s="1"/>
  <c r="F39" i="112" l="1"/>
  <c r="J36" i="112"/>
  <c r="N36" i="112" s="1"/>
  <c r="O37" i="112"/>
  <c r="G38" i="112" s="1"/>
  <c r="J38" i="112" s="1"/>
  <c r="K38" i="112" s="1"/>
  <c r="J37" i="112"/>
  <c r="E39" i="112"/>
  <c r="D40" i="112"/>
  <c r="C40" i="112"/>
  <c r="B40" i="112" s="1"/>
  <c r="F40" i="112" l="1"/>
  <c r="K36" i="112"/>
  <c r="M36" i="112" s="1"/>
  <c r="M38" i="112"/>
  <c r="N37" i="112"/>
  <c r="K37" i="112"/>
  <c r="M37" i="112" s="1"/>
  <c r="O38" i="112"/>
  <c r="G39" i="112" s="1"/>
  <c r="N38" i="112"/>
  <c r="D41" i="112"/>
  <c r="F41" i="112" s="1"/>
  <c r="C41" i="112"/>
  <c r="B41" i="112" s="1"/>
  <c r="E40" i="112"/>
  <c r="O39" i="112" l="1"/>
  <c r="G40" i="112" s="1"/>
  <c r="J40" i="112" s="1"/>
  <c r="K40" i="112" s="1"/>
  <c r="J39" i="112"/>
  <c r="D42" i="112"/>
  <c r="F42" i="112" s="1"/>
  <c r="C42" i="112"/>
  <c r="B42" i="112" s="1"/>
  <c r="E41" i="112"/>
  <c r="M40" i="112" l="1"/>
  <c r="K39" i="112"/>
  <c r="N39" i="112"/>
  <c r="O40" i="112"/>
  <c r="G41" i="112" s="1"/>
  <c r="J41" i="112" s="1"/>
  <c r="K41" i="112" s="1"/>
  <c r="N40" i="112"/>
  <c r="E42" i="112"/>
  <c r="D43" i="112"/>
  <c r="F43" i="112" s="1"/>
  <c r="C43" i="112"/>
  <c r="B43" i="112" s="1"/>
  <c r="M41" i="112" l="1"/>
  <c r="M39" i="112"/>
  <c r="O41" i="112"/>
  <c r="G42" i="112" s="1"/>
  <c r="N41" i="112"/>
  <c r="E43" i="112"/>
  <c r="D44" i="112"/>
  <c r="F44" i="112" s="1"/>
  <c r="C44" i="112"/>
  <c r="B44" i="112" s="1"/>
  <c r="O42" i="112" l="1"/>
  <c r="G43" i="112" s="1"/>
  <c r="J42" i="112"/>
  <c r="K42" i="112" s="1"/>
  <c r="D45" i="112"/>
  <c r="F45" i="112" s="1"/>
  <c r="E44" i="112"/>
  <c r="C45" i="112"/>
  <c r="B45" i="112" s="1"/>
  <c r="M42" i="112" l="1"/>
  <c r="N42" i="112"/>
  <c r="O43" i="112"/>
  <c r="G44" i="112" s="1"/>
  <c r="J43" i="112"/>
  <c r="K43" i="112" s="1"/>
  <c r="D46" i="112"/>
  <c r="F46" i="112" s="1"/>
  <c r="C46" i="112"/>
  <c r="B46" i="112" s="1"/>
  <c r="E45" i="112"/>
  <c r="M43" i="112" l="1"/>
  <c r="N43" i="112"/>
  <c r="E46" i="112"/>
  <c r="O44" i="112"/>
  <c r="G45" i="112" s="1"/>
  <c r="J44" i="112"/>
  <c r="K44" i="112" s="1"/>
  <c r="D47" i="112"/>
  <c r="F47" i="112" s="1"/>
  <c r="C47" i="112"/>
  <c r="B47" i="112" s="1"/>
  <c r="M44" i="112" l="1"/>
  <c r="O45" i="112"/>
  <c r="G46" i="112" s="1"/>
  <c r="N44" i="112"/>
  <c r="J45" i="112"/>
  <c r="K45" i="112" s="1"/>
  <c r="E47" i="112"/>
  <c r="D48" i="112"/>
  <c r="F48" i="112" s="1"/>
  <c r="C48" i="112"/>
  <c r="B48" i="112" s="1"/>
  <c r="M45" i="112" l="1"/>
  <c r="N45" i="112"/>
  <c r="O46" i="112"/>
  <c r="G47" i="112" s="1"/>
  <c r="J47" i="112" s="1"/>
  <c r="K47" i="112" s="1"/>
  <c r="J46" i="112"/>
  <c r="K46" i="112" s="1"/>
  <c r="E48" i="112"/>
  <c r="D49" i="112"/>
  <c r="F49" i="112" s="1"/>
  <c r="C49" i="112"/>
  <c r="B49" i="112" s="1"/>
  <c r="M47" i="112" l="1"/>
  <c r="M46" i="112"/>
  <c r="O47" i="112"/>
  <c r="G48" i="112" s="1"/>
  <c r="J48" i="112" s="1"/>
  <c r="K48" i="112" s="1"/>
  <c r="N47" i="112"/>
  <c r="N46" i="112"/>
  <c r="E49" i="112"/>
  <c r="D50" i="112"/>
  <c r="F50" i="112" s="1"/>
  <c r="C50" i="112"/>
  <c r="B50" i="112" s="1"/>
  <c r="M48" i="112" l="1"/>
  <c r="O48" i="112"/>
  <c r="G49" i="112" s="1"/>
  <c r="J49" i="112" s="1"/>
  <c r="K49" i="112" s="1"/>
  <c r="N48" i="112"/>
  <c r="E50" i="112"/>
  <c r="D51" i="112"/>
  <c r="F51" i="112" s="1"/>
  <c r="C51" i="112"/>
  <c r="B51" i="112" s="1"/>
  <c r="M49" i="112" l="1"/>
  <c r="O49" i="112"/>
  <c r="G50" i="112" s="1"/>
  <c r="N49" i="112"/>
  <c r="E51" i="112"/>
  <c r="D52" i="112"/>
  <c r="H62" i="197" s="1"/>
  <c r="C52" i="112"/>
  <c r="B52" i="112" s="1"/>
  <c r="I62" i="197" l="1"/>
  <c r="F52" i="112"/>
  <c r="O50" i="112"/>
  <c r="G51" i="112" s="1"/>
  <c r="J51" i="112" s="1"/>
  <c r="K51" i="112" s="1"/>
  <c r="J50" i="112"/>
  <c r="K50" i="112" s="1"/>
  <c r="E52" i="112"/>
  <c r="M50" i="112" l="1"/>
  <c r="M51" i="112"/>
  <c r="N50" i="112"/>
  <c r="O51" i="112"/>
  <c r="G52" i="112" s="1"/>
  <c r="G54" i="112" s="1"/>
  <c r="N51" i="112"/>
  <c r="O52" i="112" l="1"/>
  <c r="O54" i="112" s="1"/>
  <c r="J52" i="112"/>
  <c r="K52" i="112" l="1"/>
  <c r="J54" i="112"/>
  <c r="N52" i="112"/>
  <c r="N54" i="112" s="1"/>
  <c r="B62" i="197" l="1"/>
  <c r="C62" i="197"/>
  <c r="D63" i="197"/>
  <c r="B63" i="197"/>
  <c r="F63" i="197" s="1"/>
  <c r="C63" i="197"/>
  <c r="D62" i="197"/>
  <c r="M52" i="112"/>
  <c r="M54" i="112" s="1"/>
  <c r="K54" i="112"/>
  <c r="F62" i="197" l="1"/>
  <c r="H41" i="133"/>
  <c r="N41" i="133" l="1"/>
  <c r="O41" i="133" s="1"/>
  <c r="G42" i="133" s="1"/>
  <c r="H42" i="133" l="1"/>
  <c r="N42" i="133" l="1"/>
  <c r="G43" i="133" s="1"/>
  <c r="O87" i="139" l="1"/>
  <c r="G88" i="139" l="1"/>
  <c r="J88" i="139" s="1"/>
  <c r="T31" i="139" l="1"/>
  <c r="U31" i="139" s="1"/>
  <c r="N88" i="139" l="1"/>
  <c r="O88" i="139" s="1"/>
  <c r="K171" i="139" l="1"/>
  <c r="G172" i="139"/>
  <c r="K144" i="139"/>
  <c r="G145" i="139"/>
  <c r="K116" i="139"/>
  <c r="G117" i="139"/>
  <c r="J117" i="139" s="1"/>
  <c r="G89" i="139"/>
  <c r="J89" i="139" s="1"/>
  <c r="K88" i="139"/>
  <c r="K117" i="139" l="1"/>
  <c r="T32" i="139"/>
  <c r="U32" i="139" s="1"/>
  <c r="J145" i="139"/>
  <c r="N145" i="139" s="1"/>
  <c r="J172" i="139"/>
  <c r="N172" i="139" l="1"/>
  <c r="I173" i="139"/>
  <c r="I172" i="139"/>
  <c r="I118" i="139"/>
  <c r="I146" i="139"/>
  <c r="I145" i="139"/>
  <c r="K145" i="139" s="1"/>
  <c r="H190" i="139"/>
  <c r="I184" i="139"/>
  <c r="I178" i="139"/>
  <c r="I180" i="139"/>
  <c r="I149" i="139"/>
  <c r="I147" i="139"/>
  <c r="I161" i="139"/>
  <c r="I154" i="139"/>
  <c r="I159" i="139"/>
  <c r="I148" i="139"/>
  <c r="I158" i="139"/>
  <c r="H163" i="139"/>
  <c r="I155" i="139"/>
  <c r="I157" i="139"/>
  <c r="I156" i="139"/>
  <c r="I152" i="139"/>
  <c r="I151" i="139"/>
  <c r="I153" i="139"/>
  <c r="I150" i="139"/>
  <c r="I160" i="139"/>
  <c r="I183" i="139"/>
  <c r="I187" i="139"/>
  <c r="I181" i="139"/>
  <c r="I177" i="139"/>
  <c r="I182" i="139"/>
  <c r="I174" i="139"/>
  <c r="I179" i="139"/>
  <c r="I188" i="139"/>
  <c r="I175" i="139"/>
  <c r="I185" i="139"/>
  <c r="I176" i="139"/>
  <c r="I186" i="139"/>
  <c r="N117" i="139"/>
  <c r="O117" i="139" s="1"/>
  <c r="G118" i="139" s="1"/>
  <c r="J118" i="139" s="1"/>
  <c r="N89" i="139"/>
  <c r="O89" i="139" s="1"/>
  <c r="G90" i="139" s="1"/>
  <c r="J90" i="139" s="1"/>
  <c r="K89" i="139"/>
  <c r="K118" i="139" l="1"/>
  <c r="M118" i="139" s="1"/>
  <c r="K172" i="139"/>
  <c r="M172" i="139" s="1"/>
  <c r="O172" i="139" s="1"/>
  <c r="G173" i="139" s="1"/>
  <c r="J173" i="139" s="1"/>
  <c r="K173" i="139" s="1"/>
  <c r="M173" i="139" s="1"/>
  <c r="M145" i="139"/>
  <c r="O145" i="139" s="1"/>
  <c r="G146" i="139" s="1"/>
  <c r="I90" i="139"/>
  <c r="K90" i="139" s="1"/>
  <c r="I91" i="139"/>
  <c r="I119" i="139"/>
  <c r="N90" i="139"/>
  <c r="H136" i="139"/>
  <c r="I120" i="139"/>
  <c r="I126" i="139"/>
  <c r="I163" i="139"/>
  <c r="I128" i="139"/>
  <c r="I132" i="139"/>
  <c r="I190" i="139"/>
  <c r="I134" i="139"/>
  <c r="I99" i="139"/>
  <c r="I105" i="139"/>
  <c r="I100" i="139"/>
  <c r="I94" i="139"/>
  <c r="I93" i="139"/>
  <c r="I92" i="139"/>
  <c r="I106" i="139"/>
  <c r="I101" i="139"/>
  <c r="I96" i="139"/>
  <c r="I104" i="139"/>
  <c r="I97" i="139"/>
  <c r="H108" i="139"/>
  <c r="I95" i="139"/>
  <c r="I103" i="139"/>
  <c r="I98" i="139"/>
  <c r="I102" i="139"/>
  <c r="I133" i="139"/>
  <c r="I123" i="139"/>
  <c r="I124" i="139"/>
  <c r="I131" i="139"/>
  <c r="I130" i="139"/>
  <c r="I121" i="139"/>
  <c r="I129" i="139"/>
  <c r="I122" i="139"/>
  <c r="I127" i="139"/>
  <c r="I125" i="139"/>
  <c r="N118" i="139"/>
  <c r="O118" i="139" l="1"/>
  <c r="G119" i="139" s="1"/>
  <c r="J119" i="139" s="1"/>
  <c r="N119" i="139" s="1"/>
  <c r="O173" i="139"/>
  <c r="G174" i="139" s="1"/>
  <c r="O174" i="139" s="1"/>
  <c r="G175" i="139" s="1"/>
  <c r="J175" i="139" s="1"/>
  <c r="K175" i="139" s="1"/>
  <c r="M175" i="139" s="1"/>
  <c r="N173" i="139"/>
  <c r="M90" i="139"/>
  <c r="O90" i="139" s="1"/>
  <c r="G91" i="139" s="1"/>
  <c r="G62" i="139"/>
  <c r="J146" i="139"/>
  <c r="O146" i="139"/>
  <c r="G147" i="139" s="1"/>
  <c r="J147" i="139" s="1"/>
  <c r="K147" i="139" s="1"/>
  <c r="I136" i="139"/>
  <c r="I108" i="139"/>
  <c r="O119" i="139" l="1"/>
  <c r="G120" i="139" s="1"/>
  <c r="J120" i="139" s="1"/>
  <c r="K119" i="139"/>
  <c r="M119" i="139" s="1"/>
  <c r="O175" i="139"/>
  <c r="G176" i="139" s="1"/>
  <c r="J176" i="139" s="1"/>
  <c r="J174" i="139"/>
  <c r="K174" i="139" s="1"/>
  <c r="M174" i="139" s="1"/>
  <c r="N147" i="139"/>
  <c r="O147" i="139"/>
  <c r="G148" i="139" s="1"/>
  <c r="I63" i="139"/>
  <c r="S34" i="139" s="1"/>
  <c r="I72" i="139"/>
  <c r="S43" i="139" s="1"/>
  <c r="I76" i="139"/>
  <c r="S47" i="139" s="1"/>
  <c r="I67" i="139"/>
  <c r="S38" i="139" s="1"/>
  <c r="I71" i="139"/>
  <c r="S42" i="139" s="1"/>
  <c r="I69" i="139"/>
  <c r="S40" i="139" s="1"/>
  <c r="I64" i="139"/>
  <c r="S35" i="139" s="1"/>
  <c r="I74" i="139"/>
  <c r="S45" i="139" s="1"/>
  <c r="I78" i="139"/>
  <c r="I73" i="139"/>
  <c r="S44" i="139" s="1"/>
  <c r="I77" i="139"/>
  <c r="S48" i="139" s="1"/>
  <c r="I68" i="139"/>
  <c r="S39" i="139" s="1"/>
  <c r="I75" i="139"/>
  <c r="S46" i="139" s="1"/>
  <c r="I70" i="139"/>
  <c r="S41" i="139" s="1"/>
  <c r="I66" i="139"/>
  <c r="S37" i="139" s="1"/>
  <c r="I62" i="139"/>
  <c r="I65" i="139"/>
  <c r="S36" i="139" s="1"/>
  <c r="H80" i="139"/>
  <c r="O120" i="139"/>
  <c r="G121" i="139" s="1"/>
  <c r="J121" i="139" s="1"/>
  <c r="K121" i="139" s="1"/>
  <c r="M121" i="139" s="1"/>
  <c r="J62" i="139"/>
  <c r="K62" i="139" s="1"/>
  <c r="J91" i="139"/>
  <c r="N91" i="139" s="1"/>
  <c r="O91" i="139"/>
  <c r="G92" i="139" s="1"/>
  <c r="K146" i="139"/>
  <c r="M146" i="139" s="1"/>
  <c r="N146" i="139"/>
  <c r="N175" i="139"/>
  <c r="M147" i="139"/>
  <c r="K120" i="139"/>
  <c r="N120" i="139" l="1"/>
  <c r="N174" i="139"/>
  <c r="O176" i="139"/>
  <c r="G177" i="139" s="1"/>
  <c r="O177" i="139" s="1"/>
  <c r="G178" i="139" s="1"/>
  <c r="O121" i="139"/>
  <c r="G122" i="139" s="1"/>
  <c r="O122" i="139" s="1"/>
  <c r="G123" i="139" s="1"/>
  <c r="S33" i="139"/>
  <c r="I80" i="139"/>
  <c r="S52" i="139" s="1"/>
  <c r="N62" i="139"/>
  <c r="T33" i="139"/>
  <c r="S49" i="139"/>
  <c r="K91" i="139"/>
  <c r="M91" i="139" s="1"/>
  <c r="O148" i="139"/>
  <c r="J148" i="139"/>
  <c r="J92" i="139"/>
  <c r="O92" i="139"/>
  <c r="K176" i="139"/>
  <c r="M176" i="139" s="1"/>
  <c r="N176" i="139"/>
  <c r="N121" i="139"/>
  <c r="M120" i="139"/>
  <c r="J122" i="139" l="1"/>
  <c r="K122" i="139" s="1"/>
  <c r="M122" i="139" s="1"/>
  <c r="J177" i="139"/>
  <c r="K177" i="139" s="1"/>
  <c r="M177" i="139" s="1"/>
  <c r="U33" i="139"/>
  <c r="M62" i="139"/>
  <c r="O62" i="139" s="1"/>
  <c r="G63" i="139" s="1"/>
  <c r="N92" i="139"/>
  <c r="K148" i="139"/>
  <c r="N148" i="139"/>
  <c r="G149" i="139"/>
  <c r="K92" i="139"/>
  <c r="G93" i="139"/>
  <c r="O178" i="139"/>
  <c r="G179" i="139" s="1"/>
  <c r="J178" i="139"/>
  <c r="K178" i="139" s="1"/>
  <c r="M178" i="139" s="1"/>
  <c r="J123" i="139"/>
  <c r="K123" i="139" s="1"/>
  <c r="M123" i="139" s="1"/>
  <c r="O123" i="139"/>
  <c r="G124" i="139" s="1"/>
  <c r="O63" i="139" l="1"/>
  <c r="G64" i="139" s="1"/>
  <c r="J63" i="139"/>
  <c r="N63" i="139" s="1"/>
  <c r="N122" i="139"/>
  <c r="N177" i="139"/>
  <c r="O149" i="139"/>
  <c r="J149" i="139"/>
  <c r="M148" i="139"/>
  <c r="M92" i="139"/>
  <c r="J93" i="139"/>
  <c r="O93" i="139"/>
  <c r="N178" i="139"/>
  <c r="O179" i="139"/>
  <c r="G180" i="139" s="1"/>
  <c r="J179" i="139"/>
  <c r="K179" i="139" s="1"/>
  <c r="M179" i="139" s="1"/>
  <c r="O124" i="139"/>
  <c r="G125" i="139" s="1"/>
  <c r="J124" i="139"/>
  <c r="K124" i="139" s="1"/>
  <c r="M124" i="139" s="1"/>
  <c r="N123" i="139"/>
  <c r="K63" i="139" l="1"/>
  <c r="M63" i="139" s="1"/>
  <c r="T34" i="139"/>
  <c r="U34" i="139" s="1"/>
  <c r="J64" i="139"/>
  <c r="O64" i="139"/>
  <c r="G65" i="139" s="1"/>
  <c r="N149" i="139"/>
  <c r="K149" i="139"/>
  <c r="G150" i="139"/>
  <c r="K93" i="139"/>
  <c r="N93" i="139"/>
  <c r="G94" i="139"/>
  <c r="N179" i="139"/>
  <c r="J180" i="139"/>
  <c r="K180" i="139" s="1"/>
  <c r="M180" i="139" s="1"/>
  <c r="O180" i="139"/>
  <c r="G181" i="139" s="1"/>
  <c r="N124" i="139"/>
  <c r="J125" i="139"/>
  <c r="K125" i="139" s="1"/>
  <c r="M125" i="139" s="1"/>
  <c r="O125" i="139"/>
  <c r="G126" i="139" s="1"/>
  <c r="J65" i="139" l="1"/>
  <c r="O65" i="139"/>
  <c r="G66" i="139" s="1"/>
  <c r="N64" i="139"/>
  <c r="T35" i="139"/>
  <c r="U35" i="139" s="1"/>
  <c r="K64" i="139"/>
  <c r="M64" i="139" s="1"/>
  <c r="M149" i="139"/>
  <c r="O150" i="139"/>
  <c r="J150" i="139"/>
  <c r="O94" i="139"/>
  <c r="J94" i="139"/>
  <c r="M93" i="139"/>
  <c r="N180" i="139"/>
  <c r="O181" i="139"/>
  <c r="G182" i="139" s="1"/>
  <c r="J181" i="139"/>
  <c r="K181" i="139" s="1"/>
  <c r="M181" i="139" s="1"/>
  <c r="N125" i="139"/>
  <c r="O126" i="139"/>
  <c r="G127" i="139" s="1"/>
  <c r="J126" i="139"/>
  <c r="K126" i="139" s="1"/>
  <c r="M126" i="139" s="1"/>
  <c r="J66" i="139" l="1"/>
  <c r="O66" i="139"/>
  <c r="G67" i="139" s="1"/>
  <c r="K65" i="139"/>
  <c r="M65" i="139" s="1"/>
  <c r="T36" i="139"/>
  <c r="U36" i="139" s="1"/>
  <c r="N65" i="139"/>
  <c r="N94" i="139"/>
  <c r="K150" i="139"/>
  <c r="M150" i="139" s="1"/>
  <c r="G151" i="139"/>
  <c r="N150" i="139"/>
  <c r="G95" i="139"/>
  <c r="K94" i="139"/>
  <c r="O182" i="139"/>
  <c r="G183" i="139" s="1"/>
  <c r="J182" i="139"/>
  <c r="K182" i="139" s="1"/>
  <c r="M182" i="139" s="1"/>
  <c r="N126" i="139"/>
  <c r="N181" i="139"/>
  <c r="J127" i="139"/>
  <c r="K127" i="139" s="1"/>
  <c r="M127" i="139" s="1"/>
  <c r="O127" i="139"/>
  <c r="G128" i="139" s="1"/>
  <c r="O67" i="139" l="1"/>
  <c r="G68" i="139" s="1"/>
  <c r="J67" i="139"/>
  <c r="K67" i="139" s="1"/>
  <c r="M67" i="139" s="1"/>
  <c r="N66" i="139"/>
  <c r="K66" i="139"/>
  <c r="M66" i="139" s="1"/>
  <c r="T37" i="139"/>
  <c r="U37" i="139" s="1"/>
  <c r="J151" i="139"/>
  <c r="K151" i="139" s="1"/>
  <c r="M151" i="139" s="1"/>
  <c r="O151" i="139"/>
  <c r="G152" i="139" s="1"/>
  <c r="M94" i="139"/>
  <c r="O95" i="139"/>
  <c r="J95" i="139"/>
  <c r="N182" i="139"/>
  <c r="O183" i="139"/>
  <c r="G184" i="139" s="1"/>
  <c r="J183" i="139"/>
  <c r="K183" i="139" s="1"/>
  <c r="M183" i="139" s="1"/>
  <c r="O128" i="139"/>
  <c r="G129" i="139" s="1"/>
  <c r="J128" i="139"/>
  <c r="K128" i="139" s="1"/>
  <c r="M128" i="139" s="1"/>
  <c r="N127" i="139"/>
  <c r="T38" i="139" l="1"/>
  <c r="U38" i="139" s="1"/>
  <c r="N67" i="139"/>
  <c r="O68" i="139"/>
  <c r="G69" i="139" s="1"/>
  <c r="J68" i="139"/>
  <c r="K68" i="139" s="1"/>
  <c r="M68" i="139" s="1"/>
  <c r="N95" i="139"/>
  <c r="J152" i="139"/>
  <c r="O152" i="139"/>
  <c r="G153" i="139" s="1"/>
  <c r="N151" i="139"/>
  <c r="K95" i="139"/>
  <c r="G96" i="139"/>
  <c r="N183" i="139"/>
  <c r="J184" i="139"/>
  <c r="K184" i="139" s="1"/>
  <c r="M184" i="139" s="1"/>
  <c r="O184" i="139"/>
  <c r="G185" i="139" s="1"/>
  <c r="N128" i="139"/>
  <c r="J129" i="139"/>
  <c r="K129" i="139" s="1"/>
  <c r="M129" i="139" s="1"/>
  <c r="O129" i="139"/>
  <c r="G130" i="139" s="1"/>
  <c r="J69" i="139" l="1"/>
  <c r="K69" i="139" s="1"/>
  <c r="M69" i="139" s="1"/>
  <c r="O69" i="139"/>
  <c r="G70" i="139" s="1"/>
  <c r="N68" i="139"/>
  <c r="M95" i="139"/>
  <c r="O153" i="139"/>
  <c r="G154" i="139" s="1"/>
  <c r="J153" i="139"/>
  <c r="K153" i="139" s="1"/>
  <c r="M153" i="139" s="1"/>
  <c r="N152" i="139"/>
  <c r="K152" i="139"/>
  <c r="M152" i="139" s="1"/>
  <c r="J96" i="139"/>
  <c r="T39" i="139" s="1"/>
  <c r="U39" i="139" s="1"/>
  <c r="O96" i="139"/>
  <c r="G97" i="139" s="1"/>
  <c r="N184" i="139"/>
  <c r="O185" i="139"/>
  <c r="G186" i="139" s="1"/>
  <c r="J185" i="139"/>
  <c r="K185" i="139" s="1"/>
  <c r="M185" i="139" s="1"/>
  <c r="N129" i="139"/>
  <c r="O130" i="139"/>
  <c r="G131" i="139" s="1"/>
  <c r="J130" i="139"/>
  <c r="K130" i="139" s="1"/>
  <c r="M130" i="139" s="1"/>
  <c r="N69" i="139" l="1"/>
  <c r="O70" i="139"/>
  <c r="G71" i="139" s="1"/>
  <c r="J70" i="139"/>
  <c r="K70" i="139" s="1"/>
  <c r="M70" i="139" s="1"/>
  <c r="N153" i="139"/>
  <c r="J154" i="139"/>
  <c r="K154" i="139" s="1"/>
  <c r="M154" i="139" s="1"/>
  <c r="O154" i="139"/>
  <c r="G155" i="139" s="1"/>
  <c r="K96" i="139"/>
  <c r="N96" i="139"/>
  <c r="O97" i="139"/>
  <c r="G98" i="139" s="1"/>
  <c r="J97" i="139"/>
  <c r="T40" i="139" s="1"/>
  <c r="U40" i="139" s="1"/>
  <c r="B104" i="197" s="1"/>
  <c r="N185" i="139"/>
  <c r="N130" i="139"/>
  <c r="O186" i="139"/>
  <c r="G187" i="139" s="1"/>
  <c r="J186" i="139"/>
  <c r="K186" i="139" s="1"/>
  <c r="M186" i="139" s="1"/>
  <c r="J131" i="139"/>
  <c r="K131" i="139" s="1"/>
  <c r="M131" i="139" s="1"/>
  <c r="O131" i="139"/>
  <c r="G132" i="139" s="1"/>
  <c r="N70" i="139" l="1"/>
  <c r="J71" i="139"/>
  <c r="K71" i="139" s="1"/>
  <c r="M71" i="139" s="1"/>
  <c r="O71" i="139"/>
  <c r="G72" i="139" s="1"/>
  <c r="M96" i="139"/>
  <c r="K97" i="139"/>
  <c r="N154" i="139"/>
  <c r="J155" i="139"/>
  <c r="K155" i="139" s="1"/>
  <c r="M155" i="139" s="1"/>
  <c r="O155" i="139"/>
  <c r="G156" i="139" s="1"/>
  <c r="O98" i="139"/>
  <c r="G99" i="139" s="1"/>
  <c r="J98" i="139"/>
  <c r="T41" i="139" s="1"/>
  <c r="U41" i="139" s="1"/>
  <c r="C104" i="197" s="1"/>
  <c r="N97" i="139"/>
  <c r="O187" i="139"/>
  <c r="G188" i="139" s="1"/>
  <c r="J187" i="139"/>
  <c r="K187" i="139" s="1"/>
  <c r="M187" i="139" s="1"/>
  <c r="N186" i="139"/>
  <c r="O132" i="139"/>
  <c r="G133" i="139" s="1"/>
  <c r="J132" i="139"/>
  <c r="K132" i="139" s="1"/>
  <c r="M132" i="139" s="1"/>
  <c r="N131" i="139"/>
  <c r="O72" i="139" l="1"/>
  <c r="G73" i="139" s="1"/>
  <c r="J72" i="139"/>
  <c r="N71" i="139"/>
  <c r="K98" i="139"/>
  <c r="M97" i="139"/>
  <c r="N155" i="139"/>
  <c r="J156" i="139"/>
  <c r="K156" i="139" s="1"/>
  <c r="M156" i="139" s="1"/>
  <c r="O156" i="139"/>
  <c r="G157" i="139" s="1"/>
  <c r="N98" i="139"/>
  <c r="O99" i="139"/>
  <c r="G100" i="139" s="1"/>
  <c r="J99" i="139"/>
  <c r="T42" i="139" s="1"/>
  <c r="U42" i="139" s="1"/>
  <c r="D104" i="197" s="1"/>
  <c r="N187" i="139"/>
  <c r="J188" i="139"/>
  <c r="K188" i="139" s="1"/>
  <c r="M188" i="139" s="1"/>
  <c r="O188" i="139"/>
  <c r="N132" i="139"/>
  <c r="J133" i="139"/>
  <c r="K133" i="139" s="1"/>
  <c r="M133" i="139" s="1"/>
  <c r="O133" i="139"/>
  <c r="G134" i="139" s="1"/>
  <c r="K72" i="139" l="1"/>
  <c r="M72" i="139" s="1"/>
  <c r="N72" i="139"/>
  <c r="O73" i="139"/>
  <c r="G74" i="139" s="1"/>
  <c r="J73" i="139"/>
  <c r="K99" i="139"/>
  <c r="M98" i="139"/>
  <c r="N156" i="139"/>
  <c r="J157" i="139"/>
  <c r="K157" i="139" s="1"/>
  <c r="M157" i="139" s="1"/>
  <c r="O157" i="139"/>
  <c r="G158" i="139" s="1"/>
  <c r="N99" i="139"/>
  <c r="O100" i="139"/>
  <c r="G101" i="139" s="1"/>
  <c r="J100" i="139"/>
  <c r="T43" i="139" s="1"/>
  <c r="U43" i="139" s="1"/>
  <c r="E104" i="197" s="1"/>
  <c r="F104" i="197" s="1"/>
  <c r="N188" i="139"/>
  <c r="O134" i="139"/>
  <c r="J134" i="139"/>
  <c r="K134" i="139" s="1"/>
  <c r="M134" i="139" s="1"/>
  <c r="N133" i="139"/>
  <c r="N73" i="139" l="1"/>
  <c r="K73" i="139"/>
  <c r="M73" i="139" s="1"/>
  <c r="O74" i="139"/>
  <c r="G75" i="139" s="1"/>
  <c r="J74" i="139"/>
  <c r="K74" i="139" s="1"/>
  <c r="M74" i="139" s="1"/>
  <c r="N157" i="139"/>
  <c r="K100" i="139"/>
  <c r="M99" i="139"/>
  <c r="J158" i="139"/>
  <c r="K158" i="139" s="1"/>
  <c r="M158" i="139" s="1"/>
  <c r="O158" i="139"/>
  <c r="G159" i="139" s="1"/>
  <c r="N100" i="139"/>
  <c r="J101" i="139"/>
  <c r="T44" i="139" s="1"/>
  <c r="U44" i="139" s="1"/>
  <c r="O101" i="139"/>
  <c r="G102" i="139" s="1"/>
  <c r="N134" i="139"/>
  <c r="J75" i="139" l="1"/>
  <c r="O75" i="139"/>
  <c r="G76" i="139" s="1"/>
  <c r="N74" i="139"/>
  <c r="K101" i="139"/>
  <c r="M100" i="139"/>
  <c r="N158" i="139"/>
  <c r="O159" i="139"/>
  <c r="G160" i="139" s="1"/>
  <c r="J159" i="139"/>
  <c r="K159" i="139" s="1"/>
  <c r="M159" i="139" s="1"/>
  <c r="N101" i="139"/>
  <c r="J102" i="139"/>
  <c r="T45" i="139" s="1"/>
  <c r="U45" i="139" s="1"/>
  <c r="O102" i="139"/>
  <c r="G103" i="139" s="1"/>
  <c r="G190" i="139"/>
  <c r="O76" i="139" l="1"/>
  <c r="G77" i="139" s="1"/>
  <c r="J76" i="139"/>
  <c r="K76" i="139" s="1"/>
  <c r="M76" i="139" s="1"/>
  <c r="N75" i="139"/>
  <c r="K75" i="139"/>
  <c r="M75" i="139" s="1"/>
  <c r="K102" i="139"/>
  <c r="M101" i="139"/>
  <c r="N159" i="139"/>
  <c r="J160" i="139"/>
  <c r="K160" i="139" s="1"/>
  <c r="M160" i="139" s="1"/>
  <c r="O160" i="139"/>
  <c r="G161" i="139" s="1"/>
  <c r="J103" i="139"/>
  <c r="T46" i="139" s="1"/>
  <c r="U46" i="139" s="1"/>
  <c r="O103" i="139"/>
  <c r="G104" i="139" s="1"/>
  <c r="N102" i="139"/>
  <c r="O190" i="139"/>
  <c r="O77" i="139" l="1"/>
  <c r="G78" i="139" s="1"/>
  <c r="J77" i="139"/>
  <c r="N76" i="139"/>
  <c r="K103" i="139"/>
  <c r="M102" i="139"/>
  <c r="J190" i="139"/>
  <c r="N190" i="139"/>
  <c r="N160" i="139"/>
  <c r="J161" i="139"/>
  <c r="K161" i="139" s="1"/>
  <c r="M161" i="139" s="1"/>
  <c r="O161" i="139"/>
  <c r="N103" i="139"/>
  <c r="J104" i="139"/>
  <c r="T47" i="139" s="1"/>
  <c r="U47" i="139" s="1"/>
  <c r="O104" i="139"/>
  <c r="G105" i="139" s="1"/>
  <c r="G136" i="139"/>
  <c r="K77" i="139" l="1"/>
  <c r="N77" i="139"/>
  <c r="J78" i="139"/>
  <c r="K78" i="139" s="1"/>
  <c r="M78" i="139" s="1"/>
  <c r="O78" i="139"/>
  <c r="K104" i="139"/>
  <c r="M103" i="139"/>
  <c r="N161" i="139"/>
  <c r="M190" i="139"/>
  <c r="K190" i="139"/>
  <c r="O105" i="139"/>
  <c r="G106" i="139" s="1"/>
  <c r="J105" i="139"/>
  <c r="T48" i="139" s="1"/>
  <c r="U48" i="139" s="1"/>
  <c r="N104" i="139"/>
  <c r="O136" i="139"/>
  <c r="N78" i="139" l="1"/>
  <c r="J80" i="139"/>
  <c r="M77" i="139"/>
  <c r="M80" i="139" s="1"/>
  <c r="K80" i="139"/>
  <c r="K105" i="139"/>
  <c r="M104" i="139"/>
  <c r="J136" i="139"/>
  <c r="N105" i="139"/>
  <c r="O106" i="139"/>
  <c r="J106" i="139"/>
  <c r="T49" i="139" s="1"/>
  <c r="U49" i="139" s="1"/>
  <c r="N136" i="139"/>
  <c r="G80" i="139" l="1"/>
  <c r="K106" i="139"/>
  <c r="M105" i="139"/>
  <c r="M136" i="139"/>
  <c r="K136" i="139"/>
  <c r="N106" i="139"/>
  <c r="N80" i="139" l="1"/>
  <c r="O80" i="139"/>
  <c r="M106" i="139"/>
  <c r="G163" i="139"/>
  <c r="O163" i="139"/>
  <c r="J163" i="139" l="1"/>
  <c r="N163" i="139"/>
  <c r="M163" i="139" l="1"/>
  <c r="K163" i="139"/>
  <c r="G108" i="139"/>
  <c r="O108" i="139"/>
  <c r="N108" i="139" l="1"/>
  <c r="J108" i="139"/>
  <c r="T52" i="139" s="1"/>
  <c r="M108" i="139" l="1"/>
  <c r="K108" i="139"/>
  <c r="U52" i="139" s="1"/>
  <c r="K66" i="119" l="1"/>
  <c r="O66" i="119"/>
  <c r="G67" i="119" s="1"/>
  <c r="J67" i="119" s="1"/>
  <c r="M66" i="119" l="1"/>
  <c r="N67" i="119"/>
  <c r="K67" i="119"/>
  <c r="M67" i="119" s="1"/>
  <c r="O67" i="119"/>
  <c r="G68" i="119" s="1"/>
  <c r="J68" i="119" s="1"/>
  <c r="N68" i="119" l="1"/>
  <c r="K68" i="119"/>
  <c r="M68" i="119" s="1"/>
  <c r="O68" i="119"/>
  <c r="G69" i="119" s="1"/>
  <c r="O69" i="119" l="1"/>
  <c r="G70" i="119" s="1"/>
  <c r="O70" i="119" s="1"/>
  <c r="G71" i="119" s="1"/>
  <c r="J69" i="119"/>
  <c r="K69" i="119" l="1"/>
  <c r="J70" i="119"/>
  <c r="K70" i="119" s="1"/>
  <c r="M70" i="119" s="1"/>
  <c r="N69" i="119"/>
  <c r="J71" i="119"/>
  <c r="K71" i="119" s="1"/>
  <c r="M71" i="119" s="1"/>
  <c r="O71" i="119"/>
  <c r="G72" i="119" s="1"/>
  <c r="N70" i="119" l="1"/>
  <c r="M69" i="119"/>
  <c r="N71" i="119"/>
  <c r="O72" i="119"/>
  <c r="G73" i="119" s="1"/>
  <c r="J72" i="119"/>
  <c r="K72" i="119" s="1"/>
  <c r="M72" i="119" s="1"/>
  <c r="N72" i="119" l="1"/>
  <c r="J73" i="119"/>
  <c r="K73" i="119" s="1"/>
  <c r="M73" i="119" s="1"/>
  <c r="O73" i="119"/>
  <c r="G74" i="119" s="1"/>
  <c r="N73" i="119" l="1"/>
  <c r="J74" i="119"/>
  <c r="K74" i="119" s="1"/>
  <c r="M74" i="119" s="1"/>
  <c r="O74" i="119"/>
  <c r="G75" i="119" s="1"/>
  <c r="N74" i="119" l="1"/>
  <c r="J75" i="119"/>
  <c r="K75" i="119" s="1"/>
  <c r="M75" i="119" s="1"/>
  <c r="O75" i="119"/>
  <c r="G76" i="119" s="1"/>
  <c r="N75" i="119" l="1"/>
  <c r="J76" i="119"/>
  <c r="K76" i="119" s="1"/>
  <c r="M76" i="119" s="1"/>
  <c r="O76" i="119"/>
  <c r="G77" i="119" s="1"/>
  <c r="J77" i="119" l="1"/>
  <c r="K77" i="119" s="1"/>
  <c r="M77" i="119" s="1"/>
  <c r="O77" i="119"/>
  <c r="G78" i="119" s="1"/>
  <c r="N76" i="119"/>
  <c r="J78" i="119" l="1"/>
  <c r="K78" i="119" s="1"/>
  <c r="M78" i="119" s="1"/>
  <c r="O78" i="119"/>
  <c r="G79" i="119" s="1"/>
  <c r="N77" i="119"/>
  <c r="N78" i="119" l="1"/>
  <c r="O79" i="119"/>
  <c r="G80" i="119" s="1"/>
  <c r="J79" i="119"/>
  <c r="K79" i="119" s="1"/>
  <c r="M79" i="119" s="1"/>
  <c r="J80" i="119" l="1"/>
  <c r="K80" i="119" s="1"/>
  <c r="M80" i="119" s="1"/>
  <c r="O80" i="119"/>
  <c r="G81" i="119" s="1"/>
  <c r="N79" i="119"/>
  <c r="N80" i="119" l="1"/>
  <c r="J81" i="119"/>
  <c r="K81" i="119" s="1"/>
  <c r="M81" i="119" s="1"/>
  <c r="O81" i="119"/>
  <c r="G82" i="119" s="1"/>
  <c r="N81" i="119" l="1"/>
  <c r="J82" i="119"/>
  <c r="K82" i="119" s="1"/>
  <c r="M82" i="119" s="1"/>
  <c r="O82" i="119"/>
  <c r="G83" i="119" s="1"/>
  <c r="N82" i="119" l="1"/>
  <c r="J83" i="119"/>
  <c r="K83" i="119" s="1"/>
  <c r="M83" i="119" s="1"/>
  <c r="O83" i="119"/>
  <c r="G84" i="119" s="1"/>
  <c r="N83" i="119" l="1"/>
  <c r="O84" i="119"/>
  <c r="G85" i="119" s="1"/>
  <c r="G87" i="119" s="1"/>
  <c r="J84" i="119"/>
  <c r="K84" i="119" s="1"/>
  <c r="M84" i="119" s="1"/>
  <c r="O85" i="119" l="1"/>
  <c r="O87" i="119" s="1"/>
  <c r="J85" i="119"/>
  <c r="N84" i="119"/>
  <c r="K85" i="119" l="1"/>
  <c r="J87" i="119"/>
  <c r="N85" i="119"/>
  <c r="N87" i="119" s="1"/>
  <c r="M85" i="119" l="1"/>
  <c r="M87" i="119" s="1"/>
  <c r="K87" i="119"/>
  <c r="O65" i="126"/>
  <c r="G66" i="126" s="1"/>
  <c r="O66" i="126" l="1"/>
  <c r="G67" i="126" s="1"/>
  <c r="N66" i="126"/>
  <c r="O67" i="126" l="1"/>
  <c r="G68" i="126" s="1"/>
  <c r="N67" i="126"/>
  <c r="O68" i="126" l="1"/>
  <c r="G69" i="126" s="1"/>
  <c r="N68" i="126"/>
  <c r="O69" i="126" l="1"/>
  <c r="G70" i="126" s="1"/>
  <c r="N69" i="126"/>
  <c r="O70" i="126" l="1"/>
  <c r="G71" i="126" s="1"/>
  <c r="N70" i="126"/>
  <c r="O71" i="126" l="1"/>
  <c r="G72" i="126" s="1"/>
  <c r="N71" i="126"/>
  <c r="O72" i="126" l="1"/>
  <c r="G73" i="126" s="1"/>
  <c r="N72" i="126"/>
  <c r="O73" i="126" l="1"/>
  <c r="G74" i="126" s="1"/>
  <c r="N73" i="126"/>
  <c r="O74" i="126" l="1"/>
  <c r="G75" i="126" s="1"/>
  <c r="N74" i="126"/>
  <c r="O75" i="126" l="1"/>
  <c r="G76" i="126" s="1"/>
  <c r="N75" i="126"/>
  <c r="O76" i="126" l="1"/>
  <c r="G77" i="126" s="1"/>
  <c r="N76" i="126"/>
  <c r="O77" i="126" l="1"/>
  <c r="G78" i="126" s="1"/>
  <c r="N77" i="126"/>
  <c r="O78" i="126" l="1"/>
  <c r="G79" i="126" s="1"/>
  <c r="N78" i="126"/>
  <c r="O79" i="126" l="1"/>
  <c r="G80" i="126" s="1"/>
  <c r="N79" i="126"/>
  <c r="O80" i="126" l="1"/>
  <c r="G81" i="126" s="1"/>
  <c r="N80" i="126"/>
  <c r="O81" i="126" l="1"/>
  <c r="G82" i="126" s="1"/>
  <c r="N81" i="126"/>
  <c r="O82" i="126" l="1"/>
  <c r="G83" i="126" s="1"/>
  <c r="N82" i="126"/>
  <c r="O83" i="126" l="1"/>
  <c r="G84" i="126" s="1"/>
  <c r="N83" i="126"/>
  <c r="O84" i="126" l="1"/>
  <c r="O86" i="126" s="1"/>
  <c r="N84" i="126"/>
  <c r="N86" i="126" s="1"/>
  <c r="G86" i="126"/>
  <c r="K63" i="132" l="1"/>
  <c r="O63" i="132"/>
  <c r="G64" i="132" s="1"/>
  <c r="J64" i="132" s="1"/>
  <c r="K64" i="132" l="1"/>
  <c r="M64" i="132" s="1"/>
  <c r="M63" i="132"/>
  <c r="O64" i="132"/>
  <c r="G65" i="132" s="1"/>
  <c r="N64" i="132"/>
  <c r="O65" i="132" l="1"/>
  <c r="G66" i="132" s="1"/>
  <c r="J65" i="132"/>
  <c r="K65" i="132" l="1"/>
  <c r="N65" i="132"/>
  <c r="J66" i="132"/>
  <c r="K66" i="132" s="1"/>
  <c r="M66" i="132" s="1"/>
  <c r="O66" i="132"/>
  <c r="G67" i="132" s="1"/>
  <c r="M65" i="132" l="1"/>
  <c r="N66" i="132"/>
  <c r="O67" i="132"/>
  <c r="G68" i="132" s="1"/>
  <c r="J67" i="132"/>
  <c r="K67" i="132" s="1"/>
  <c r="M67" i="132" s="1"/>
  <c r="J68" i="132" l="1"/>
  <c r="O68" i="132"/>
  <c r="G69" i="132" s="1"/>
  <c r="N67" i="132"/>
  <c r="K68" i="132" l="1"/>
  <c r="M68" i="132" s="1"/>
  <c r="O69" i="132"/>
  <c r="G70" i="132" s="1"/>
  <c r="J69" i="132"/>
  <c r="K69" i="132" s="1"/>
  <c r="M69" i="132" s="1"/>
  <c r="N68" i="132"/>
  <c r="J70" i="132" l="1"/>
  <c r="K70" i="132" s="1"/>
  <c r="M70" i="132" s="1"/>
  <c r="O70" i="132"/>
  <c r="G71" i="132" s="1"/>
  <c r="N69" i="132"/>
  <c r="O71" i="132" l="1"/>
  <c r="G72" i="132" s="1"/>
  <c r="J71" i="132"/>
  <c r="K71" i="132" s="1"/>
  <c r="M71" i="132" s="1"/>
  <c r="N70" i="132"/>
  <c r="O72" i="132" l="1"/>
  <c r="G73" i="132" s="1"/>
  <c r="J72" i="132"/>
  <c r="K72" i="132" s="1"/>
  <c r="M72" i="132" s="1"/>
  <c r="N71" i="132"/>
  <c r="N72" i="132" l="1"/>
  <c r="J73" i="132"/>
  <c r="K73" i="132" s="1"/>
  <c r="M73" i="132" s="1"/>
  <c r="O73" i="132"/>
  <c r="G74" i="132" s="1"/>
  <c r="O74" i="132" l="1"/>
  <c r="G75" i="132" s="1"/>
  <c r="J74" i="132"/>
  <c r="K74" i="132" s="1"/>
  <c r="M74" i="132" s="1"/>
  <c r="N73" i="132"/>
  <c r="N74" i="132" l="1"/>
  <c r="J75" i="132"/>
  <c r="K75" i="132" s="1"/>
  <c r="M75" i="132" s="1"/>
  <c r="O75" i="132"/>
  <c r="G76" i="132" s="1"/>
  <c r="O76" i="132" l="1"/>
  <c r="G77" i="132" s="1"/>
  <c r="J76" i="132"/>
  <c r="K76" i="132" s="1"/>
  <c r="M76" i="132" s="1"/>
  <c r="N75" i="132"/>
  <c r="N76" i="132" l="1"/>
  <c r="J77" i="132"/>
  <c r="K77" i="132" s="1"/>
  <c r="M77" i="132" s="1"/>
  <c r="O77" i="132"/>
  <c r="G78" i="132" s="1"/>
  <c r="O78" i="132" l="1"/>
  <c r="G79" i="132" s="1"/>
  <c r="J78" i="132"/>
  <c r="K78" i="132" s="1"/>
  <c r="M78" i="132" s="1"/>
  <c r="N77" i="132"/>
  <c r="J79" i="132" l="1"/>
  <c r="K79" i="132" s="1"/>
  <c r="M79" i="132" s="1"/>
  <c r="O79" i="132"/>
  <c r="G80" i="132" s="1"/>
  <c r="N78" i="132"/>
  <c r="O80" i="132" l="1"/>
  <c r="G81" i="132" s="1"/>
  <c r="J80" i="132"/>
  <c r="K80" i="132" s="1"/>
  <c r="M80" i="132" s="1"/>
  <c r="N79" i="132"/>
  <c r="J81" i="132" l="1"/>
  <c r="K81" i="132" s="1"/>
  <c r="M81" i="132" s="1"/>
  <c r="O81" i="132"/>
  <c r="G82" i="132" s="1"/>
  <c r="G84" i="132" s="1"/>
  <c r="N80" i="132"/>
  <c r="O82" i="132" l="1"/>
  <c r="O84" i="132" s="1"/>
  <c r="J82" i="132"/>
  <c r="N81" i="132"/>
  <c r="K82" i="132" l="1"/>
  <c r="J84" i="132"/>
  <c r="N82" i="132"/>
  <c r="N84" i="132" s="1"/>
  <c r="M82" i="132" l="1"/>
  <c r="M84" i="132" s="1"/>
  <c r="K84" i="132"/>
  <c r="C25" i="139" l="1"/>
  <c r="L44" i="139"/>
  <c r="L38" i="139"/>
  <c r="L46" i="139"/>
  <c r="L39" i="139"/>
  <c r="L42" i="139"/>
  <c r="L40" i="139"/>
  <c r="L47" i="139"/>
  <c r="L45" i="139"/>
  <c r="L43" i="139"/>
  <c r="L37" i="139"/>
  <c r="L48" i="139"/>
  <c r="L41" i="139"/>
  <c r="L36" i="139"/>
  <c r="L35" i="139"/>
  <c r="H101" i="197" s="1"/>
  <c r="G29" i="139"/>
  <c r="I101" i="197" l="1"/>
  <c r="I113" i="197" s="1"/>
  <c r="H113" i="197"/>
  <c r="L51" i="139"/>
  <c r="H29" i="139"/>
  <c r="K29" i="139" l="1"/>
  <c r="N29" i="139"/>
  <c r="M29" i="139" l="1"/>
  <c r="O29" i="139"/>
  <c r="G30" i="139" s="1"/>
  <c r="H30" i="139" l="1"/>
  <c r="O30" i="139" l="1"/>
  <c r="G31" i="139" s="1"/>
  <c r="J31" i="139" s="1"/>
  <c r="K30" i="139"/>
  <c r="N30" i="139"/>
  <c r="M30" i="139" l="1"/>
  <c r="N31" i="139"/>
  <c r="O31" i="139" s="1"/>
  <c r="K31" i="139" l="1"/>
  <c r="G32" i="139" l="1"/>
  <c r="J32" i="139" s="1"/>
  <c r="K32" i="139" l="1"/>
  <c r="N32" i="139"/>
  <c r="O32" i="139" s="1"/>
  <c r="G33" i="139" s="1"/>
  <c r="J33" i="139" l="1"/>
  <c r="I33" i="139" l="1"/>
  <c r="K33" i="139" s="1"/>
  <c r="I42" i="139"/>
  <c r="I46" i="139"/>
  <c r="I38" i="139"/>
  <c r="I36" i="139"/>
  <c r="H51" i="139"/>
  <c r="I40" i="139"/>
  <c r="I35" i="139"/>
  <c r="I44" i="139"/>
  <c r="I45" i="139"/>
  <c r="I37" i="139"/>
  <c r="I41" i="139"/>
  <c r="I47" i="139"/>
  <c r="I34" i="139"/>
  <c r="I49" i="139"/>
  <c r="I48" i="139"/>
  <c r="I43" i="139"/>
  <c r="I39" i="139"/>
  <c r="N33" i="139"/>
  <c r="I51" i="139" l="1"/>
  <c r="M33" i="139"/>
  <c r="O33" i="139" s="1"/>
  <c r="G34" i="139" s="1"/>
  <c r="O34" i="139" s="1"/>
  <c r="J34" i="139" l="1"/>
  <c r="K34" i="139" s="1"/>
  <c r="G35" i="139"/>
  <c r="O35" i="139" s="1"/>
  <c r="G36" i="139" s="1"/>
  <c r="N34" i="139" l="1"/>
  <c r="J35" i="139"/>
  <c r="K35" i="139" s="1"/>
  <c r="M34" i="139"/>
  <c r="J36" i="139"/>
  <c r="K36" i="139" s="1"/>
  <c r="O36" i="139"/>
  <c r="G37" i="139" s="1"/>
  <c r="M36" i="139" l="1"/>
  <c r="N35" i="139"/>
  <c r="N36" i="139"/>
  <c r="J37" i="139"/>
  <c r="K37" i="139" s="1"/>
  <c r="O37" i="139"/>
  <c r="G38" i="139" s="1"/>
  <c r="M35" i="139" l="1"/>
  <c r="O38" i="139"/>
  <c r="G39" i="139" s="1"/>
  <c r="J38" i="139"/>
  <c r="M37" i="139"/>
  <c r="N37" i="139"/>
  <c r="K38" i="139" l="1"/>
  <c r="J39" i="139"/>
  <c r="K39" i="139" s="1"/>
  <c r="O39" i="139"/>
  <c r="G40" i="139" s="1"/>
  <c r="N38" i="139"/>
  <c r="M39" i="139" l="1"/>
  <c r="M38" i="139"/>
  <c r="O40" i="139"/>
  <c r="G41" i="139" s="1"/>
  <c r="J40" i="139"/>
  <c r="K40" i="139" s="1"/>
  <c r="N39" i="139"/>
  <c r="M40" i="139" l="1"/>
  <c r="J41" i="139"/>
  <c r="K41" i="139" s="1"/>
  <c r="O41" i="139"/>
  <c r="G42" i="139" s="1"/>
  <c r="N40" i="139"/>
  <c r="F25" i="139"/>
  <c r="D25" i="139"/>
  <c r="E25" i="139"/>
  <c r="M41" i="139" l="1"/>
  <c r="O42" i="139"/>
  <c r="G43" i="139" s="1"/>
  <c r="J42" i="139"/>
  <c r="K42" i="139" s="1"/>
  <c r="N41" i="139"/>
  <c r="M42" i="139" l="1"/>
  <c r="O43" i="139"/>
  <c r="G44" i="139" s="1"/>
  <c r="J43" i="139"/>
  <c r="K43" i="139" s="1"/>
  <c r="N42" i="139"/>
  <c r="M43" i="139" l="1"/>
  <c r="O44" i="139"/>
  <c r="G45" i="139" s="1"/>
  <c r="J44" i="139"/>
  <c r="K44" i="139" s="1"/>
  <c r="N43" i="139"/>
  <c r="M44" i="139" l="1"/>
  <c r="J45" i="139"/>
  <c r="K45" i="139" s="1"/>
  <c r="O45" i="139"/>
  <c r="G46" i="139" s="1"/>
  <c r="N44" i="139"/>
  <c r="M45" i="139" l="1"/>
  <c r="O46" i="139"/>
  <c r="G47" i="139" s="1"/>
  <c r="J46" i="139"/>
  <c r="K46" i="139" s="1"/>
  <c r="N45" i="139"/>
  <c r="M46" i="139" l="1"/>
  <c r="J47" i="139"/>
  <c r="K47" i="139" s="1"/>
  <c r="O47" i="139"/>
  <c r="G48" i="139" s="1"/>
  <c r="N46" i="139"/>
  <c r="M47" i="139" l="1"/>
  <c r="O48" i="139"/>
  <c r="G49" i="139" s="1"/>
  <c r="J48" i="139"/>
  <c r="K48" i="139" s="1"/>
  <c r="N47" i="139"/>
  <c r="M48" i="139" l="1"/>
  <c r="O49" i="139"/>
  <c r="J49" i="139"/>
  <c r="K49" i="139" s="1"/>
  <c r="N48" i="139"/>
  <c r="E101" i="197" l="1"/>
  <c r="E102" i="197"/>
  <c r="D102" i="197"/>
  <c r="B102" i="197"/>
  <c r="F102" i="197" s="1"/>
  <c r="B101" i="197"/>
  <c r="C102" i="197"/>
  <c r="C101" i="197"/>
  <c r="D101" i="197"/>
  <c r="M49" i="139"/>
  <c r="N49" i="139"/>
  <c r="F101" i="197" l="1"/>
  <c r="O51" i="139"/>
  <c r="G51" i="139"/>
  <c r="N51" i="139" l="1"/>
  <c r="J51" i="139"/>
  <c r="M51" i="139" l="1"/>
  <c r="K51" i="139"/>
  <c r="K42" i="133" l="1"/>
  <c r="M42" i="133" s="1"/>
  <c r="O42" i="133" s="1"/>
  <c r="J43" i="133" l="1"/>
  <c r="K43" i="133" l="1"/>
  <c r="N43" i="133"/>
  <c r="G44" i="133" s="1"/>
  <c r="O43" i="133" l="1"/>
  <c r="J44" i="133" l="1"/>
  <c r="K44" i="133" l="1"/>
  <c r="N44" i="133"/>
  <c r="O44" i="133" l="1"/>
  <c r="G45" i="133"/>
  <c r="J45" i="133" l="1"/>
  <c r="N45" i="133" s="1"/>
  <c r="I45" i="133" l="1"/>
  <c r="I55" i="133"/>
  <c r="I61" i="133"/>
  <c r="I57" i="133"/>
  <c r="I46" i="133"/>
  <c r="I49" i="133"/>
  <c r="I59" i="133"/>
  <c r="I48" i="133"/>
  <c r="I54" i="133"/>
  <c r="I50" i="133"/>
  <c r="H64" i="133"/>
  <c r="I51" i="133"/>
  <c r="I52" i="133"/>
  <c r="I53" i="133"/>
  <c r="I47" i="133"/>
  <c r="I60" i="133"/>
  <c r="I62" i="133"/>
  <c r="I56" i="133"/>
  <c r="I58" i="133"/>
  <c r="I64" i="133" l="1"/>
  <c r="K45" i="133"/>
  <c r="M45" i="133" s="1"/>
  <c r="O45" i="133" s="1"/>
  <c r="G46" i="133" s="1"/>
  <c r="J46" i="133" s="1"/>
  <c r="K46" i="133" s="1"/>
  <c r="N46" i="133" l="1"/>
  <c r="M46" i="133"/>
  <c r="O46" i="133" l="1"/>
  <c r="G47" i="133" s="1"/>
  <c r="J47" i="133" s="1"/>
  <c r="K47" i="133" s="1"/>
  <c r="M47" i="133" s="1"/>
  <c r="N47" i="133" l="1"/>
  <c r="O47" i="133" s="1"/>
  <c r="G48" i="133" s="1"/>
  <c r="J48" i="133" l="1"/>
  <c r="K48" i="133" s="1"/>
  <c r="M48" i="133" l="1"/>
  <c r="N48" i="133"/>
  <c r="O48" i="133" l="1"/>
  <c r="G49" i="133" s="1"/>
  <c r="J49" i="133" l="1"/>
  <c r="K49" i="133" s="1"/>
  <c r="M49" i="133" l="1"/>
  <c r="N49" i="133"/>
  <c r="O49" i="133" l="1"/>
  <c r="G50" i="133" s="1"/>
  <c r="J50" i="133" l="1"/>
  <c r="K50" i="133" s="1"/>
  <c r="M50" i="133" l="1"/>
  <c r="N50" i="133"/>
  <c r="O50" i="133" l="1"/>
  <c r="G51" i="133" s="1"/>
  <c r="J51" i="133" l="1"/>
  <c r="K51" i="133" s="1"/>
  <c r="M51" i="133" l="1"/>
  <c r="N51" i="133"/>
  <c r="O51" i="133" l="1"/>
  <c r="G52" i="133" s="1"/>
  <c r="J52" i="133" l="1"/>
  <c r="K52" i="133" s="1"/>
  <c r="M52" i="133" l="1"/>
  <c r="N52" i="133"/>
  <c r="O52" i="133" l="1"/>
  <c r="G53" i="133" s="1"/>
  <c r="J53" i="133" l="1"/>
  <c r="K53" i="133" s="1"/>
  <c r="M53" i="133" l="1"/>
  <c r="N53" i="133"/>
  <c r="O53" i="133" l="1"/>
  <c r="G54" i="133" s="1"/>
  <c r="J54" i="133" l="1"/>
  <c r="K54" i="133" s="1"/>
  <c r="M54" i="133" l="1"/>
  <c r="N54" i="133"/>
  <c r="O54" i="133" l="1"/>
  <c r="G55" i="133" s="1"/>
  <c r="J55" i="133" s="1"/>
  <c r="N55" i="133" l="1"/>
  <c r="K55" i="133"/>
  <c r="M55" i="133" l="1"/>
  <c r="O55" i="133" s="1"/>
  <c r="G56" i="133" s="1"/>
  <c r="J56" i="133" s="1"/>
  <c r="N56" i="133" l="1"/>
  <c r="K56" i="133"/>
  <c r="M56" i="133" l="1"/>
  <c r="O56" i="133" s="1"/>
  <c r="G57" i="133" s="1"/>
  <c r="J57" i="133" s="1"/>
  <c r="N57" i="133" l="1"/>
  <c r="K57" i="133"/>
  <c r="M57" i="133" l="1"/>
  <c r="O57" i="133" s="1"/>
  <c r="G58" i="133" s="1"/>
  <c r="J58" i="133" l="1"/>
  <c r="N58" i="133" s="1"/>
  <c r="K58" i="133" l="1"/>
  <c r="M58" i="133" l="1"/>
  <c r="O58" i="133" s="1"/>
  <c r="G59" i="133" l="1"/>
  <c r="J59" i="133" l="1"/>
  <c r="N59" i="133" s="1"/>
  <c r="K59" i="133" l="1"/>
  <c r="M59" i="133" l="1"/>
  <c r="O59" i="133" s="1"/>
  <c r="G60" i="133" l="1"/>
  <c r="J60" i="133" l="1"/>
  <c r="K60" i="133" s="1"/>
  <c r="M60" i="133" l="1"/>
  <c r="N60" i="133"/>
  <c r="O60" i="133" l="1"/>
  <c r="G61" i="133" s="1"/>
  <c r="J61" i="133" s="1"/>
  <c r="K61" i="133" s="1"/>
  <c r="M61" i="133" l="1"/>
  <c r="N61" i="133"/>
  <c r="O61" i="133" l="1"/>
  <c r="G62" i="133" s="1"/>
  <c r="J62" i="133" s="1"/>
  <c r="N62" i="133" s="1"/>
  <c r="G64" i="133" l="1"/>
  <c r="N64" i="133"/>
  <c r="K62" i="133"/>
  <c r="J64" i="133"/>
  <c r="E21" i="197" l="1"/>
  <c r="D20" i="197"/>
  <c r="B20" i="197"/>
  <c r="C21" i="197"/>
  <c r="E20" i="197"/>
  <c r="D21" i="197"/>
  <c r="C20" i="197"/>
  <c r="B21" i="197"/>
  <c r="F21" i="197" s="1"/>
  <c r="M62" i="133"/>
  <c r="O62" i="133" s="1"/>
  <c r="K64" i="133"/>
  <c r="F20" i="197" l="1"/>
  <c r="M64" i="133"/>
  <c r="O64" i="133"/>
  <c r="M59" i="150" l="1"/>
  <c r="M56" i="150"/>
  <c r="M58" i="150"/>
  <c r="M55" i="150"/>
  <c r="M54" i="150"/>
  <c r="M57" i="150"/>
  <c r="M53" i="150"/>
  <c r="O53" i="150"/>
  <c r="G54" i="150" s="1"/>
  <c r="H54" i="150" l="1"/>
  <c r="O54" i="150" l="1"/>
  <c r="G55" i="150" s="1"/>
  <c r="N54" i="150"/>
  <c r="H55" i="150" l="1"/>
  <c r="O55" i="150" l="1"/>
  <c r="G56" i="150" s="1"/>
  <c r="N55" i="150"/>
  <c r="H56" i="150" l="1"/>
  <c r="O56" i="150" l="1"/>
  <c r="N56" i="150"/>
  <c r="G57" i="150" l="1"/>
  <c r="H57" i="150" l="1"/>
  <c r="O57" i="150" l="1"/>
  <c r="N57" i="150"/>
  <c r="G58" i="150" l="1"/>
  <c r="H58" i="150" l="1"/>
  <c r="N58" i="150" l="1"/>
  <c r="O58" i="150"/>
  <c r="G59" i="150" l="1"/>
  <c r="H59" i="150" l="1"/>
  <c r="N59" i="150" s="1"/>
  <c r="O59" i="150" l="1"/>
  <c r="G60" i="150" s="1"/>
  <c r="L81" i="150"/>
  <c r="H60" i="150" l="1"/>
  <c r="S29" i="150" l="1"/>
  <c r="N60" i="150"/>
  <c r="K60" i="150" l="1"/>
  <c r="O60" i="150"/>
  <c r="G61" i="150" s="1"/>
  <c r="H61" i="150" l="1"/>
  <c r="M60" i="150"/>
  <c r="N61" i="150" l="1"/>
  <c r="M182" i="150" l="1"/>
  <c r="O182" i="150"/>
  <c r="G183" i="150" l="1"/>
  <c r="H183" i="150" l="1"/>
  <c r="N183" i="150" s="1"/>
  <c r="L203" i="150"/>
  <c r="O183" i="150" l="1"/>
  <c r="G184" i="150" s="1"/>
  <c r="K183" i="150"/>
  <c r="M183" i="150" s="1"/>
  <c r="H184" i="150" l="1"/>
  <c r="N184" i="150" l="1"/>
  <c r="O184" i="150"/>
  <c r="G185" i="150" s="1"/>
  <c r="J185" i="150" l="1"/>
  <c r="H185" i="150"/>
  <c r="K184" i="150"/>
  <c r="M184" i="150" s="1"/>
  <c r="N185" i="150" l="1"/>
  <c r="I185" i="150"/>
  <c r="I201" i="150"/>
  <c r="I193" i="150"/>
  <c r="I186" i="150"/>
  <c r="H203" i="150"/>
  <c r="I191" i="150"/>
  <c r="I188" i="150"/>
  <c r="I196" i="150"/>
  <c r="I192" i="150"/>
  <c r="I198" i="150"/>
  <c r="I195" i="150"/>
  <c r="I189" i="150"/>
  <c r="I200" i="150"/>
  <c r="I190" i="150"/>
  <c r="I194" i="150"/>
  <c r="I197" i="150"/>
  <c r="I199" i="150"/>
  <c r="I187" i="150"/>
  <c r="I203" i="150" l="1"/>
  <c r="K185" i="150"/>
  <c r="M185" i="150" s="1"/>
  <c r="O185" i="150"/>
  <c r="G186" i="150" s="1"/>
  <c r="J186" i="150" l="1"/>
  <c r="O186" i="150"/>
  <c r="G187" i="150" s="1"/>
  <c r="O187" i="150" s="1"/>
  <c r="G188" i="150" s="1"/>
  <c r="J187" i="150" l="1"/>
  <c r="N187" i="150" s="1"/>
  <c r="N186" i="150"/>
  <c r="K186" i="150"/>
  <c r="M186" i="150" s="1"/>
  <c r="J188" i="150"/>
  <c r="O188" i="150"/>
  <c r="G189" i="150" s="1"/>
  <c r="K187" i="150" l="1"/>
  <c r="M187" i="150" s="1"/>
  <c r="K188" i="150"/>
  <c r="M188" i="150" s="1"/>
  <c r="J189" i="150"/>
  <c r="O189" i="150"/>
  <c r="G190" i="150" s="1"/>
  <c r="N188" i="150"/>
  <c r="N189" i="150" l="1"/>
  <c r="O190" i="150"/>
  <c r="G191" i="150" s="1"/>
  <c r="J190" i="150"/>
  <c r="K189" i="150"/>
  <c r="M189" i="150" s="1"/>
  <c r="J191" i="150" l="1"/>
  <c r="O191" i="150"/>
  <c r="G192" i="150" s="1"/>
  <c r="K190" i="150"/>
  <c r="M190" i="150" s="1"/>
  <c r="N190" i="150"/>
  <c r="K191" i="150" l="1"/>
  <c r="M191" i="150" s="1"/>
  <c r="N191" i="150"/>
  <c r="J192" i="150"/>
  <c r="O192" i="150"/>
  <c r="G193" i="150" s="1"/>
  <c r="K192" i="150" l="1"/>
  <c r="M192" i="150" s="1"/>
  <c r="N192" i="150"/>
  <c r="O193" i="150"/>
  <c r="G194" i="150" s="1"/>
  <c r="J193" i="150"/>
  <c r="N193" i="150" l="1"/>
  <c r="O194" i="150"/>
  <c r="G195" i="150" s="1"/>
  <c r="J194" i="150"/>
  <c r="K193" i="150"/>
  <c r="M193" i="150" s="1"/>
  <c r="N194" i="150" l="1"/>
  <c r="K194" i="150"/>
  <c r="M194" i="150" s="1"/>
  <c r="J195" i="150"/>
  <c r="O195" i="150"/>
  <c r="G196" i="150" s="1"/>
  <c r="N195" i="150" l="1"/>
  <c r="O196" i="150"/>
  <c r="G197" i="150" s="1"/>
  <c r="J196" i="150"/>
  <c r="K195" i="150"/>
  <c r="M195" i="150" s="1"/>
  <c r="N196" i="150" l="1"/>
  <c r="K196" i="150"/>
  <c r="M196" i="150" s="1"/>
  <c r="J197" i="150"/>
  <c r="O197" i="150"/>
  <c r="G198" i="150" s="1"/>
  <c r="N197" i="150" l="1"/>
  <c r="O198" i="150"/>
  <c r="G199" i="150" s="1"/>
  <c r="J198" i="150"/>
  <c r="K197" i="150"/>
  <c r="M197" i="150" s="1"/>
  <c r="N198" i="150" l="1"/>
  <c r="O199" i="150"/>
  <c r="G200" i="150" s="1"/>
  <c r="J199" i="150"/>
  <c r="K198" i="150"/>
  <c r="M198" i="150" s="1"/>
  <c r="J200" i="150" l="1"/>
  <c r="O200" i="150"/>
  <c r="G201" i="150" s="1"/>
  <c r="K199" i="150"/>
  <c r="M199" i="150" s="1"/>
  <c r="N199" i="150"/>
  <c r="N200" i="150" l="1"/>
  <c r="J201" i="150"/>
  <c r="O201" i="150"/>
  <c r="O203" i="150" s="1"/>
  <c r="G203" i="150"/>
  <c r="K200" i="150"/>
  <c r="M200" i="150" s="1"/>
  <c r="N201" i="150" l="1"/>
  <c r="N203" i="150" s="1"/>
  <c r="K201" i="150"/>
  <c r="J203" i="150"/>
  <c r="M201" i="150" l="1"/>
  <c r="M203" i="150" s="1"/>
  <c r="K203" i="150"/>
  <c r="M210" i="150"/>
  <c r="O210" i="150"/>
  <c r="G211" i="150" s="1"/>
  <c r="H211" i="150" l="1"/>
  <c r="N211" i="150" s="1"/>
  <c r="L231" i="150" l="1"/>
  <c r="O211" i="150"/>
  <c r="M211" i="150" l="1"/>
  <c r="G212" i="150"/>
  <c r="H212" i="150" s="1"/>
  <c r="O212" i="150" l="1"/>
  <c r="K212" i="150" l="1"/>
  <c r="N212" i="150"/>
  <c r="G213" i="150"/>
  <c r="H213" i="150" s="1"/>
  <c r="I213" i="150" l="1"/>
  <c r="I227" i="150"/>
  <c r="I215" i="150"/>
  <c r="I226" i="150"/>
  <c r="I221" i="150"/>
  <c r="I223" i="150"/>
  <c r="I228" i="150"/>
  <c r="I222" i="150"/>
  <c r="I218" i="150"/>
  <c r="I217" i="150"/>
  <c r="I214" i="150"/>
  <c r="I225" i="150"/>
  <c r="I224" i="150"/>
  <c r="I216" i="150"/>
  <c r="I219" i="150"/>
  <c r="H231" i="150"/>
  <c r="I229" i="150"/>
  <c r="I220" i="150"/>
  <c r="M212" i="150"/>
  <c r="J213" i="150"/>
  <c r="O213" i="150"/>
  <c r="I231" i="150" l="1"/>
  <c r="N213" i="150"/>
  <c r="G214" i="150"/>
  <c r="K213" i="150"/>
  <c r="J214" i="150" l="1"/>
  <c r="O214" i="150"/>
  <c r="M213" i="150"/>
  <c r="G215" i="150" l="1"/>
  <c r="K214" i="150"/>
  <c r="N214" i="150"/>
  <c r="M214" i="150" l="1"/>
  <c r="J215" i="150"/>
  <c r="O215" i="150"/>
  <c r="G216" i="150" s="1"/>
  <c r="N215" i="150" l="1"/>
  <c r="O216" i="150"/>
  <c r="G217" i="150" s="1"/>
  <c r="J216" i="150"/>
  <c r="K215" i="150"/>
  <c r="N216" i="150" l="1"/>
  <c r="K216" i="150"/>
  <c r="M216" i="150" s="1"/>
  <c r="M215" i="150"/>
  <c r="J217" i="150"/>
  <c r="O217" i="150"/>
  <c r="G218" i="150" s="1"/>
  <c r="K217" i="150" l="1"/>
  <c r="N217" i="150"/>
  <c r="J218" i="150"/>
  <c r="O218" i="150"/>
  <c r="G219" i="150" s="1"/>
  <c r="O219" i="150" l="1"/>
  <c r="G220" i="150" s="1"/>
  <c r="J219" i="150"/>
  <c r="M217" i="150"/>
  <c r="K218" i="150"/>
  <c r="M218" i="150" s="1"/>
  <c r="N218" i="150"/>
  <c r="K219" i="150" l="1"/>
  <c r="M219" i="150" s="1"/>
  <c r="O220" i="150"/>
  <c r="G221" i="150" s="1"/>
  <c r="J220" i="150"/>
  <c r="N219" i="150"/>
  <c r="K220" i="150" l="1"/>
  <c r="M220" i="150" s="1"/>
  <c r="J221" i="150"/>
  <c r="O221" i="150"/>
  <c r="G222" i="150" s="1"/>
  <c r="N220" i="150"/>
  <c r="N221" i="150" l="1"/>
  <c r="K221" i="150"/>
  <c r="M221" i="150" s="1"/>
  <c r="O222" i="150"/>
  <c r="G223" i="150" s="1"/>
  <c r="J222" i="150"/>
  <c r="N222" i="150" l="1"/>
  <c r="J223" i="150"/>
  <c r="O223" i="150"/>
  <c r="G224" i="150" s="1"/>
  <c r="K222" i="150"/>
  <c r="M222" i="150" s="1"/>
  <c r="K223" i="150" l="1"/>
  <c r="M223" i="150" s="1"/>
  <c r="J224" i="150"/>
  <c r="O224" i="150"/>
  <c r="G225" i="150" s="1"/>
  <c r="N223" i="150"/>
  <c r="K224" i="150" l="1"/>
  <c r="M224" i="150" s="1"/>
  <c r="N224" i="150"/>
  <c r="O225" i="150"/>
  <c r="G226" i="150" s="1"/>
  <c r="J225" i="150"/>
  <c r="N225" i="150" l="1"/>
  <c r="K225" i="150"/>
  <c r="M225" i="150" s="1"/>
  <c r="J226" i="150"/>
  <c r="O226" i="150"/>
  <c r="G227" i="150" s="1"/>
  <c r="J227" i="150" l="1"/>
  <c r="O227" i="150"/>
  <c r="G228" i="150" s="1"/>
  <c r="K226" i="150"/>
  <c r="M226" i="150" s="1"/>
  <c r="N226" i="150"/>
  <c r="N227" i="150" l="1"/>
  <c r="J228" i="150"/>
  <c r="O228" i="150"/>
  <c r="G229" i="150" s="1"/>
  <c r="K227" i="150"/>
  <c r="M227" i="150" s="1"/>
  <c r="K228" i="150" l="1"/>
  <c r="M228" i="150" s="1"/>
  <c r="J229" i="150"/>
  <c r="O229" i="150"/>
  <c r="O231" i="150" s="1"/>
  <c r="G231" i="150"/>
  <c r="N228" i="150"/>
  <c r="N229" i="150" l="1"/>
  <c r="N231" i="150" s="1"/>
  <c r="K229" i="150"/>
  <c r="J231" i="150"/>
  <c r="M229" i="150" l="1"/>
  <c r="M231" i="150" s="1"/>
  <c r="K231" i="150"/>
  <c r="M237" i="150"/>
  <c r="O237" i="150"/>
  <c r="G238" i="150" s="1"/>
  <c r="T30" i="150" l="1"/>
  <c r="H238" i="150"/>
  <c r="K238" i="150" l="1"/>
  <c r="M238" i="150" s="1"/>
  <c r="N238" i="150"/>
  <c r="L258" i="150"/>
  <c r="O238" i="150"/>
  <c r="V50" i="150" l="1"/>
  <c r="G239" i="150"/>
  <c r="H239" i="150" s="1"/>
  <c r="O239" i="150" l="1"/>
  <c r="N239" i="150" l="1"/>
  <c r="G240" i="150"/>
  <c r="H240" i="150" s="1"/>
  <c r="K239" i="150"/>
  <c r="I240" i="150" l="1"/>
  <c r="I244" i="150"/>
  <c r="I252" i="150"/>
  <c r="I245" i="150"/>
  <c r="I249" i="150"/>
  <c r="I251" i="150"/>
  <c r="I255" i="150"/>
  <c r="I247" i="150"/>
  <c r="I250" i="150"/>
  <c r="I243" i="150"/>
  <c r="I246" i="150"/>
  <c r="I242" i="150"/>
  <c r="I253" i="150"/>
  <c r="I256" i="150"/>
  <c r="I241" i="150"/>
  <c r="I248" i="150"/>
  <c r="I254" i="150"/>
  <c r="H258" i="150"/>
  <c r="M239" i="150"/>
  <c r="J240" i="150"/>
  <c r="U29" i="150"/>
  <c r="I258" i="150" l="1"/>
  <c r="O240" i="150"/>
  <c r="G241" i="150" s="1"/>
  <c r="N240" i="150"/>
  <c r="L284" i="150"/>
  <c r="V51" i="150" s="1"/>
  <c r="V52" i="150" s="1"/>
  <c r="M269" i="150"/>
  <c r="O269" i="150"/>
  <c r="K240" i="150"/>
  <c r="M240" i="150" l="1"/>
  <c r="G270" i="150"/>
  <c r="J270" i="150" s="1"/>
  <c r="J241" i="150"/>
  <c r="O241" i="150"/>
  <c r="N241" i="150" l="1"/>
  <c r="K241" i="150"/>
  <c r="N270" i="150"/>
  <c r="O270" i="150"/>
  <c r="G242" i="150"/>
  <c r="M241" i="150" l="1"/>
  <c r="G271" i="150"/>
  <c r="J242" i="150"/>
  <c r="O242" i="150"/>
  <c r="K270" i="150"/>
  <c r="K242" i="150" l="1"/>
  <c r="M270" i="150"/>
  <c r="N242" i="150"/>
  <c r="O271" i="150"/>
  <c r="J271" i="150"/>
  <c r="G243" i="150"/>
  <c r="K271" i="150" l="1"/>
  <c r="M242" i="150"/>
  <c r="G272" i="150"/>
  <c r="J272" i="150" s="1"/>
  <c r="O243" i="150"/>
  <c r="G244" i="150" s="1"/>
  <c r="J243" i="150"/>
  <c r="N271" i="150"/>
  <c r="N243" i="150" l="1"/>
  <c r="O244" i="150"/>
  <c r="G245" i="150" s="1"/>
  <c r="J244" i="150"/>
  <c r="O272" i="150"/>
  <c r="M271" i="150"/>
  <c r="K243" i="150"/>
  <c r="M243" i="150" s="1"/>
  <c r="K272" i="150" l="1"/>
  <c r="J245" i="150"/>
  <c r="O245" i="150"/>
  <c r="G246" i="150" s="1"/>
  <c r="G273" i="150"/>
  <c r="J273" i="150" s="1"/>
  <c r="K244" i="150"/>
  <c r="M244" i="150" s="1"/>
  <c r="N272" i="150"/>
  <c r="N244" i="150"/>
  <c r="J246" i="150" l="1"/>
  <c r="O246" i="150"/>
  <c r="G247" i="150" s="1"/>
  <c r="M272" i="150"/>
  <c r="K245" i="150"/>
  <c r="M245" i="150" s="1"/>
  <c r="O273" i="150"/>
  <c r="N245" i="150"/>
  <c r="N246" i="150" l="1"/>
  <c r="K273" i="150"/>
  <c r="N273" i="150"/>
  <c r="J247" i="150"/>
  <c r="O247" i="150"/>
  <c r="G248" i="150" s="1"/>
  <c r="G274" i="150"/>
  <c r="J274" i="150" s="1"/>
  <c r="K246" i="150"/>
  <c r="M246" i="150" s="1"/>
  <c r="K247" i="150" l="1"/>
  <c r="M247" i="150" s="1"/>
  <c r="M273" i="150"/>
  <c r="N247" i="150"/>
  <c r="O274" i="150"/>
  <c r="G275" i="150" s="1"/>
  <c r="J275" i="150" s="1"/>
  <c r="O248" i="150"/>
  <c r="G249" i="150" s="1"/>
  <c r="J248" i="150"/>
  <c r="K248" i="150" l="1"/>
  <c r="M248" i="150" s="1"/>
  <c r="K275" i="150"/>
  <c r="M275" i="150" s="1"/>
  <c r="O275" i="150"/>
  <c r="G276" i="150" s="1"/>
  <c r="J276" i="150" s="1"/>
  <c r="N248" i="150"/>
  <c r="K274" i="150"/>
  <c r="O249" i="150"/>
  <c r="G250" i="150" s="1"/>
  <c r="J249" i="150"/>
  <c r="N274" i="150"/>
  <c r="O250" i="150" l="1"/>
  <c r="G251" i="150" s="1"/>
  <c r="J250" i="150"/>
  <c r="O276" i="150"/>
  <c r="G277" i="150" s="1"/>
  <c r="J277" i="150" s="1"/>
  <c r="K276" i="150"/>
  <c r="M276" i="150" s="1"/>
  <c r="K249" i="150"/>
  <c r="M249" i="150" s="1"/>
  <c r="M274" i="150"/>
  <c r="N275" i="150"/>
  <c r="N249" i="150"/>
  <c r="N250" i="150" l="1"/>
  <c r="N276" i="150"/>
  <c r="J251" i="150"/>
  <c r="O251" i="150"/>
  <c r="G252" i="150" s="1"/>
  <c r="K277" i="150"/>
  <c r="M277" i="150" s="1"/>
  <c r="O277" i="150"/>
  <c r="G278" i="150" s="1"/>
  <c r="J278" i="150" s="1"/>
  <c r="K250" i="150"/>
  <c r="M250" i="150" s="1"/>
  <c r="N251" i="150" l="1"/>
  <c r="N277" i="150"/>
  <c r="O252" i="150"/>
  <c r="G253" i="150" s="1"/>
  <c r="J252" i="150"/>
  <c r="O278" i="150"/>
  <c r="G279" i="150" s="1"/>
  <c r="J279" i="150" s="1"/>
  <c r="K278" i="150"/>
  <c r="M278" i="150" s="1"/>
  <c r="K251" i="150"/>
  <c r="M251" i="150" s="1"/>
  <c r="N278" i="150" l="1"/>
  <c r="K279" i="150"/>
  <c r="M279" i="150" s="1"/>
  <c r="O279" i="150"/>
  <c r="G280" i="150" s="1"/>
  <c r="J280" i="150" s="1"/>
  <c r="K252" i="150"/>
  <c r="M252" i="150" s="1"/>
  <c r="N252" i="150"/>
  <c r="J253" i="150"/>
  <c r="O253" i="150"/>
  <c r="G254" i="150" s="1"/>
  <c r="N279" i="150" l="1"/>
  <c r="J254" i="150"/>
  <c r="O254" i="150"/>
  <c r="G255" i="150" s="1"/>
  <c r="K253" i="150"/>
  <c r="M253" i="150" s="1"/>
  <c r="N253" i="150"/>
  <c r="K280" i="150"/>
  <c r="M280" i="150" s="1"/>
  <c r="O280" i="150"/>
  <c r="G281" i="150" s="1"/>
  <c r="J281" i="150" s="1"/>
  <c r="O281" i="150" l="1"/>
  <c r="G282" i="150" s="1"/>
  <c r="J282" i="150" s="1"/>
  <c r="K281" i="150"/>
  <c r="M281" i="150" s="1"/>
  <c r="K254" i="150"/>
  <c r="M254" i="150" s="1"/>
  <c r="N280" i="150"/>
  <c r="N254" i="150"/>
  <c r="O255" i="150"/>
  <c r="G256" i="150" s="1"/>
  <c r="J255" i="150"/>
  <c r="N281" i="150" l="1"/>
  <c r="K255" i="150"/>
  <c r="M255" i="150" s="1"/>
  <c r="O256" i="150"/>
  <c r="O258" i="150" s="1"/>
  <c r="J256" i="150"/>
  <c r="G258" i="150"/>
  <c r="N255" i="150"/>
  <c r="K282" i="150"/>
  <c r="M282" i="150" s="1"/>
  <c r="O282" i="150"/>
  <c r="K256" i="150" l="1"/>
  <c r="J258" i="150"/>
  <c r="N282" i="150"/>
  <c r="N256" i="150"/>
  <c r="N258" i="150" s="1"/>
  <c r="M256" i="150" l="1"/>
  <c r="M258" i="150" s="1"/>
  <c r="K258" i="150"/>
  <c r="O284" i="150" l="1"/>
  <c r="G284" i="150"/>
  <c r="J284" i="150" l="1"/>
  <c r="N284" i="150"/>
  <c r="M284" i="150" l="1"/>
  <c r="K284" i="150"/>
  <c r="K37" i="160" l="1"/>
  <c r="M37" i="160" l="1"/>
  <c r="O37" i="160" s="1"/>
  <c r="G38" i="160" s="1"/>
  <c r="H38" i="160" s="1"/>
  <c r="N38" i="160" l="1"/>
  <c r="K38" i="160" l="1"/>
  <c r="M38" i="160" l="1"/>
  <c r="O38" i="160" l="1"/>
  <c r="G39" i="160" s="1"/>
  <c r="H39" i="160" l="1"/>
  <c r="I58" i="160" l="1"/>
  <c r="I57" i="160"/>
  <c r="I39" i="160"/>
  <c r="I56" i="160"/>
  <c r="N39" i="160"/>
  <c r="H60" i="160"/>
  <c r="I47" i="160"/>
  <c r="I43" i="160"/>
  <c r="I55" i="160"/>
  <c r="I54" i="160"/>
  <c r="I48" i="160"/>
  <c r="I53" i="160"/>
  <c r="I44" i="160"/>
  <c r="I40" i="160"/>
  <c r="I42" i="160"/>
  <c r="I52" i="160"/>
  <c r="I50" i="160"/>
  <c r="I46" i="160"/>
  <c r="I45" i="160"/>
  <c r="I51" i="160"/>
  <c r="I49" i="160"/>
  <c r="I41" i="160"/>
  <c r="I60" i="160" l="1"/>
  <c r="K39" i="160"/>
  <c r="M39" i="160" l="1"/>
  <c r="O39" i="160" s="1"/>
  <c r="G40" i="160" s="1"/>
  <c r="J40" i="160" s="1"/>
  <c r="N40" i="160" s="1"/>
  <c r="K40" i="160" l="1"/>
  <c r="M40" i="160" l="1"/>
  <c r="O40" i="160" s="1"/>
  <c r="G41" i="160" s="1"/>
  <c r="J41" i="160" s="1"/>
  <c r="N41" i="160" s="1"/>
  <c r="K41" i="160" l="1"/>
  <c r="M41" i="160" l="1"/>
  <c r="O41" i="160" l="1"/>
  <c r="G42" i="160" s="1"/>
  <c r="J42" i="160" l="1"/>
  <c r="N42" i="160" s="1"/>
  <c r="K42" i="160" l="1"/>
  <c r="M42" i="160" l="1"/>
  <c r="O42" i="160" l="1"/>
  <c r="G43" i="160" s="1"/>
  <c r="J43" i="160" l="1"/>
  <c r="N43" i="160" s="1"/>
  <c r="K43" i="160" l="1"/>
  <c r="M43" i="160" l="1"/>
  <c r="O43" i="160" l="1"/>
  <c r="G44" i="160" s="1"/>
  <c r="J44" i="160" s="1"/>
  <c r="N44" i="160" l="1"/>
  <c r="K44" i="160"/>
  <c r="M44" i="160" l="1"/>
  <c r="O44" i="160" l="1"/>
  <c r="G45" i="160" s="1"/>
  <c r="J45" i="160" l="1"/>
  <c r="N45" i="160" s="1"/>
  <c r="K45" i="160" l="1"/>
  <c r="M45" i="160" l="1"/>
  <c r="O45" i="160" l="1"/>
  <c r="G46" i="160" s="1"/>
  <c r="J46" i="160" s="1"/>
  <c r="N46" i="160" l="1"/>
  <c r="K46" i="160"/>
  <c r="M46" i="160" l="1"/>
  <c r="O46" i="160" s="1"/>
  <c r="G47" i="160" s="1"/>
  <c r="J47" i="160" s="1"/>
  <c r="N47" i="160" l="1"/>
  <c r="K47" i="160"/>
  <c r="M47" i="160" l="1"/>
  <c r="O47" i="160" l="1"/>
  <c r="G48" i="160" s="1"/>
  <c r="J48" i="160" s="1"/>
  <c r="N48" i="160" l="1"/>
  <c r="K48" i="160"/>
  <c r="M48" i="160" l="1"/>
  <c r="O48" i="160" s="1"/>
  <c r="G49" i="160" s="1"/>
  <c r="J49" i="160" l="1"/>
  <c r="N49" i="160" s="1"/>
  <c r="K49" i="160" l="1"/>
  <c r="M49" i="160" l="1"/>
  <c r="O49" i="160" l="1"/>
  <c r="G50" i="160" s="1"/>
  <c r="J50" i="160" s="1"/>
  <c r="N50" i="160" l="1"/>
  <c r="K50" i="160"/>
  <c r="M50" i="160" l="1"/>
  <c r="O50" i="160" s="1"/>
  <c r="G51" i="160" s="1"/>
  <c r="J51" i="160" s="1"/>
  <c r="N51" i="160" l="1"/>
  <c r="K51" i="160"/>
  <c r="M51" i="160" l="1"/>
  <c r="O51" i="160" l="1"/>
  <c r="G52" i="160" s="1"/>
  <c r="J52" i="160" l="1"/>
  <c r="N52" i="160" s="1"/>
  <c r="K52" i="160" l="1"/>
  <c r="M52" i="160" l="1"/>
  <c r="O52" i="160" l="1"/>
  <c r="G53" i="160" s="1"/>
  <c r="J53" i="160" l="1"/>
  <c r="K53" i="160" l="1"/>
  <c r="N53" i="160"/>
  <c r="M53" i="160" l="1"/>
  <c r="O53" i="160" l="1"/>
  <c r="G54" i="160" s="1"/>
  <c r="J54" i="160" s="1"/>
  <c r="N54" i="160" l="1"/>
  <c r="K54" i="160"/>
  <c r="M54" i="160" l="1"/>
  <c r="O54" i="160" s="1"/>
  <c r="G55" i="160" s="1"/>
  <c r="J55" i="160" s="1"/>
  <c r="K55" i="160" l="1"/>
  <c r="N55" i="160"/>
  <c r="M55" i="160" l="1"/>
  <c r="O55" i="160" l="1"/>
  <c r="G56" i="160" s="1"/>
  <c r="J56" i="160" l="1"/>
  <c r="K56" i="160" s="1"/>
  <c r="M56" i="160" l="1"/>
  <c r="N56" i="160"/>
  <c r="O56" i="160" l="1"/>
  <c r="G57" i="160" s="1"/>
  <c r="J57" i="160" s="1"/>
  <c r="K57" i="160" s="1"/>
  <c r="M57" i="160" l="1"/>
  <c r="N57" i="160"/>
  <c r="O57" i="160" l="1"/>
  <c r="G58" i="160" s="1"/>
  <c r="G60" i="160" s="1"/>
  <c r="J58" i="160" l="1"/>
  <c r="J60" i="160" s="1"/>
  <c r="K58" i="160" l="1"/>
  <c r="N58" i="160"/>
  <c r="N60" i="160" s="1"/>
  <c r="C96" i="197" l="1"/>
  <c r="D95" i="197"/>
  <c r="E96" i="197"/>
  <c r="C95" i="197"/>
  <c r="B95" i="197"/>
  <c r="E95" i="197"/>
  <c r="B96" i="197"/>
  <c r="D96" i="197"/>
  <c r="M58" i="160"/>
  <c r="M60" i="160" s="1"/>
  <c r="K60" i="160"/>
  <c r="F95" i="197" l="1"/>
  <c r="F96" i="197"/>
  <c r="O58" i="160"/>
  <c r="O60" i="160" s="1"/>
  <c r="K32" i="171"/>
  <c r="M32" i="171" s="1"/>
  <c r="O32" i="171" l="1"/>
  <c r="G33" i="171" l="1"/>
  <c r="H33" i="171" s="1"/>
  <c r="I38" i="171" l="1"/>
  <c r="I44" i="171"/>
  <c r="I34" i="171"/>
  <c r="I51" i="171"/>
  <c r="I45" i="171"/>
  <c r="I40" i="171"/>
  <c r="I46" i="171"/>
  <c r="I35" i="171"/>
  <c r="I48" i="171"/>
  <c r="I41" i="171"/>
  <c r="I47" i="171"/>
  <c r="I36" i="171"/>
  <c r="I39" i="171"/>
  <c r="I50" i="171"/>
  <c r="H54" i="171"/>
  <c r="I43" i="171"/>
  <c r="I49" i="171"/>
  <c r="I37" i="171"/>
  <c r="I42" i="171"/>
  <c r="I52" i="171"/>
  <c r="I33" i="171"/>
  <c r="N33" i="171"/>
  <c r="I54" i="171" l="1"/>
  <c r="K33" i="171"/>
  <c r="M33" i="171" l="1"/>
  <c r="O33" i="171" l="1"/>
  <c r="G34" i="171" l="1"/>
  <c r="J34" i="171" l="1"/>
  <c r="N34" i="171" s="1"/>
  <c r="K34" i="171" l="1"/>
  <c r="M34" i="171" l="1"/>
  <c r="O34" i="171" l="1"/>
  <c r="G35" i="171" l="1"/>
  <c r="J35" i="171" l="1"/>
  <c r="K35" i="171" l="1"/>
  <c r="N35" i="171"/>
  <c r="M35" i="171" l="1"/>
  <c r="O35" i="171" l="1"/>
  <c r="G36" i="171" l="1"/>
  <c r="J36" i="171" l="1"/>
  <c r="N36" i="171" s="1"/>
  <c r="K36" i="171" l="1"/>
  <c r="M36" i="171" l="1"/>
  <c r="O36" i="171" s="1"/>
  <c r="G37" i="171" l="1"/>
  <c r="J37" i="171" l="1"/>
  <c r="N37" i="171" s="1"/>
  <c r="K37" i="171" l="1"/>
  <c r="M37" i="171" l="1"/>
  <c r="O37" i="171" s="1"/>
  <c r="G38" i="171" s="1"/>
  <c r="J38" i="171" s="1"/>
  <c r="K38" i="171" s="1"/>
  <c r="M38" i="171" l="1"/>
  <c r="N38" i="171"/>
  <c r="O38" i="171" l="1"/>
  <c r="G39" i="171" s="1"/>
  <c r="J39" i="171" s="1"/>
  <c r="K39" i="171" s="1"/>
  <c r="M39" i="171" l="1"/>
  <c r="N39" i="171"/>
  <c r="O39" i="171" l="1"/>
  <c r="G40" i="171" s="1"/>
  <c r="J40" i="171" s="1"/>
  <c r="K40" i="171" s="1"/>
  <c r="M40" i="171" l="1"/>
  <c r="N40" i="171"/>
  <c r="O40" i="171" l="1"/>
  <c r="G41" i="171" s="1"/>
  <c r="J41" i="171" s="1"/>
  <c r="K41" i="171" s="1"/>
  <c r="M41" i="171" l="1"/>
  <c r="N41" i="171"/>
  <c r="O41" i="171" l="1"/>
  <c r="G42" i="171" s="1"/>
  <c r="J42" i="171" s="1"/>
  <c r="K42" i="171" s="1"/>
  <c r="M42" i="171" l="1"/>
  <c r="N42" i="171"/>
  <c r="O42" i="171" l="1"/>
  <c r="G43" i="171" s="1"/>
  <c r="J43" i="171" s="1"/>
  <c r="K43" i="171" s="1"/>
  <c r="M43" i="171" l="1"/>
  <c r="N43" i="171"/>
  <c r="O43" i="171" l="1"/>
  <c r="G44" i="171" s="1"/>
  <c r="J44" i="171" s="1"/>
  <c r="K44" i="171" s="1"/>
  <c r="M44" i="171" l="1"/>
  <c r="N44" i="171"/>
  <c r="O44" i="171" l="1"/>
  <c r="G45" i="171" s="1"/>
  <c r="J45" i="171" s="1"/>
  <c r="K45" i="171" s="1"/>
  <c r="M45" i="171" l="1"/>
  <c r="N45" i="171"/>
  <c r="O45" i="171" l="1"/>
  <c r="G46" i="171" s="1"/>
  <c r="J46" i="171" s="1"/>
  <c r="K46" i="171" s="1"/>
  <c r="M46" i="171" l="1"/>
  <c r="N46" i="171"/>
  <c r="O46" i="171" l="1"/>
  <c r="G47" i="171" s="1"/>
  <c r="J47" i="171" s="1"/>
  <c r="K47" i="171" s="1"/>
  <c r="M47" i="171" l="1"/>
  <c r="N47" i="171"/>
  <c r="O47" i="171" l="1"/>
  <c r="G48" i="171" s="1"/>
  <c r="J48" i="171" s="1"/>
  <c r="K48" i="171" s="1"/>
  <c r="M48" i="171" l="1"/>
  <c r="N48" i="171"/>
  <c r="O48" i="171" l="1"/>
  <c r="G49" i="171" s="1"/>
  <c r="J49" i="171" s="1"/>
  <c r="K49" i="171" s="1"/>
  <c r="M49" i="171" l="1"/>
  <c r="N49" i="171"/>
  <c r="O49" i="171" l="1"/>
  <c r="G50" i="171" s="1"/>
  <c r="J50" i="171" s="1"/>
  <c r="K50" i="171" s="1"/>
  <c r="M50" i="171" l="1"/>
  <c r="N50" i="171"/>
  <c r="O50" i="171" l="1"/>
  <c r="G51" i="171" s="1"/>
  <c r="J51" i="171" s="1"/>
  <c r="K51" i="171" s="1"/>
  <c r="M51" i="171" l="1"/>
  <c r="N51" i="171"/>
  <c r="O51" i="171" l="1"/>
  <c r="G52" i="171" s="1"/>
  <c r="G54" i="171" s="1"/>
  <c r="J52" i="171" l="1"/>
  <c r="N52" i="171" s="1"/>
  <c r="N54" i="171" s="1"/>
  <c r="K52" i="171" l="1"/>
  <c r="J54" i="171"/>
  <c r="C14" i="197" l="1"/>
  <c r="C15" i="197"/>
  <c r="D15" i="197"/>
  <c r="E15" i="197"/>
  <c r="B14" i="197"/>
  <c r="E14" i="197"/>
  <c r="D14" i="197"/>
  <c r="B15" i="197"/>
  <c r="F15" i="197" s="1"/>
  <c r="K54" i="171"/>
  <c r="M52" i="171"/>
  <c r="O52" i="171" s="1"/>
  <c r="O54" i="171" s="1"/>
  <c r="F14" i="197" l="1"/>
  <c r="M54" i="171"/>
  <c r="S51" i="139"/>
  <c r="S53" i="139" s="1"/>
  <c r="K46" i="173" l="1"/>
  <c r="M46" i="173"/>
  <c r="O46" i="173" s="1"/>
  <c r="G47" i="173" s="1"/>
  <c r="T51" i="139" l="1"/>
  <c r="T53" i="139" s="1"/>
  <c r="U51" i="139"/>
  <c r="U53" i="139" s="1"/>
  <c r="N47" i="173"/>
  <c r="K47" i="173" l="1"/>
  <c r="M47" i="173" l="1"/>
  <c r="O47" i="173" l="1"/>
  <c r="G48" i="173" l="1"/>
  <c r="N48" i="173" l="1"/>
  <c r="K48" i="173"/>
  <c r="M48" i="173" l="1"/>
  <c r="O48" i="173" l="1"/>
  <c r="G49" i="173" l="1"/>
  <c r="I49" i="173" l="1"/>
  <c r="I52" i="173"/>
  <c r="I64" i="173"/>
  <c r="I56" i="173"/>
  <c r="I57" i="173"/>
  <c r="I50" i="173"/>
  <c r="I53" i="173"/>
  <c r="I62" i="173"/>
  <c r="I61" i="173"/>
  <c r="I60" i="173"/>
  <c r="I58" i="173"/>
  <c r="I55" i="173"/>
  <c r="I59" i="173"/>
  <c r="I54" i="173"/>
  <c r="I63" i="173"/>
  <c r="H67" i="173"/>
  <c r="I51" i="173"/>
  <c r="I65" i="173"/>
  <c r="J49" i="173"/>
  <c r="I67" i="173" l="1"/>
  <c r="K49" i="173"/>
  <c r="N49" i="173"/>
  <c r="M49" i="173" l="1"/>
  <c r="O49" i="173" l="1"/>
  <c r="G50" i="173" l="1"/>
  <c r="J50" i="173" l="1"/>
  <c r="K50" i="173" l="1"/>
  <c r="N50" i="173"/>
  <c r="M50" i="173" l="1"/>
  <c r="O50" i="173" s="1"/>
  <c r="G51" i="173" l="1"/>
  <c r="J51" i="173" l="1"/>
  <c r="K51" i="173" s="1"/>
  <c r="M51" i="173" l="1"/>
  <c r="N51" i="173"/>
  <c r="O51" i="173" l="1"/>
  <c r="G52" i="173" s="1"/>
  <c r="J52" i="173" l="1"/>
  <c r="K52" i="173" s="1"/>
  <c r="M52" i="173" l="1"/>
  <c r="N52" i="173"/>
  <c r="O52" i="173" l="1"/>
  <c r="G53" i="173" s="1"/>
  <c r="J53" i="173" s="1"/>
  <c r="K53" i="173" s="1"/>
  <c r="M53" i="173" s="1"/>
  <c r="N53" i="173" l="1"/>
  <c r="O53" i="173" s="1"/>
  <c r="G54" i="173" s="1"/>
  <c r="J54" i="173" s="1"/>
  <c r="K54" i="173" s="1"/>
  <c r="M54" i="173" l="1"/>
  <c r="N54" i="173"/>
  <c r="O54" i="173" l="1"/>
  <c r="G55" i="173" s="1"/>
  <c r="J55" i="173" l="1"/>
  <c r="K55" i="173" s="1"/>
  <c r="M55" i="173" l="1"/>
  <c r="N55" i="173"/>
  <c r="O55" i="173" l="1"/>
  <c r="G56" i="173" s="1"/>
  <c r="J56" i="173" s="1"/>
  <c r="K56" i="173" s="1"/>
  <c r="M56" i="173" l="1"/>
  <c r="N56" i="173"/>
  <c r="O56" i="173" l="1"/>
  <c r="G57" i="173" s="1"/>
  <c r="J57" i="173" s="1"/>
  <c r="K57" i="173" s="1"/>
  <c r="M57" i="173" l="1"/>
  <c r="N57" i="173"/>
  <c r="O57" i="173" l="1"/>
  <c r="G58" i="173" s="1"/>
  <c r="J58" i="173" s="1"/>
  <c r="K58" i="173" s="1"/>
  <c r="M58" i="173" l="1"/>
  <c r="N58" i="173"/>
  <c r="O58" i="173" l="1"/>
  <c r="G59" i="173" s="1"/>
  <c r="J59" i="173" s="1"/>
  <c r="K59" i="173" s="1"/>
  <c r="M59" i="173" l="1"/>
  <c r="N59" i="173"/>
  <c r="O59" i="173" l="1"/>
  <c r="G60" i="173" s="1"/>
  <c r="J60" i="173" s="1"/>
  <c r="K60" i="173" s="1"/>
  <c r="M60" i="173" l="1"/>
  <c r="N60" i="173"/>
  <c r="O60" i="173" l="1"/>
  <c r="G61" i="173" s="1"/>
  <c r="J61" i="173" s="1"/>
  <c r="K61" i="173" s="1"/>
  <c r="M61" i="173" l="1"/>
  <c r="N61" i="173"/>
  <c r="O61" i="173" l="1"/>
  <c r="G62" i="173" s="1"/>
  <c r="J62" i="173" s="1"/>
  <c r="K62" i="173" s="1"/>
  <c r="M62" i="173" l="1"/>
  <c r="N62" i="173"/>
  <c r="O62" i="173" l="1"/>
  <c r="G63" i="173" s="1"/>
  <c r="J63" i="173" s="1"/>
  <c r="K63" i="173" s="1"/>
  <c r="M63" i="173" l="1"/>
  <c r="N63" i="173"/>
  <c r="O63" i="173" l="1"/>
  <c r="G64" i="173" s="1"/>
  <c r="J64" i="173" s="1"/>
  <c r="N64" i="173" l="1"/>
  <c r="K64" i="173"/>
  <c r="S30" i="150"/>
  <c r="U30" i="150" s="1"/>
  <c r="K61" i="150"/>
  <c r="M61" i="150" s="1"/>
  <c r="O61" i="150"/>
  <c r="M64" i="173" l="1"/>
  <c r="O64" i="173" s="1"/>
  <c r="G65" i="173" s="1"/>
  <c r="G62" i="150"/>
  <c r="J65" i="173" l="1"/>
  <c r="N65" i="173" s="1"/>
  <c r="G67" i="173"/>
  <c r="H62" i="150"/>
  <c r="N67" i="173" l="1"/>
  <c r="K65" i="173"/>
  <c r="J67" i="173"/>
  <c r="T31" i="150"/>
  <c r="N62" i="150"/>
  <c r="C86" i="197" l="1"/>
  <c r="C87" i="197"/>
  <c r="D87" i="197"/>
  <c r="B87" i="197"/>
  <c r="B86" i="197"/>
  <c r="D86" i="197"/>
  <c r="E87" i="197"/>
  <c r="E86" i="197"/>
  <c r="M65" i="173"/>
  <c r="K67" i="173"/>
  <c r="S31" i="150"/>
  <c r="K62" i="150"/>
  <c r="O62" i="150"/>
  <c r="F86" i="197" l="1"/>
  <c r="F87" i="197"/>
  <c r="M67" i="173"/>
  <c r="O65" i="173"/>
  <c r="O67" i="173" s="1"/>
  <c r="U31" i="150"/>
  <c r="M62" i="150"/>
  <c r="G63" i="150"/>
  <c r="H63" i="150" s="1"/>
  <c r="I63" i="150" l="1"/>
  <c r="O63" i="150" s="1"/>
  <c r="H81" i="150"/>
  <c r="I69" i="150"/>
  <c r="S38" i="150" s="1"/>
  <c r="I75" i="150"/>
  <c r="S44" i="150" s="1"/>
  <c r="I64" i="150"/>
  <c r="S33" i="150" s="1"/>
  <c r="I70" i="150"/>
  <c r="S39" i="150" s="1"/>
  <c r="I66" i="150"/>
  <c r="S35" i="150" s="1"/>
  <c r="I77" i="150"/>
  <c r="S46" i="150" s="1"/>
  <c r="I67" i="150"/>
  <c r="S36" i="150" s="1"/>
  <c r="I71" i="150"/>
  <c r="S40" i="150" s="1"/>
  <c r="I74" i="150"/>
  <c r="S43" i="150" s="1"/>
  <c r="I78" i="150"/>
  <c r="S47" i="150" s="1"/>
  <c r="I68" i="150"/>
  <c r="S37" i="150" s="1"/>
  <c r="I72" i="150"/>
  <c r="S41" i="150" s="1"/>
  <c r="I65" i="150"/>
  <c r="S34" i="150" s="1"/>
  <c r="I76" i="150"/>
  <c r="S45" i="150" s="1"/>
  <c r="I79" i="150"/>
  <c r="S48" i="150" s="1"/>
  <c r="I73" i="150"/>
  <c r="S42" i="150" s="1"/>
  <c r="J63" i="150"/>
  <c r="S32" i="150" l="1"/>
  <c r="S50" i="150" s="1"/>
  <c r="I81" i="150"/>
  <c r="S51" i="150" s="1"/>
  <c r="G64" i="150"/>
  <c r="T32" i="150"/>
  <c r="K63" i="150"/>
  <c r="N63" i="150"/>
  <c r="S52" i="150" l="1"/>
  <c r="U32" i="150"/>
  <c r="M63" i="150"/>
  <c r="J64" i="150"/>
  <c r="O64" i="150"/>
  <c r="G65" i="150" l="1"/>
  <c r="T33" i="150"/>
  <c r="K64" i="150"/>
  <c r="N64" i="150"/>
  <c r="U33" i="150" l="1"/>
  <c r="M64" i="150"/>
  <c r="O65" i="150"/>
  <c r="G66" i="150" s="1"/>
  <c r="J65" i="150"/>
  <c r="N65" i="150" s="1"/>
  <c r="J66" i="150" l="1"/>
  <c r="O66" i="150"/>
  <c r="G67" i="150" s="1"/>
  <c r="T34" i="150"/>
  <c r="K65" i="150"/>
  <c r="J67" i="150" l="1"/>
  <c r="O67" i="150"/>
  <c r="G68" i="150" s="1"/>
  <c r="T35" i="150"/>
  <c r="U35" i="150" s="1"/>
  <c r="K66" i="150"/>
  <c r="M66" i="150" s="1"/>
  <c r="U34" i="150"/>
  <c r="N66" i="150"/>
  <c r="M65" i="150"/>
  <c r="J68" i="150" l="1"/>
  <c r="O68" i="150"/>
  <c r="G69" i="150" s="1"/>
  <c r="T36" i="150"/>
  <c r="U36" i="150" s="1"/>
  <c r="K67" i="150"/>
  <c r="M67" i="150" s="1"/>
  <c r="N67" i="150"/>
  <c r="T37" i="150" l="1"/>
  <c r="U37" i="150" s="1"/>
  <c r="K68" i="150"/>
  <c r="M68" i="150" s="1"/>
  <c r="O69" i="150"/>
  <c r="G70" i="150" s="1"/>
  <c r="J69" i="150"/>
  <c r="N68" i="150"/>
  <c r="T38" i="150" l="1"/>
  <c r="U38" i="150" s="1"/>
  <c r="K69" i="150"/>
  <c r="M69" i="150" s="1"/>
  <c r="J70" i="150"/>
  <c r="N70" i="150" s="1"/>
  <c r="O70" i="150"/>
  <c r="G71" i="150" s="1"/>
  <c r="N69" i="150"/>
  <c r="J71" i="150" l="1"/>
  <c r="O71" i="150"/>
  <c r="G72" i="150" s="1"/>
  <c r="T39" i="150"/>
  <c r="U39" i="150" s="1"/>
  <c r="K70" i="150"/>
  <c r="M70" i="150" s="1"/>
  <c r="T40" i="150" l="1"/>
  <c r="U40" i="150" s="1"/>
  <c r="K71" i="150"/>
  <c r="M71" i="150" s="1"/>
  <c r="N71" i="150"/>
  <c r="J72" i="150"/>
  <c r="O72" i="150"/>
  <c r="G73" i="150" s="1"/>
  <c r="T41" i="150" l="1"/>
  <c r="U41" i="150" s="1"/>
  <c r="K72" i="150"/>
  <c r="M72" i="150" s="1"/>
  <c r="N72" i="150"/>
  <c r="O73" i="150"/>
  <c r="G74" i="150" s="1"/>
  <c r="J73" i="150"/>
  <c r="J74" i="150" l="1"/>
  <c r="N74" i="150" s="1"/>
  <c r="O74" i="150"/>
  <c r="G75" i="150" s="1"/>
  <c r="T42" i="150"/>
  <c r="U42" i="150" s="1"/>
  <c r="K73" i="150"/>
  <c r="M73" i="150" s="1"/>
  <c r="N73" i="150"/>
  <c r="J75" i="150" l="1"/>
  <c r="N75" i="150" s="1"/>
  <c r="O75" i="150"/>
  <c r="G76" i="150" s="1"/>
  <c r="T43" i="150"/>
  <c r="U43" i="150" s="1"/>
  <c r="K74" i="150"/>
  <c r="M74" i="150" s="1"/>
  <c r="J76" i="150" l="1"/>
  <c r="O76" i="150"/>
  <c r="G77" i="150" s="1"/>
  <c r="T44" i="150"/>
  <c r="U44" i="150" s="1"/>
  <c r="K75" i="150"/>
  <c r="M75" i="150" s="1"/>
  <c r="J77" i="150" l="1"/>
  <c r="N77" i="150" s="1"/>
  <c r="O77" i="150"/>
  <c r="G78" i="150" s="1"/>
  <c r="T45" i="150"/>
  <c r="U45" i="150" s="1"/>
  <c r="K76" i="150"/>
  <c r="M76" i="150" s="1"/>
  <c r="N76" i="150"/>
  <c r="O78" i="150" l="1"/>
  <c r="G79" i="150" s="1"/>
  <c r="J78" i="150"/>
  <c r="T46" i="150"/>
  <c r="U46" i="150" s="1"/>
  <c r="K77" i="150"/>
  <c r="M77" i="150" s="1"/>
  <c r="T47" i="150" l="1"/>
  <c r="U47" i="150" s="1"/>
  <c r="K78" i="150"/>
  <c r="M78" i="150" s="1"/>
  <c r="N78" i="150"/>
  <c r="O79" i="150"/>
  <c r="O81" i="150" s="1"/>
  <c r="J79" i="150"/>
  <c r="N79" i="150" s="1"/>
  <c r="G81" i="150"/>
  <c r="N81" i="150" l="1"/>
  <c r="T48" i="150"/>
  <c r="K79" i="150"/>
  <c r="J81" i="150"/>
  <c r="T51" i="150" s="1"/>
  <c r="M79" i="150" l="1"/>
  <c r="M81" i="150" s="1"/>
  <c r="K81" i="150"/>
  <c r="U51" i="150" s="1"/>
  <c r="U48" i="150"/>
  <c r="T50" i="150"/>
  <c r="T52" i="150" s="1"/>
  <c r="B71" i="197" l="1"/>
  <c r="C70" i="197"/>
  <c r="D70" i="197"/>
  <c r="C71" i="197"/>
  <c r="E70" i="197"/>
  <c r="D71" i="197"/>
  <c r="B70" i="197"/>
  <c r="F70" i="197" s="1"/>
  <c r="E71" i="197"/>
  <c r="U50" i="150"/>
  <c r="U52" i="150" s="1"/>
  <c r="F71" i="197" l="1"/>
  <c r="I136" i="143"/>
  <c r="S34" i="143" s="1"/>
  <c r="H156" i="143"/>
  <c r="I135" i="143"/>
  <c r="O393" i="143"/>
  <c r="K135" i="143" l="1"/>
  <c r="G394" i="143"/>
  <c r="O135" i="143"/>
  <c r="G136" i="143" s="1"/>
  <c r="I156" i="143"/>
  <c r="I411" i="143"/>
  <c r="K393" i="143"/>
  <c r="M135" i="143" l="1"/>
  <c r="J394" i="143"/>
  <c r="O394" i="143"/>
  <c r="J136" i="143"/>
  <c r="O136" i="143"/>
  <c r="M393" i="143"/>
  <c r="I189" i="143"/>
  <c r="O168" i="143"/>
  <c r="K168" i="143"/>
  <c r="N136" i="143" l="1"/>
  <c r="G395" i="143"/>
  <c r="N394" i="143"/>
  <c r="K394" i="143"/>
  <c r="G169" i="143"/>
  <c r="K136" i="143"/>
  <c r="M168" i="143"/>
  <c r="G137" i="143"/>
  <c r="J395" i="143" l="1"/>
  <c r="O395" i="143"/>
  <c r="M394" i="143"/>
  <c r="J169" i="143"/>
  <c r="O169" i="143"/>
  <c r="J137" i="143"/>
  <c r="O137" i="143"/>
  <c r="M136" i="143"/>
  <c r="N169" i="143" l="1"/>
  <c r="G396" i="143"/>
  <c r="O396" i="143" s="1"/>
  <c r="G397" i="143" s="1"/>
  <c r="K395" i="143"/>
  <c r="M395" i="143" s="1"/>
  <c r="N395" i="143"/>
  <c r="G170" i="143"/>
  <c r="K137" i="143"/>
  <c r="K169" i="143"/>
  <c r="G138" i="143"/>
  <c r="N137" i="143"/>
  <c r="J396" i="143" l="1"/>
  <c r="K396" i="143" s="1"/>
  <c r="M396" i="143" s="1"/>
  <c r="J397" i="143"/>
  <c r="O397" i="143"/>
  <c r="G398" i="143" s="1"/>
  <c r="J170" i="143"/>
  <c r="O170" i="143"/>
  <c r="J138" i="143"/>
  <c r="O138" i="143"/>
  <c r="M137" i="143"/>
  <c r="M169" i="143"/>
  <c r="N170" i="143" l="1"/>
  <c r="N138" i="143"/>
  <c r="N396" i="143"/>
  <c r="K397" i="143"/>
  <c r="N397" i="143"/>
  <c r="J398" i="143"/>
  <c r="K398" i="143" s="1"/>
  <c r="M398" i="143" s="1"/>
  <c r="O398" i="143"/>
  <c r="G171" i="143"/>
  <c r="K170" i="143"/>
  <c r="K138" i="143"/>
  <c r="G139" i="143"/>
  <c r="M397" i="143" l="1"/>
  <c r="G399" i="143"/>
  <c r="O399" i="143" s="1"/>
  <c r="G400" i="143" s="1"/>
  <c r="N398" i="143"/>
  <c r="O171" i="143"/>
  <c r="J171" i="143"/>
  <c r="M170" i="143"/>
  <c r="J139" i="143"/>
  <c r="O139" i="143"/>
  <c r="M138" i="143"/>
  <c r="N139" i="143" l="1"/>
  <c r="J399" i="143"/>
  <c r="K399" i="143" s="1"/>
  <c r="J400" i="143"/>
  <c r="K400" i="143" s="1"/>
  <c r="M400" i="143" s="1"/>
  <c r="O400" i="143"/>
  <c r="G401" i="143" s="1"/>
  <c r="K171" i="143"/>
  <c r="N171" i="143"/>
  <c r="G172" i="143"/>
  <c r="G140" i="143"/>
  <c r="K139" i="143"/>
  <c r="N399" i="143" l="1"/>
  <c r="M399" i="143"/>
  <c r="N400" i="143"/>
  <c r="J401" i="143"/>
  <c r="K401" i="143" s="1"/>
  <c r="M401" i="143" s="1"/>
  <c r="O401" i="143"/>
  <c r="G402" i="143" s="1"/>
  <c r="M171" i="143"/>
  <c r="J172" i="143"/>
  <c r="O172" i="143"/>
  <c r="M139" i="143"/>
  <c r="J140" i="143"/>
  <c r="O140" i="143"/>
  <c r="G141" i="143" s="1"/>
  <c r="N140" i="143" l="1"/>
  <c r="N401" i="143"/>
  <c r="J402" i="143"/>
  <c r="O402" i="143"/>
  <c r="G403" i="143" s="1"/>
  <c r="G173" i="143"/>
  <c r="K172" i="143"/>
  <c r="N172" i="143"/>
  <c r="J141" i="143"/>
  <c r="O141" i="143"/>
  <c r="G142" i="143" s="1"/>
  <c r="K140" i="143"/>
  <c r="M140" i="143" l="1"/>
  <c r="K141" i="143"/>
  <c r="J403" i="143"/>
  <c r="K403" i="143" s="1"/>
  <c r="M403" i="143" s="1"/>
  <c r="O403" i="143"/>
  <c r="G404" i="143" s="1"/>
  <c r="K402" i="143"/>
  <c r="N402" i="143"/>
  <c r="M172" i="143"/>
  <c r="O173" i="143"/>
  <c r="J173" i="143"/>
  <c r="N141" i="143"/>
  <c r="J142" i="143"/>
  <c r="O142" i="143"/>
  <c r="G143" i="143" s="1"/>
  <c r="N173" i="143" l="1"/>
  <c r="M141" i="143"/>
  <c r="K142" i="143"/>
  <c r="N403" i="143"/>
  <c r="M402" i="143"/>
  <c r="J404" i="143"/>
  <c r="O404" i="143"/>
  <c r="G405" i="143" s="1"/>
  <c r="G174" i="143"/>
  <c r="K173" i="143"/>
  <c r="J143" i="143"/>
  <c r="O143" i="143"/>
  <c r="G144" i="143" s="1"/>
  <c r="N142" i="143"/>
  <c r="M142" i="143" l="1"/>
  <c r="K143" i="143"/>
  <c r="J405" i="143"/>
  <c r="K405" i="143" s="1"/>
  <c r="M405" i="143" s="1"/>
  <c r="O405" i="143"/>
  <c r="G406" i="143" s="1"/>
  <c r="K404" i="143"/>
  <c r="M404" i="143" s="1"/>
  <c r="N404" i="143"/>
  <c r="M173" i="143"/>
  <c r="J174" i="143"/>
  <c r="O174" i="143"/>
  <c r="J144" i="143"/>
  <c r="O144" i="143"/>
  <c r="G145" i="143" s="1"/>
  <c r="N143" i="143"/>
  <c r="M143" i="143" l="1"/>
  <c r="K144" i="143"/>
  <c r="N405" i="143"/>
  <c r="J406" i="143"/>
  <c r="K406" i="143" s="1"/>
  <c r="M406" i="143" s="1"/>
  <c r="O406" i="143"/>
  <c r="G407" i="143" s="1"/>
  <c r="K174" i="143"/>
  <c r="G175" i="143"/>
  <c r="N174" i="143"/>
  <c r="J145" i="143"/>
  <c r="O145" i="143"/>
  <c r="G146" i="143" s="1"/>
  <c r="N144" i="143"/>
  <c r="M144" i="143" l="1"/>
  <c r="K145" i="143"/>
  <c r="N406" i="143"/>
  <c r="J407" i="143"/>
  <c r="K407" i="143" s="1"/>
  <c r="M407" i="143" s="1"/>
  <c r="O407" i="143"/>
  <c r="G408" i="143" s="1"/>
  <c r="N145" i="143"/>
  <c r="O175" i="143"/>
  <c r="G176" i="143" s="1"/>
  <c r="J175" i="143"/>
  <c r="M174" i="143"/>
  <c r="J146" i="143"/>
  <c r="O146" i="143"/>
  <c r="G147" i="143" s="1"/>
  <c r="N175" i="143" l="1"/>
  <c r="M145" i="143"/>
  <c r="K146" i="143"/>
  <c r="N407" i="143"/>
  <c r="J408" i="143"/>
  <c r="K408" i="143" s="1"/>
  <c r="M408" i="143" s="1"/>
  <c r="O408" i="143"/>
  <c r="G409" i="143" s="1"/>
  <c r="G411" i="143" s="1"/>
  <c r="K175" i="143"/>
  <c r="O176" i="143"/>
  <c r="G177" i="143" s="1"/>
  <c r="J176" i="143"/>
  <c r="J147" i="143"/>
  <c r="O147" i="143"/>
  <c r="G148" i="143" s="1"/>
  <c r="N146" i="143"/>
  <c r="K176" i="143" l="1"/>
  <c r="K147" i="143"/>
  <c r="M146" i="143"/>
  <c r="N408" i="143"/>
  <c r="J409" i="143"/>
  <c r="O409" i="143"/>
  <c r="O411" i="143" s="1"/>
  <c r="O177" i="143"/>
  <c r="G178" i="143" s="1"/>
  <c r="J177" i="143"/>
  <c r="N176" i="143"/>
  <c r="M175" i="143"/>
  <c r="N147" i="143"/>
  <c r="J148" i="143"/>
  <c r="O148" i="143"/>
  <c r="G149" i="143" s="1"/>
  <c r="K177" i="143" l="1"/>
  <c r="K148" i="143"/>
  <c r="M147" i="143"/>
  <c r="M176" i="143"/>
  <c r="K409" i="143"/>
  <c r="J411" i="143"/>
  <c r="N409" i="143"/>
  <c r="N411" i="143" s="1"/>
  <c r="N177" i="143"/>
  <c r="O178" i="143"/>
  <c r="G179" i="143" s="1"/>
  <c r="J178" i="143"/>
  <c r="J149" i="143"/>
  <c r="O149" i="143"/>
  <c r="G150" i="143" s="1"/>
  <c r="N148" i="143"/>
  <c r="K149" i="143" l="1"/>
  <c r="M148" i="143"/>
  <c r="K178" i="143"/>
  <c r="M177" i="143"/>
  <c r="M409" i="143"/>
  <c r="M411" i="143" s="1"/>
  <c r="K411" i="143"/>
  <c r="N178" i="143"/>
  <c r="O179" i="143"/>
  <c r="G180" i="143" s="1"/>
  <c r="J179" i="143"/>
  <c r="N149" i="143"/>
  <c r="O150" i="143"/>
  <c r="G151" i="143" s="1"/>
  <c r="J150" i="143"/>
  <c r="K150" i="143" l="1"/>
  <c r="K179" i="143"/>
  <c r="M178" i="143"/>
  <c r="M149" i="143"/>
  <c r="N179" i="143"/>
  <c r="J180" i="143"/>
  <c r="O180" i="143"/>
  <c r="G181" i="143" s="1"/>
  <c r="J151" i="143"/>
  <c r="O151" i="143"/>
  <c r="G152" i="143" s="1"/>
  <c r="N150" i="143"/>
  <c r="M179" i="143" l="1"/>
  <c r="K180" i="143"/>
  <c r="K151" i="143"/>
  <c r="M150" i="143"/>
  <c r="N151" i="143"/>
  <c r="N180" i="143"/>
  <c r="J181" i="143"/>
  <c r="O181" i="143"/>
  <c r="G182" i="143" s="1"/>
  <c r="O152" i="143"/>
  <c r="J152" i="143"/>
  <c r="K181" i="143" l="1"/>
  <c r="M180" i="143"/>
  <c r="N152" i="143"/>
  <c r="M151" i="143"/>
  <c r="N181" i="143"/>
  <c r="O182" i="143"/>
  <c r="G183" i="143" s="1"/>
  <c r="J182" i="143"/>
  <c r="G153" i="143"/>
  <c r="K152" i="143"/>
  <c r="K182" i="143" l="1"/>
  <c r="M181" i="143"/>
  <c r="N182" i="143"/>
  <c r="O183" i="143"/>
  <c r="G184" i="143" s="1"/>
  <c r="J183" i="143"/>
  <c r="O153" i="143"/>
  <c r="J153" i="143"/>
  <c r="M152" i="143"/>
  <c r="K183" i="143" l="1"/>
  <c r="M182" i="143"/>
  <c r="N183" i="143"/>
  <c r="O184" i="143"/>
  <c r="J184" i="143"/>
  <c r="K153" i="143"/>
  <c r="N153" i="143"/>
  <c r="G154" i="143"/>
  <c r="M183" i="143" l="1"/>
  <c r="G185" i="143"/>
  <c r="K184" i="143"/>
  <c r="N184" i="143"/>
  <c r="O154" i="143"/>
  <c r="O156" i="143" s="1"/>
  <c r="J154" i="143"/>
  <c r="G156" i="143"/>
  <c r="M153" i="143"/>
  <c r="O185" i="143" l="1"/>
  <c r="J185" i="143"/>
  <c r="M184" i="143"/>
  <c r="K154" i="143"/>
  <c r="J156" i="143"/>
  <c r="N154" i="143"/>
  <c r="N156" i="143" s="1"/>
  <c r="K185" i="143" l="1"/>
  <c r="N185" i="143"/>
  <c r="G186" i="143"/>
  <c r="M154" i="143"/>
  <c r="M156" i="143" s="1"/>
  <c r="K156" i="143"/>
  <c r="O186" i="143" l="1"/>
  <c r="J186" i="143"/>
  <c r="M185" i="143"/>
  <c r="N186" i="143" l="1"/>
  <c r="G187" i="143"/>
  <c r="K186" i="143"/>
  <c r="J187" i="143" l="1"/>
  <c r="O187" i="143"/>
  <c r="O189" i="143" s="1"/>
  <c r="G189" i="143"/>
  <c r="M186" i="143"/>
  <c r="K187" i="143" l="1"/>
  <c r="J189" i="143"/>
  <c r="N187" i="143"/>
  <c r="N189" i="143" s="1"/>
  <c r="M187" i="143" l="1"/>
  <c r="K189" i="143"/>
  <c r="H348" i="143"/>
  <c r="I327" i="143"/>
  <c r="I348" i="143" l="1"/>
  <c r="M189" i="143"/>
  <c r="V54" i="143"/>
  <c r="V56" i="143" s="1"/>
  <c r="O327" i="143"/>
  <c r="G328" i="143" s="1"/>
  <c r="K327" i="143"/>
  <c r="M327" i="143" l="1"/>
  <c r="O328" i="143"/>
  <c r="J328" i="143"/>
  <c r="G329" i="143" l="1"/>
  <c r="J329" i="143" s="1"/>
  <c r="K328" i="143"/>
  <c r="N328" i="143"/>
  <c r="K329" i="143" l="1"/>
  <c r="O329" i="143"/>
  <c r="G330" i="143" s="1"/>
  <c r="O330" i="143" s="1"/>
  <c r="G331" i="143" s="1"/>
  <c r="M328" i="143"/>
  <c r="N329" i="143"/>
  <c r="M329" i="143" l="1"/>
  <c r="J330" i="143"/>
  <c r="O331" i="143"/>
  <c r="G332" i="143" s="1"/>
  <c r="J331" i="143"/>
  <c r="K330" i="143" l="1"/>
  <c r="K331" i="143"/>
  <c r="N330" i="143"/>
  <c r="N331" i="143"/>
  <c r="O332" i="143"/>
  <c r="J332" i="143"/>
  <c r="M331" i="143" l="1"/>
  <c r="K332" i="143"/>
  <c r="M330" i="143"/>
  <c r="G333" i="143"/>
  <c r="J333" i="143" s="1"/>
  <c r="N332" i="143"/>
  <c r="M332" i="143" l="1"/>
  <c r="O333" i="143"/>
  <c r="G334" i="143" s="1"/>
  <c r="O334" i="143" s="1"/>
  <c r="G335" i="143" s="1"/>
  <c r="K333" i="143"/>
  <c r="N333" i="143"/>
  <c r="J334" i="143" l="1"/>
  <c r="M333" i="143"/>
  <c r="J335" i="143"/>
  <c r="O335" i="143"/>
  <c r="G336" i="143" s="1"/>
  <c r="K335" i="143" l="1"/>
  <c r="K334" i="143"/>
  <c r="N334" i="143"/>
  <c r="N335" i="143"/>
  <c r="O336" i="143"/>
  <c r="G337" i="143" s="1"/>
  <c r="J336" i="143"/>
  <c r="M334" i="143" l="1"/>
  <c r="K336" i="143"/>
  <c r="M335" i="143"/>
  <c r="N336" i="143"/>
  <c r="J337" i="143"/>
  <c r="O337" i="143"/>
  <c r="G338" i="143" s="1"/>
  <c r="M336" i="143" l="1"/>
  <c r="K337" i="143"/>
  <c r="J338" i="143"/>
  <c r="O338" i="143"/>
  <c r="G339" i="143" s="1"/>
  <c r="N337" i="143"/>
  <c r="M337" i="143" l="1"/>
  <c r="K338" i="143"/>
  <c r="J339" i="143"/>
  <c r="O339" i="143"/>
  <c r="G340" i="143" s="1"/>
  <c r="N338" i="143"/>
  <c r="M338" i="143" l="1"/>
  <c r="K339" i="143"/>
  <c r="N339" i="143"/>
  <c r="O340" i="143"/>
  <c r="G341" i="143" s="1"/>
  <c r="J340" i="143"/>
  <c r="M339" i="143" l="1"/>
  <c r="K340" i="143"/>
  <c r="N340" i="143"/>
  <c r="J341" i="143"/>
  <c r="O341" i="143"/>
  <c r="G342" i="143" s="1"/>
  <c r="K341" i="143" l="1"/>
  <c r="M340" i="143"/>
  <c r="N341" i="143"/>
  <c r="O342" i="143"/>
  <c r="G343" i="143" s="1"/>
  <c r="J342" i="143"/>
  <c r="K342" i="143" l="1"/>
  <c r="M341" i="143"/>
  <c r="J343" i="143"/>
  <c r="O343" i="143"/>
  <c r="G344" i="143" s="1"/>
  <c r="N342" i="143"/>
  <c r="K343" i="143" l="1"/>
  <c r="M342" i="143"/>
  <c r="N343" i="143"/>
  <c r="J344" i="143"/>
  <c r="O344" i="143"/>
  <c r="G345" i="143" s="1"/>
  <c r="K344" i="143" l="1"/>
  <c r="M343" i="143"/>
  <c r="J345" i="143"/>
  <c r="O345" i="143"/>
  <c r="G346" i="143" s="1"/>
  <c r="G348" i="143" s="1"/>
  <c r="N344" i="143"/>
  <c r="K345" i="143" l="1"/>
  <c r="M344" i="143"/>
  <c r="O346" i="143"/>
  <c r="O348" i="143" s="1"/>
  <c r="J346" i="143"/>
  <c r="N345" i="143"/>
  <c r="M345" i="143" l="1"/>
  <c r="K346" i="143"/>
  <c r="J348" i="143"/>
  <c r="N346" i="143"/>
  <c r="N348" i="143" s="1"/>
  <c r="M346" i="143" l="1"/>
  <c r="M348" i="143" s="1"/>
  <c r="K348" i="143"/>
  <c r="H441" i="143"/>
  <c r="I420" i="143"/>
  <c r="I441" i="143" l="1"/>
  <c r="K420" i="143"/>
  <c r="O420" i="143"/>
  <c r="G421" i="143" s="1"/>
  <c r="J421" i="143" s="1"/>
  <c r="M420" i="143" l="1"/>
  <c r="K421" i="143"/>
  <c r="O421" i="143"/>
  <c r="N421" i="143"/>
  <c r="M421" i="143" l="1"/>
  <c r="G422" i="143"/>
  <c r="J422" i="143" s="1"/>
  <c r="K422" i="143" l="1"/>
  <c r="N422" i="143"/>
  <c r="O422" i="143"/>
  <c r="M422" i="143" l="1"/>
  <c r="G423" i="143"/>
  <c r="O423" i="143" l="1"/>
  <c r="J423" i="143"/>
  <c r="N423" i="143" l="1"/>
  <c r="K423" i="143"/>
  <c r="G424" i="143"/>
  <c r="J424" i="143" l="1"/>
  <c r="O424" i="143"/>
  <c r="M423" i="143"/>
  <c r="G425" i="143" l="1"/>
  <c r="J425" i="143" s="1"/>
  <c r="K424" i="143"/>
  <c r="N424" i="143"/>
  <c r="K425" i="143" l="1"/>
  <c r="O425" i="143"/>
  <c r="G426" i="143" s="1"/>
  <c r="J426" i="143" s="1"/>
  <c r="M424" i="143"/>
  <c r="N425" i="143"/>
  <c r="K426" i="143" l="1"/>
  <c r="M425" i="143"/>
  <c r="O426" i="143"/>
  <c r="G427" i="143" s="1"/>
  <c r="O427" i="143" s="1"/>
  <c r="G428" i="143" s="1"/>
  <c r="N426" i="143"/>
  <c r="M426" i="143" l="1"/>
  <c r="J427" i="143"/>
  <c r="O428" i="143"/>
  <c r="G429" i="143" s="1"/>
  <c r="J428" i="143"/>
  <c r="K427" i="143" l="1"/>
  <c r="K428" i="143"/>
  <c r="N427" i="143"/>
  <c r="O429" i="143"/>
  <c r="G430" i="143" s="1"/>
  <c r="J429" i="143"/>
  <c r="N428" i="143"/>
  <c r="K429" i="143" l="1"/>
  <c r="M429" i="143" s="1"/>
  <c r="M428" i="143"/>
  <c r="M427" i="143"/>
  <c r="N429" i="143"/>
  <c r="J430" i="143"/>
  <c r="O430" i="143"/>
  <c r="K430" i="143" l="1"/>
  <c r="G431" i="143"/>
  <c r="J431" i="143" s="1"/>
  <c r="N430" i="143"/>
  <c r="K431" i="143" l="1"/>
  <c r="M431" i="143" s="1"/>
  <c r="M430" i="143"/>
  <c r="O431" i="143"/>
  <c r="G432" i="143" s="1"/>
  <c r="J432" i="143" s="1"/>
  <c r="N431" i="143"/>
  <c r="K432" i="143" l="1"/>
  <c r="O432" i="143"/>
  <c r="G433" i="143" s="1"/>
  <c r="O433" i="143" s="1"/>
  <c r="G434" i="143" s="1"/>
  <c r="N432" i="143"/>
  <c r="M432" i="143" l="1"/>
  <c r="J433" i="143"/>
  <c r="O434" i="143"/>
  <c r="G435" i="143" s="1"/>
  <c r="J434" i="143"/>
  <c r="K433" i="143" l="1"/>
  <c r="K434" i="143"/>
  <c r="N433" i="143"/>
  <c r="N434" i="143"/>
  <c r="J435" i="143"/>
  <c r="O435" i="143"/>
  <c r="G436" i="143" s="1"/>
  <c r="K435" i="143" l="1"/>
  <c r="M434" i="143"/>
  <c r="M433" i="143"/>
  <c r="N435" i="143"/>
  <c r="O436" i="143"/>
  <c r="G437" i="143" s="1"/>
  <c r="J436" i="143"/>
  <c r="K436" i="143" l="1"/>
  <c r="M435" i="143"/>
  <c r="N436" i="143"/>
  <c r="O437" i="143"/>
  <c r="G438" i="143" s="1"/>
  <c r="J437" i="143"/>
  <c r="K437" i="143" l="1"/>
  <c r="M436" i="143"/>
  <c r="O438" i="143"/>
  <c r="G439" i="143" s="1"/>
  <c r="G441" i="143" s="1"/>
  <c r="J438" i="143"/>
  <c r="N437" i="143"/>
  <c r="K438" i="143" l="1"/>
  <c r="M437" i="143"/>
  <c r="J439" i="143"/>
  <c r="O439" i="143"/>
  <c r="O441" i="143" s="1"/>
  <c r="N438" i="143"/>
  <c r="M438" i="143" l="1"/>
  <c r="K439" i="143"/>
  <c r="J441" i="143"/>
  <c r="N439" i="143"/>
  <c r="N441" i="143" s="1"/>
  <c r="M439" i="143" l="1"/>
  <c r="M441" i="143" s="1"/>
  <c r="K441" i="143"/>
  <c r="H530" i="143"/>
  <c r="I509" i="143"/>
  <c r="K509" i="143" l="1"/>
  <c r="U33" i="143" s="1"/>
  <c r="S33" i="143"/>
  <c r="O509" i="143"/>
  <c r="G510" i="143" s="1"/>
  <c r="O510" i="143" s="1"/>
  <c r="G511" i="143" s="1"/>
  <c r="I530" i="143"/>
  <c r="S54" i="143" l="1"/>
  <c r="S55" i="143"/>
  <c r="M509" i="143"/>
  <c r="J510" i="143"/>
  <c r="J511" i="143"/>
  <c r="O511" i="143"/>
  <c r="G512" i="143" s="1"/>
  <c r="S56" i="143" l="1"/>
  <c r="K510" i="143"/>
  <c r="U34" i="143" s="1"/>
  <c r="T34" i="143"/>
  <c r="K511" i="143"/>
  <c r="T35" i="143"/>
  <c r="N510" i="143"/>
  <c r="N511" i="143"/>
  <c r="J512" i="143"/>
  <c r="O512" i="143"/>
  <c r="G513" i="143" s="1"/>
  <c r="M510" i="143" l="1"/>
  <c r="K512" i="143"/>
  <c r="T36" i="143"/>
  <c r="M511" i="143"/>
  <c r="U35" i="143"/>
  <c r="N512" i="143"/>
  <c r="O513" i="143"/>
  <c r="J513" i="143"/>
  <c r="K513" i="143" l="1"/>
  <c r="T37" i="143"/>
  <c r="M512" i="143"/>
  <c r="U36" i="143"/>
  <c r="G514" i="143"/>
  <c r="O514" i="143" s="1"/>
  <c r="N513" i="143"/>
  <c r="M513" i="143" l="1"/>
  <c r="U37" i="143"/>
  <c r="J514" i="143"/>
  <c r="G515" i="143"/>
  <c r="J515" i="143" s="1"/>
  <c r="K515" i="143" l="1"/>
  <c r="T39" i="143"/>
  <c r="K514" i="143"/>
  <c r="T38" i="143"/>
  <c r="N514" i="143"/>
  <c r="O515" i="143"/>
  <c r="G516" i="143" s="1"/>
  <c r="J516" i="143" s="1"/>
  <c r="N515" i="143"/>
  <c r="M515" i="143" l="1"/>
  <c r="U39" i="143"/>
  <c r="M514" i="143"/>
  <c r="U38" i="143"/>
  <c r="K516" i="143"/>
  <c r="T40" i="143"/>
  <c r="O516" i="143"/>
  <c r="G517" i="143" s="1"/>
  <c r="O517" i="143" s="1"/>
  <c r="G518" i="143" s="1"/>
  <c r="N516" i="143"/>
  <c r="M516" i="143" l="1"/>
  <c r="U40" i="143"/>
  <c r="J517" i="143"/>
  <c r="J518" i="143"/>
  <c r="O518" i="143"/>
  <c r="G519" i="143" s="1"/>
  <c r="K518" i="143" l="1"/>
  <c r="T42" i="143"/>
  <c r="K517" i="143"/>
  <c r="T41" i="143"/>
  <c r="N517" i="143"/>
  <c r="O519" i="143"/>
  <c r="G520" i="143" s="1"/>
  <c r="J519" i="143"/>
  <c r="N518" i="143"/>
  <c r="K519" i="143" l="1"/>
  <c r="T43" i="143"/>
  <c r="M517" i="143"/>
  <c r="U41" i="143"/>
  <c r="M518" i="143"/>
  <c r="U42" i="143"/>
  <c r="B83" i="197" s="1"/>
  <c r="O520" i="143"/>
  <c r="G521" i="143" s="1"/>
  <c r="J520" i="143"/>
  <c r="N519" i="143"/>
  <c r="K520" i="143" l="1"/>
  <c r="T44" i="143"/>
  <c r="M519" i="143"/>
  <c r="U43" i="143"/>
  <c r="C83" i="197" s="1"/>
  <c r="N520" i="143"/>
  <c r="O521" i="143"/>
  <c r="G522" i="143" s="1"/>
  <c r="J521" i="143"/>
  <c r="K521" i="143" l="1"/>
  <c r="T45" i="143"/>
  <c r="M520" i="143"/>
  <c r="U44" i="143"/>
  <c r="D83" i="197" s="1"/>
  <c r="N521" i="143"/>
  <c r="J522" i="143"/>
  <c r="O522" i="143"/>
  <c r="G523" i="143" s="1"/>
  <c r="K522" i="143" l="1"/>
  <c r="T46" i="143"/>
  <c r="M521" i="143"/>
  <c r="U45" i="143"/>
  <c r="E83" i="197" s="1"/>
  <c r="F83" i="197" s="1"/>
  <c r="J523" i="143"/>
  <c r="O523" i="143"/>
  <c r="G524" i="143" s="1"/>
  <c r="N522" i="143"/>
  <c r="K523" i="143" l="1"/>
  <c r="T47" i="143"/>
  <c r="M522" i="143"/>
  <c r="U46" i="143"/>
  <c r="N523" i="143"/>
  <c r="O524" i="143"/>
  <c r="G525" i="143" s="1"/>
  <c r="J524" i="143"/>
  <c r="K524" i="143" l="1"/>
  <c r="T48" i="143"/>
  <c r="M523" i="143"/>
  <c r="U47" i="143"/>
  <c r="N524" i="143"/>
  <c r="O525" i="143"/>
  <c r="G526" i="143" s="1"/>
  <c r="J525" i="143"/>
  <c r="K525" i="143" l="1"/>
  <c r="T49" i="143"/>
  <c r="M524" i="143"/>
  <c r="U48" i="143"/>
  <c r="O526" i="143"/>
  <c r="G527" i="143" s="1"/>
  <c r="J526" i="143"/>
  <c r="N525" i="143"/>
  <c r="K526" i="143" l="1"/>
  <c r="T50" i="143"/>
  <c r="M525" i="143"/>
  <c r="U49" i="143"/>
  <c r="N526" i="143"/>
  <c r="O527" i="143"/>
  <c r="G528" i="143" s="1"/>
  <c r="G530" i="143" s="1"/>
  <c r="J527" i="143"/>
  <c r="K527" i="143" l="1"/>
  <c r="T51" i="143"/>
  <c r="M526" i="143"/>
  <c r="U50" i="143"/>
  <c r="J528" i="143"/>
  <c r="T52" i="143" s="1"/>
  <c r="O528" i="143"/>
  <c r="O530" i="143" s="1"/>
  <c r="N527" i="143"/>
  <c r="M527" i="143" l="1"/>
  <c r="U51" i="143"/>
  <c r="K528" i="143"/>
  <c r="U52" i="143" s="1"/>
  <c r="J530" i="143"/>
  <c r="N528" i="143"/>
  <c r="N530" i="143" s="1"/>
  <c r="T54" i="143" l="1"/>
  <c r="T55" i="143"/>
  <c r="M528" i="143"/>
  <c r="M530" i="143" s="1"/>
  <c r="K530" i="143"/>
  <c r="U54" i="143" l="1"/>
  <c r="U55" i="143"/>
  <c r="T56" i="143"/>
  <c r="U56" i="143" l="1"/>
  <c r="O48" i="172"/>
  <c r="G49" i="172" s="1"/>
  <c r="J49" i="172" l="1"/>
  <c r="N49" i="172" l="1"/>
  <c r="I49" i="172"/>
  <c r="I54" i="172"/>
  <c r="I56" i="172"/>
  <c r="I58" i="172"/>
  <c r="I52" i="172"/>
  <c r="I53" i="172"/>
  <c r="I55" i="172"/>
  <c r="I57" i="172"/>
  <c r="I59" i="172"/>
  <c r="I50" i="172"/>
  <c r="I51" i="172"/>
  <c r="H61" i="172"/>
  <c r="I61" i="172" l="1"/>
  <c r="K49" i="172"/>
  <c r="M49" i="172" l="1"/>
  <c r="O49" i="172" l="1"/>
  <c r="G50" i="172" l="1"/>
  <c r="J50" i="172" l="1"/>
  <c r="N50" i="172" s="1"/>
  <c r="K50" i="172" l="1"/>
  <c r="M50" i="172" l="1"/>
  <c r="O50" i="172" l="1"/>
  <c r="G51" i="172" l="1"/>
  <c r="J51" i="172" l="1"/>
  <c r="N51" i="172" s="1"/>
  <c r="K51" i="172" l="1"/>
  <c r="M51" i="172" l="1"/>
  <c r="O51" i="172" l="1"/>
  <c r="G52" i="172" l="1"/>
  <c r="J52" i="172" l="1"/>
  <c r="N52" i="172" s="1"/>
  <c r="K52" i="172" l="1"/>
  <c r="M52" i="172" l="1"/>
  <c r="O52" i="172" l="1"/>
  <c r="G53" i="172" l="1"/>
  <c r="J53" i="172" l="1"/>
  <c r="K53" i="172" s="1"/>
  <c r="N53" i="172" l="1"/>
  <c r="M53" i="172"/>
  <c r="O53" i="172" l="1"/>
  <c r="G54" i="172" l="1"/>
  <c r="J54" i="172" l="1"/>
  <c r="K54" i="172" s="1"/>
  <c r="M54" i="172" l="1"/>
  <c r="N54" i="172"/>
  <c r="O54" i="172" l="1"/>
  <c r="G55" i="172" s="1"/>
  <c r="J55" i="172" s="1"/>
  <c r="K55" i="172" s="1"/>
  <c r="M55" i="172" l="1"/>
  <c r="N55" i="172"/>
  <c r="O55" i="172" l="1"/>
  <c r="G56" i="172" s="1"/>
  <c r="J56" i="172" s="1"/>
  <c r="K56" i="172" s="1"/>
  <c r="M56" i="172" l="1"/>
  <c r="N56" i="172"/>
  <c r="O56" i="172" l="1"/>
  <c r="G57" i="172" s="1"/>
  <c r="J57" i="172" s="1"/>
  <c r="K57" i="172" s="1"/>
  <c r="M57" i="172" l="1"/>
  <c r="N57" i="172"/>
  <c r="O57" i="172" l="1"/>
  <c r="G58" i="172" s="1"/>
  <c r="J58" i="172" s="1"/>
  <c r="K58" i="172" s="1"/>
  <c r="M58" i="172" l="1"/>
  <c r="N58" i="172"/>
  <c r="O58" i="172" l="1"/>
  <c r="G59" i="172" s="1"/>
  <c r="J59" i="172" s="1"/>
  <c r="K59" i="172" s="1"/>
  <c r="C44" i="197" l="1"/>
  <c r="C45" i="197"/>
  <c r="D44" i="197"/>
  <c r="D45" i="197"/>
  <c r="B45" i="197"/>
  <c r="F45" i="197" s="1"/>
  <c r="E45" i="197"/>
  <c r="E44" i="197"/>
  <c r="B44" i="197"/>
  <c r="F44" i="197" s="1"/>
  <c r="M59" i="172"/>
  <c r="N59" i="172"/>
  <c r="E116" i="197" l="1"/>
  <c r="E114" i="197"/>
  <c r="E113" i="197"/>
  <c r="E115" i="197"/>
  <c r="O59" i="172"/>
  <c r="G61" i="172"/>
  <c r="E117" i="197" l="1"/>
  <c r="J61" i="172"/>
  <c r="N61" i="172" l="1"/>
  <c r="M61" i="172"/>
  <c r="K61" i="172"/>
  <c r="O61" i="172" l="1"/>
  <c r="H108" i="177" l="1"/>
  <c r="H109" i="177"/>
  <c r="I40" i="177"/>
  <c r="I110" i="177" s="1"/>
  <c r="I41" i="177"/>
  <c r="I44" i="177"/>
  <c r="I45" i="177"/>
  <c r="I115" i="177" s="1"/>
  <c r="I47" i="177"/>
  <c r="I117" i="177" s="1"/>
  <c r="I51" i="177"/>
  <c r="I121" i="177" s="1"/>
  <c r="I50" i="177"/>
  <c r="I39" i="177"/>
  <c r="I109" i="177" s="1"/>
  <c r="I46" i="177"/>
  <c r="I116" i="177" s="1"/>
  <c r="I49" i="177"/>
  <c r="I119" i="177" s="1"/>
  <c r="I52" i="177"/>
  <c r="I122" i="177" s="1"/>
  <c r="I38" i="177"/>
  <c r="I108" i="177" s="1"/>
  <c r="H58" i="177"/>
  <c r="I42" i="177"/>
  <c r="I112" i="177" s="1"/>
  <c r="I43" i="177"/>
  <c r="I48" i="177"/>
  <c r="I53" i="177"/>
  <c r="I123" i="177" s="1"/>
  <c r="I56" i="177"/>
  <c r="I126" i="177" s="1"/>
  <c r="I55" i="177"/>
  <c r="I125" i="177" s="1"/>
  <c r="I37" i="177"/>
  <c r="O37" i="177" s="1"/>
  <c r="G38" i="177" s="1"/>
  <c r="I54" i="177"/>
  <c r="I124" i="177" s="1"/>
  <c r="H107" i="177" l="1"/>
  <c r="H128" i="177" s="1"/>
  <c r="G108" i="177"/>
  <c r="J38" i="177"/>
  <c r="O38" i="177"/>
  <c r="G39" i="177" s="1"/>
  <c r="I113" i="177"/>
  <c r="I58" i="177"/>
  <c r="I107" i="177"/>
  <c r="K37" i="177"/>
  <c r="I120" i="177"/>
  <c r="I114" i="177"/>
  <c r="I118" i="177"/>
  <c r="I111" i="177"/>
  <c r="N107" i="177"/>
  <c r="O107" i="177" l="1"/>
  <c r="J108" i="177"/>
  <c r="K38" i="177"/>
  <c r="M38" i="177" s="1"/>
  <c r="N38" i="177"/>
  <c r="M37" i="177"/>
  <c r="O108" i="177"/>
  <c r="K107" i="177"/>
  <c r="I128" i="177"/>
  <c r="J39" i="177"/>
  <c r="N39" i="177" s="1"/>
  <c r="O39" i="177"/>
  <c r="G109" i="177"/>
  <c r="K108" i="177" l="1"/>
  <c r="M108" i="177" s="1"/>
  <c r="G40" i="177"/>
  <c r="N108" i="177"/>
  <c r="J109" i="177"/>
  <c r="K109" i="177" s="1"/>
  <c r="M109" i="177" s="1"/>
  <c r="K39" i="177"/>
  <c r="O109" i="177"/>
  <c r="M107" i="177"/>
  <c r="N109" i="177" l="1"/>
  <c r="M39" i="177"/>
  <c r="O40" i="177"/>
  <c r="G110" i="177"/>
  <c r="J40" i="177"/>
  <c r="N40" i="177" s="1"/>
  <c r="J110" i="177" l="1"/>
  <c r="K40" i="177"/>
  <c r="O110" i="177"/>
  <c r="G41" i="177"/>
  <c r="M40" i="177" l="1"/>
  <c r="K110" i="177"/>
  <c r="G111" i="177"/>
  <c r="J41" i="177"/>
  <c r="N41" i="177" s="1"/>
  <c r="O41" i="177"/>
  <c r="N110" i="177"/>
  <c r="O111" i="177" l="1"/>
  <c r="G42" i="177"/>
  <c r="M110" i="177"/>
  <c r="J111" i="177"/>
  <c r="K41" i="177"/>
  <c r="M41" i="177" l="1"/>
  <c r="K111" i="177"/>
  <c r="N111" i="177"/>
  <c r="J42" i="177"/>
  <c r="G112" i="177"/>
  <c r="O42" i="177"/>
  <c r="G43" i="177" s="1"/>
  <c r="J112" i="177" l="1"/>
  <c r="N112" i="177" s="1"/>
  <c r="K42" i="177"/>
  <c r="J43" i="177"/>
  <c r="N43" i="177" s="1"/>
  <c r="G113" i="177"/>
  <c r="O43" i="177"/>
  <c r="G44" i="177" s="1"/>
  <c r="O112" i="177"/>
  <c r="M111" i="177"/>
  <c r="N42" i="177"/>
  <c r="O44" i="177" l="1"/>
  <c r="G45" i="177" s="1"/>
  <c r="J44" i="177"/>
  <c r="G114" i="177"/>
  <c r="M42" i="177"/>
  <c r="O113" i="177"/>
  <c r="K112" i="177"/>
  <c r="J113" i="177"/>
  <c r="K113" i="177" s="1"/>
  <c r="M113" i="177" s="1"/>
  <c r="K43" i="177"/>
  <c r="M43" i="177" s="1"/>
  <c r="J114" i="177" l="1"/>
  <c r="K114" i="177" s="1"/>
  <c r="M114" i="177" s="1"/>
  <c r="K44" i="177"/>
  <c r="M44" i="177" s="1"/>
  <c r="G115" i="177"/>
  <c r="J45" i="177"/>
  <c r="O45" i="177"/>
  <c r="G46" i="177" s="1"/>
  <c r="M112" i="177"/>
  <c r="N44" i="177"/>
  <c r="O114" i="177"/>
  <c r="N113" i="177"/>
  <c r="J115" i="177" l="1"/>
  <c r="K115" i="177" s="1"/>
  <c r="M115" i="177" s="1"/>
  <c r="K45" i="177"/>
  <c r="M45" i="177" s="1"/>
  <c r="N45" i="177"/>
  <c r="N114" i="177"/>
  <c r="O115" i="177"/>
  <c r="J46" i="177"/>
  <c r="O46" i="177"/>
  <c r="G47" i="177" s="1"/>
  <c r="G116" i="177"/>
  <c r="N115" i="177" l="1"/>
  <c r="K46" i="177"/>
  <c r="M46" i="177" s="1"/>
  <c r="J116" i="177"/>
  <c r="K116" i="177" s="1"/>
  <c r="M116" i="177" s="1"/>
  <c r="O116" i="177"/>
  <c r="J47" i="177"/>
  <c r="N47" i="177" s="1"/>
  <c r="G117" i="177"/>
  <c r="O47" i="177"/>
  <c r="G48" i="177" s="1"/>
  <c r="N46" i="177"/>
  <c r="N116" i="177" l="1"/>
  <c r="O117" i="177"/>
  <c r="J117" i="177"/>
  <c r="K117" i="177" s="1"/>
  <c r="M117" i="177" s="1"/>
  <c r="K47" i="177"/>
  <c r="M47" i="177" s="1"/>
  <c r="J48" i="177"/>
  <c r="N48" i="177" s="1"/>
  <c r="G118" i="177"/>
  <c r="O48" i="177"/>
  <c r="G49" i="177" s="1"/>
  <c r="O49" i="177" l="1"/>
  <c r="G50" i="177" s="1"/>
  <c r="J49" i="177"/>
  <c r="G119" i="177"/>
  <c r="O118" i="177"/>
  <c r="N117" i="177"/>
  <c r="J118" i="177"/>
  <c r="K118" i="177" s="1"/>
  <c r="M118" i="177" s="1"/>
  <c r="K48" i="177"/>
  <c r="M48" i="177" s="1"/>
  <c r="N118" i="177" l="1"/>
  <c r="J119" i="177"/>
  <c r="K119" i="177" s="1"/>
  <c r="M119" i="177" s="1"/>
  <c r="K49" i="177"/>
  <c r="M49" i="177" s="1"/>
  <c r="G120" i="177"/>
  <c r="J50" i="177"/>
  <c r="O50" i="177"/>
  <c r="N49" i="177"/>
  <c r="O119" i="177"/>
  <c r="N119" i="177" l="1"/>
  <c r="J120" i="177"/>
  <c r="K120" i="177" s="1"/>
  <c r="K50" i="177"/>
  <c r="M50" i="177" s="1"/>
  <c r="N50" i="177"/>
  <c r="N120" i="177" s="1"/>
  <c r="O120" i="177"/>
  <c r="G51" i="177"/>
  <c r="G121" i="177" l="1"/>
  <c r="J51" i="177"/>
  <c r="N51" i="177" s="1"/>
  <c r="N121" i="177" s="1"/>
  <c r="O51" i="177"/>
  <c r="M120" i="177"/>
  <c r="O121" i="177" l="1"/>
  <c r="G52" i="177"/>
  <c r="J121" i="177"/>
  <c r="K121" i="177" s="1"/>
  <c r="K51" i="177"/>
  <c r="M51" i="177" s="1"/>
  <c r="J52" i="177" l="1"/>
  <c r="G122" i="177"/>
  <c r="O52" i="177"/>
  <c r="M121" i="177"/>
  <c r="K52" i="177" l="1"/>
  <c r="M52" i="177" s="1"/>
  <c r="J122" i="177"/>
  <c r="K122" i="177" s="1"/>
  <c r="N52" i="177"/>
  <c r="N122" i="177" s="1"/>
  <c r="G53" i="177"/>
  <c r="O122" i="177"/>
  <c r="M122" i="177" l="1"/>
  <c r="J53" i="177"/>
  <c r="N53" i="177" s="1"/>
  <c r="N123" i="177" s="1"/>
  <c r="G123" i="177"/>
  <c r="O53" i="177"/>
  <c r="J123" i="177" l="1"/>
  <c r="K123" i="177" s="1"/>
  <c r="K53" i="177"/>
  <c r="M53" i="177" s="1"/>
  <c r="G54" i="177"/>
  <c r="O123" i="177"/>
  <c r="O54" i="177" l="1"/>
  <c r="J54" i="177"/>
  <c r="N54" i="177" s="1"/>
  <c r="N124" i="177" s="1"/>
  <c r="G124" i="177"/>
  <c r="M123" i="177"/>
  <c r="G55" i="177" l="1"/>
  <c r="O124" i="177"/>
  <c r="J124" i="177"/>
  <c r="K124" i="177" s="1"/>
  <c r="K54" i="177"/>
  <c r="M54" i="177" s="1"/>
  <c r="O55" i="177" l="1"/>
  <c r="J55" i="177"/>
  <c r="G125" i="177"/>
  <c r="M124" i="177"/>
  <c r="J125" i="177" l="1"/>
  <c r="K125" i="177" s="1"/>
  <c r="K55" i="177"/>
  <c r="M55" i="177" s="1"/>
  <c r="O125" i="177"/>
  <c r="G56" i="177"/>
  <c r="N55" i="177"/>
  <c r="N125" i="177" s="1"/>
  <c r="G126" i="177" l="1"/>
  <c r="G128" i="177" s="1"/>
  <c r="J56" i="177"/>
  <c r="N56" i="177" s="1"/>
  <c r="O56" i="177"/>
  <c r="G58" i="177"/>
  <c r="M125" i="177"/>
  <c r="N126" i="177" l="1"/>
  <c r="N128" i="177" s="1"/>
  <c r="N58" i="177"/>
  <c r="O126" i="177"/>
  <c r="O128" i="177" s="1"/>
  <c r="O58" i="177"/>
  <c r="K56" i="177"/>
  <c r="J126" i="177"/>
  <c r="J58" i="177"/>
  <c r="K126" i="177" l="1"/>
  <c r="J128" i="177"/>
  <c r="M56" i="177"/>
  <c r="M58" i="177" s="1"/>
  <c r="K58" i="177"/>
  <c r="C8" i="197" l="1"/>
  <c r="D9" i="197"/>
  <c r="B9" i="197"/>
  <c r="B8" i="197"/>
  <c r="D8" i="197"/>
  <c r="C9" i="197"/>
  <c r="M126" i="177"/>
  <c r="M128" i="177" s="1"/>
  <c r="F9" i="197" l="1"/>
  <c r="D113" i="197"/>
  <c r="D114" i="197"/>
  <c r="D115" i="197"/>
  <c r="D116" i="197"/>
  <c r="B116" i="197"/>
  <c r="B114" i="197"/>
  <c r="F8" i="197"/>
  <c r="B115" i="197"/>
  <c r="B113" i="197"/>
  <c r="C114" i="197"/>
  <c r="C115" i="197"/>
  <c r="C113" i="197"/>
  <c r="C116" i="197"/>
  <c r="D117" i="197" l="1"/>
  <c r="F113" i="197"/>
  <c r="B117" i="197"/>
  <c r="F114" i="197"/>
  <c r="F116" i="197"/>
  <c r="C117" i="197"/>
  <c r="F115" i="197"/>
  <c r="F117" i="197" l="1"/>
  <c r="I115" i="197"/>
</calcChain>
</file>

<file path=xl/sharedStrings.xml><?xml version="1.0" encoding="utf-8"?>
<sst xmlns="http://schemas.openxmlformats.org/spreadsheetml/2006/main" count="4077" uniqueCount="185">
  <si>
    <t>Total</t>
  </si>
  <si>
    <t>ITCC</t>
  </si>
  <si>
    <t>Facility Cost</t>
  </si>
  <si>
    <t>Period</t>
  </si>
  <si>
    <t>Start Date</t>
  </si>
  <si>
    <t>End Date</t>
  </si>
  <si>
    <t>Days</t>
  </si>
  <si>
    <t>APR Interest Rate (%)</t>
  </si>
  <si>
    <t>Payment #</t>
  </si>
  <si>
    <t>Facility Costs</t>
  </si>
  <si>
    <t>In-Service Date:</t>
  </si>
  <si>
    <t xml:space="preserve">Notes: </t>
  </si>
  <si>
    <t>Actual</t>
  </si>
  <si>
    <t>Estimate</t>
  </si>
  <si>
    <t>One-Time Costs</t>
  </si>
  <si>
    <t>One-Time Costs (Summary)</t>
  </si>
  <si>
    <t>COD:</t>
  </si>
  <si>
    <t>TOT522: Blue Sky Ranch - Estimate</t>
  </si>
  <si>
    <t>True Up 1</t>
  </si>
  <si>
    <t>True Up 2</t>
  </si>
  <si>
    <t>Comments/Notes</t>
  </si>
  <si>
    <t>N/A</t>
  </si>
  <si>
    <t>Rate</t>
  </si>
  <si>
    <t>End Date Range</t>
  </si>
  <si>
    <t>Status</t>
  </si>
  <si>
    <t>Total Refunds Due</t>
  </si>
  <si>
    <t>Remaining Refunds Due</t>
  </si>
  <si>
    <t>Refunds Completed by Year-End</t>
  </si>
  <si>
    <t>Refund Date</t>
  </si>
  <si>
    <t>Facility Cost - Principal</t>
  </si>
  <si>
    <t>Facility Cost - Interest</t>
  </si>
  <si>
    <t>One-Time Cost - Principal</t>
  </si>
  <si>
    <t>One-Time Cost - Interest</t>
  </si>
  <si>
    <t>1st refund did not occur in Q2 2013 as planned.  Some critical information was not received from customer on time</t>
  </si>
  <si>
    <t>1st refund was actually completed on 07/18/2013.</t>
  </si>
  <si>
    <t>All accrued interest refunded with 1st refund</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</si>
  <si>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</si>
  <si>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</si>
  <si>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</si>
  <si>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</si>
  <si>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</si>
  <si>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TOT175: Mojave Solar Project - Estimate</t>
  </si>
  <si>
    <t>TOT508: TA-Acacia - Estimate</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</si>
  <si>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</si>
  <si>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</si>
  <si>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WDT1099TOC: Oasis</t>
  </si>
  <si>
    <t>TOT219: Rising Tree</t>
  </si>
  <si>
    <t>Total Cost</t>
  </si>
  <si>
    <t>TOT672: RE Garland</t>
  </si>
  <si>
    <t>TOT573: RE Astoria</t>
  </si>
  <si>
    <t>Grand Total</t>
  </si>
  <si>
    <t>Refund #</t>
  </si>
  <si>
    <t>01</t>
  </si>
  <si>
    <t>02</t>
  </si>
  <si>
    <t>03</t>
  </si>
  <si>
    <t>04</t>
  </si>
  <si>
    <t>05</t>
  </si>
  <si>
    <t>06</t>
  </si>
  <si>
    <t>07</t>
  </si>
  <si>
    <t>08</t>
  </si>
  <si>
    <t>09</t>
  </si>
  <si>
    <t>10</t>
  </si>
  <si>
    <t>11</t>
  </si>
  <si>
    <t>12</t>
  </si>
  <si>
    <t>13</t>
  </si>
  <si>
    <t>14</t>
  </si>
  <si>
    <t>15</t>
  </si>
  <si>
    <t>16</t>
  </si>
  <si>
    <t>17</t>
  </si>
  <si>
    <t>18</t>
  </si>
  <si>
    <t>19</t>
  </si>
  <si>
    <t>20</t>
  </si>
  <si>
    <t>One-Time
Cost</t>
  </si>
  <si>
    <r>
      <t xml:space="preserve">Total Refund
</t>
    </r>
    <r>
      <rPr>
        <b/>
        <sz val="8"/>
        <rFont val="Arial"/>
        <family val="2"/>
      </rPr>
      <t>(C) + (D) = (E)</t>
    </r>
  </si>
  <si>
    <t>21</t>
  </si>
  <si>
    <t>22</t>
  </si>
  <si>
    <t>23</t>
  </si>
  <si>
    <t>24</t>
  </si>
  <si>
    <r>
      <t xml:space="preserve">Principal Due
</t>
    </r>
    <r>
      <rPr>
        <b/>
        <sz val="8"/>
        <rFont val="Arial"/>
        <family val="2"/>
      </rPr>
      <t>(1)</t>
    </r>
  </si>
  <si>
    <r>
      <t xml:space="preserve">Accrued Interest  Due
</t>
    </r>
    <r>
      <rPr>
        <b/>
        <sz val="8"/>
        <rFont val="Arial"/>
        <family val="2"/>
      </rPr>
      <t>(2)</t>
    </r>
  </si>
  <si>
    <r>
      <t xml:space="preserve">Accrued Interest Refund 
</t>
    </r>
    <r>
      <rPr>
        <b/>
        <sz val="8"/>
        <rFont val="Arial"/>
        <family val="2"/>
      </rPr>
      <t>(A)</t>
    </r>
  </si>
  <si>
    <r>
      <t xml:space="preserve">Quarterly Interest 
Refund 
</t>
    </r>
    <r>
      <rPr>
        <b/>
        <sz val="8"/>
        <rFont val="Arial"/>
        <family val="2"/>
      </rPr>
      <t>(B)</t>
    </r>
  </si>
  <si>
    <r>
      <t xml:space="preserve">Total Interest Refund
</t>
    </r>
    <r>
      <rPr>
        <b/>
        <sz val="8"/>
        <rFont val="Arial"/>
        <family val="2"/>
      </rPr>
      <t>(A) + (B) = (C)</t>
    </r>
  </si>
  <si>
    <r>
      <t xml:space="preserve">Principal Refund
</t>
    </r>
    <r>
      <rPr>
        <b/>
        <sz val="8"/>
        <rFont val="Arial"/>
        <family val="2"/>
      </rPr>
      <t>(D)</t>
    </r>
  </si>
  <si>
    <r>
      <t xml:space="preserve">Total Due
</t>
    </r>
    <r>
      <rPr>
        <b/>
        <sz val="8"/>
        <rFont val="Arial"/>
        <family val="2"/>
      </rPr>
      <t>(1) + (2) + (B) = (3)</t>
    </r>
  </si>
  <si>
    <r>
      <t xml:space="preserve">Running Balance
</t>
    </r>
    <r>
      <rPr>
        <b/>
        <sz val="8"/>
        <rFont val="Arial"/>
        <family val="2"/>
      </rPr>
      <t>(3) - (E)</t>
    </r>
  </si>
  <si>
    <t>Date Payment Received</t>
  </si>
  <si>
    <t>25</t>
  </si>
  <si>
    <t>26</t>
  </si>
  <si>
    <t>27</t>
  </si>
  <si>
    <t>28</t>
  </si>
  <si>
    <t>Comment</t>
  </si>
  <si>
    <t>Principal Due
(1)</t>
  </si>
  <si>
    <t>Accrued Interest  Due
(2)</t>
  </si>
  <si>
    <t>Accrued Interest Refund 
(A)</t>
  </si>
  <si>
    <t>Quarterly Interest 
Refund 
(B)</t>
  </si>
  <si>
    <t>Total Interest Refund
(A) + (B) = (C)</t>
  </si>
  <si>
    <t>Principal Refund
(D)</t>
  </si>
  <si>
    <t>Total Refund
(C) + (D) = (E)</t>
  </si>
  <si>
    <t>Total Due
(1) + (2) + (B) = (3)</t>
  </si>
  <si>
    <t>Running Balance
(3) - (E)</t>
  </si>
  <si>
    <t>01-04</t>
  </si>
  <si>
    <t>01-03</t>
  </si>
  <si>
    <t>29</t>
  </si>
  <si>
    <t>30</t>
  </si>
  <si>
    <t>Variance</t>
  </si>
  <si>
    <r>
      <t xml:space="preserve">Running Balance
</t>
    </r>
    <r>
      <rPr>
        <b/>
        <sz val="8"/>
        <rFont val="Arial"/>
        <family val="2"/>
      </rPr>
      <t>(1) +(2) - (A) - (D)</t>
    </r>
  </si>
  <si>
    <t>TOT544: Kingbird Solar A</t>
  </si>
  <si>
    <t>TOT545: Kingbird Solar B</t>
  </si>
  <si>
    <t>TOT223: Genesis McCoy Solar Project</t>
  </si>
  <si>
    <t>Interconnection Facilities</t>
  </si>
  <si>
    <t>Reliability Network Upgrades</t>
  </si>
  <si>
    <t>Distribution Upgrades</t>
  </si>
  <si>
    <t>Total One-Time Cost</t>
  </si>
  <si>
    <t>One-Time
Cost (NU)</t>
  </si>
  <si>
    <t>accrued</t>
  </si>
  <si>
    <t>quarterly</t>
  </si>
  <si>
    <t>principle</t>
  </si>
  <si>
    <t>total interest</t>
  </si>
  <si>
    <t>Q3/2016</t>
  </si>
  <si>
    <t>01-02</t>
  </si>
  <si>
    <t xml:space="preserve">Quarterly Interest 
Refund </t>
  </si>
  <si>
    <t>Principal Refund</t>
  </si>
  <si>
    <t xml:space="preserve">Accrued Interest Refund </t>
  </si>
  <si>
    <t>Total Interest Refund</t>
  </si>
  <si>
    <t>Q3/2017</t>
  </si>
  <si>
    <t>phase 1</t>
  </si>
  <si>
    <t>phase 2</t>
  </si>
  <si>
    <t>phase 3</t>
  </si>
  <si>
    <t>MW</t>
  </si>
  <si>
    <t>Ratio</t>
  </si>
  <si>
    <t>COD Phase 1:</t>
  </si>
  <si>
    <t>COD Phase 2:</t>
  </si>
  <si>
    <t>COD Phase 3:</t>
  </si>
  <si>
    <t>TOT381</t>
  </si>
  <si>
    <t>TOT211</t>
  </si>
  <si>
    <t>TOT404</t>
  </si>
  <si>
    <t>TOT581</t>
  </si>
  <si>
    <t>NU:</t>
  </si>
  <si>
    <t>Plan of Service Reliability Networkk Upgrade Costs</t>
  </si>
  <si>
    <t>9/30/16: CHANGED BASE FROM 3,815,000 (BASED ON OLD AGMT) TO 2,395,000 (PER LATEST AMDNT AND ACTUAL REFUNDS)</t>
  </si>
  <si>
    <t>31</t>
  </si>
  <si>
    <t>Adjusment</t>
  </si>
  <si>
    <t>TOT585 (Phase 1&amp;2)</t>
  </si>
  <si>
    <t>TOT411 (Phase 1&amp;2)</t>
  </si>
  <si>
    <t>Facility Cost
Accrued Interest</t>
  </si>
  <si>
    <t>Facility Cost
Quarterly Interest</t>
  </si>
  <si>
    <t>Facility Cost
Total Interest</t>
  </si>
  <si>
    <t>Facility Cost
Principal Refund</t>
  </si>
  <si>
    <t>Facility Cost
Total Refund</t>
  </si>
  <si>
    <t>01-10</t>
  </si>
  <si>
    <t>TOT276 (Phase 1&amp;2)</t>
  </si>
  <si>
    <t>Q2/2016</t>
  </si>
  <si>
    <t>Q4/2016</t>
  </si>
  <si>
    <t>Q1/2017</t>
  </si>
  <si>
    <t>Q2/2017</t>
  </si>
  <si>
    <t>Q4/2017</t>
  </si>
  <si>
    <t>Q1/2018</t>
  </si>
  <si>
    <t>Q2/2018</t>
  </si>
  <si>
    <t>Q3/2018</t>
  </si>
  <si>
    <t>Q4/2018</t>
  </si>
  <si>
    <t>Q1/2019</t>
  </si>
  <si>
    <t>Q2/2019</t>
  </si>
  <si>
    <t>Q3/2019</t>
  </si>
  <si>
    <t>Q4/2019</t>
  </si>
  <si>
    <t>Q1/2020</t>
  </si>
  <si>
    <t>Q2/2020</t>
  </si>
  <si>
    <t>Q3/2020</t>
  </si>
  <si>
    <t>Q4/2020</t>
  </si>
  <si>
    <t>Q1/2021</t>
  </si>
  <si>
    <t>Q2/2021</t>
  </si>
  <si>
    <t>Q3/2021</t>
  </si>
  <si>
    <t>RECORDED QUARTERLY - Network Upgrade Credits</t>
  </si>
  <si>
    <t>TOT211: Desert Stateline</t>
  </si>
  <si>
    <t>TOT381: Silver State South Solar</t>
  </si>
  <si>
    <t>TOT404: CMS 2</t>
  </si>
  <si>
    <t>TOT508: TA-Acacia</t>
  </si>
  <si>
    <t>TOT522: Blue Sky Ranch</t>
  </si>
  <si>
    <t>TOT581: Copper Mountain Solar</t>
  </si>
  <si>
    <t>TOT032 - Trued-up</t>
  </si>
  <si>
    <t>TOT041 - Trued-up</t>
  </si>
  <si>
    <t>TOT135 - Trued-up</t>
  </si>
  <si>
    <t>TOT455 - Trued-up</t>
  </si>
  <si>
    <t>2018 Total</t>
  </si>
  <si>
    <t>2019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</si>
</sst>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mm/dd/yy;@"/>
    <numFmt numFmtId="165" formatCode="0.000%"/>
    <numFmt numFmtId="166" formatCode="0.000"/>
  </numFmts>
  <fonts count="19" x14ac:knownFonts="1">
    <font>
      <sz val="10"/>
      <name val="Arial"/>
    </font>
    <font>
      <sz val="11"/>
      <color theme="1"/>
      <name val="Calibri"/>
      <family val="2"/>
      <scheme val="minor"/>
    </font>
    <font>
      <sz val="10"/>
      <name val="Arial"/>
      <family val="2"/>
    </font>
    <font>
      <b/>
      <sz val="10"/>
      <name val="Arial"/>
      <family val="2"/>
    </font>
    <font>
      <sz val="10"/>
      <name val="Arial"/>
      <family val="2"/>
    </font>
    <font>
      <i/>
      <sz val="10"/>
      <name val="Arial"/>
      <family val="2"/>
    </font>
    <font>
      <sz val="10"/>
      <color rgb="FFFF0000"/>
      <name val="Arial"/>
      <family val="2"/>
    </font>
    <font>
      <b/>
      <sz val="12"/>
      <name val="Times New Roman"/>
      <family val="1"/>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b/>
      <sz val="8"/>
      <name val="Arial"/>
      <family val="2"/>
    </font>
    <font>
      <sz val="10"/>
      <name val="Arial"/>
      <family val="2"/>
    </font>
    <font>
      <i/>
      <sz val="9"/>
      <color indexed="23"/>
      <name val="Arial"/>
      <family val="2"/>
    </font>
    <font>
      <i/>
      <sz val="9"/>
      <color theme="0"/>
      <name val="Arial"/>
      <family val="2"/>
    </font>
    <font>
      <b/>
      <i/>
      <sz val="9"/>
      <color theme="0"/>
      <name val="Arial"/>
      <family val="2"/>
    </font>
    <font>
      <sz val="10"/>
      <color theme="0"/>
      <name val="Times New Roman"/>
      <family val="1"/>
    </font>
  </fonts>
  <fills count="13">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rgb="FF92D05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s>
  <borders count="45">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auto="1"/>
      </top>
      <bottom style="thin">
        <color auto="1"/>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bottom style="hair">
        <color indexed="64"/>
      </bottom>
      <diagonal/>
    </border>
    <border>
      <left/>
      <right/>
      <top style="double">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medium">
        <color indexed="64"/>
      </top>
      <bottom style="thin">
        <color indexed="64"/>
      </bottom>
      <diagonal/>
    </border>
    <border>
      <left style="hair">
        <color indexed="64"/>
      </left>
      <right style="hair">
        <color indexed="64"/>
      </right>
      <top/>
      <bottom style="medium">
        <color indexed="64"/>
      </bottom>
      <diagonal/>
    </border>
  </borders>
  <cellStyleXfs count="11">
    <xf numFmtId="0" fontId="0" fillId="0" borderId="0"/>
    <xf numFmtId="43" fontId="2"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44" fontId="14" fillId="0" borderId="0" applyFont="0" applyFill="0" applyBorder="0" applyAlignment="0" applyProtection="0"/>
  </cellStyleXfs>
  <cellXfs count="352">
    <xf numFmtId="0" fontId="0" fillId="0" borderId="0" xfId="0"/>
    <xf numFmtId="0" fontId="4" fillId="0" borderId="0" xfId="0" applyFont="1" applyFill="1"/>
    <xf numFmtId="0" fontId="4" fillId="0" borderId="0" xfId="0" applyFont="1" applyFill="1" applyBorder="1" applyAlignment="1">
      <alignment horizontal="center"/>
    </xf>
    <xf numFmtId="164" fontId="4" fillId="0" borderId="0" xfId="0" applyNumberFormat="1" applyFont="1" applyFill="1" applyAlignment="1">
      <alignment horizontal="center" wrapText="1"/>
    </xf>
    <xf numFmtId="44" fontId="4" fillId="0" borderId="0" xfId="3" applyFont="1" applyFill="1" applyAlignment="1">
      <alignment horizontal="center"/>
    </xf>
    <xf numFmtId="14" fontId="3" fillId="0" borderId="0" xfId="0" applyNumberFormat="1" applyFont="1" applyFill="1"/>
    <xf numFmtId="0" fontId="2" fillId="0" borderId="0" xfId="0" applyFont="1" applyFill="1"/>
    <xf numFmtId="44" fontId="2" fillId="0" borderId="0" xfId="3" applyFont="1" applyFill="1" applyBorder="1"/>
    <xf numFmtId="44" fontId="2" fillId="0" borderId="0" xfId="0" applyNumberFormat="1" applyFont="1" applyFill="1"/>
    <xf numFmtId="14" fontId="4"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44" fontId="3" fillId="0" borderId="0" xfId="0" applyNumberFormat="1" applyFont="1" applyFill="1"/>
    <xf numFmtId="4" fontId="4" fillId="0" borderId="0" xfId="1" applyNumberFormat="1" applyFont="1" applyFill="1" applyBorder="1"/>
    <xf numFmtId="44" fontId="4" fillId="0" borderId="0" xfId="0" applyNumberFormat="1" applyFont="1" applyFill="1" applyAlignment="1">
      <alignment vertical="top" wrapText="1"/>
    </xf>
    <xf numFmtId="44" fontId="4" fillId="0" borderId="0" xfId="0" applyNumberFormat="1" applyFont="1" applyFill="1" applyBorder="1" applyAlignment="1">
      <alignment horizontal="center" wrapText="1"/>
    </xf>
    <xf numFmtId="0" fontId="2" fillId="0" borderId="0" xfId="0" applyFont="1" applyFill="1" applyAlignment="1">
      <alignment horizontal="center"/>
    </xf>
    <xf numFmtId="14" fontId="2" fillId="0" borderId="0" xfId="0" applyNumberFormat="1" applyFont="1" applyFill="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44" fontId="11" fillId="0" borderId="0" xfId="3" applyFont="1" applyFill="1" applyBorder="1" applyAlignment="1">
      <alignment horizontal="right"/>
    </xf>
    <xf numFmtId="44" fontId="11" fillId="0" borderId="0" xfId="3" applyFont="1" applyBorder="1"/>
    <xf numFmtId="0" fontId="9" fillId="0" borderId="0" xfId="0" applyFont="1"/>
    <xf numFmtId="0" fontId="8" fillId="0" borderId="0" xfId="0" applyFont="1"/>
    <xf numFmtId="0" fontId="9" fillId="0" borderId="0" xfId="0"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165" fontId="8" fillId="0" borderId="0" xfId="6" applyNumberFormat="1" applyFont="1" applyAlignment="1">
      <alignment horizontal="center"/>
    </xf>
    <xf numFmtId="0" fontId="9" fillId="0" borderId="0" xfId="0" applyFont="1" applyAlignment="1">
      <alignment horizontal="center" vertical="center"/>
    </xf>
    <xf numFmtId="14" fontId="10" fillId="3" borderId="0" xfId="3" applyNumberFormat="1" applyFont="1" applyFill="1" applyBorder="1" applyAlignment="1">
      <alignment horizontal="center"/>
    </xf>
    <xf numFmtId="44" fontId="10" fillId="3" borderId="0" xfId="3" applyFont="1" applyFill="1" applyBorder="1" applyAlignment="1">
      <alignment horizontal="center"/>
    </xf>
    <xf numFmtId="44" fontId="10" fillId="0" borderId="0" xfId="3" applyFont="1" applyFill="1" applyBorder="1" applyAlignment="1"/>
    <xf numFmtId="0" fontId="3" fillId="0" borderId="0" xfId="0" applyFont="1" applyFill="1" applyAlignment="1">
      <alignment horizontal="right"/>
    </xf>
    <xf numFmtId="0" fontId="3" fillId="0" borderId="0" xfId="0" applyFont="1" applyFill="1" applyAlignment="1">
      <alignment horizontal="center"/>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12" fillId="0" borderId="0" xfId="3" applyFont="1" applyBorder="1"/>
    <xf numFmtId="44" fontId="10" fillId="2" borderId="0" xfId="3" applyFont="1" applyFill="1" applyBorder="1" applyAlignment="1">
      <alignment horizontal="center"/>
    </xf>
    <xf numFmtId="44" fontId="10" fillId="0" borderId="0" xfId="3" applyFont="1" applyFill="1" applyBorder="1" applyAlignment="1">
      <alignment horizontal="right"/>
    </xf>
    <xf numFmtId="44" fontId="10" fillId="0" borderId="0" xfId="3" applyFont="1" applyBorder="1"/>
    <xf numFmtId="14" fontId="10" fillId="5" borderId="0" xfId="3" applyNumberFormat="1" applyFont="1" applyFill="1" applyBorder="1" applyAlignment="1">
      <alignment horizontal="center"/>
    </xf>
    <xf numFmtId="44" fontId="10" fillId="5"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0" fontId="3" fillId="0" borderId="0" xfId="8" applyFont="1" applyFill="1" applyAlignment="1">
      <alignment horizontal="center"/>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3" fillId="0" borderId="0" xfId="8" applyNumberFormat="1" applyFont="1" applyFill="1"/>
    <xf numFmtId="44" fontId="2" fillId="0" borderId="0" xfId="8" applyNumberFormat="1" applyFont="1" applyFill="1"/>
    <xf numFmtId="14" fontId="3" fillId="0" borderId="0" xfId="8" applyNumberFormat="1" applyFont="1" applyFill="1"/>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44" fontId="12" fillId="0" borderId="0" xfId="3" applyFont="1" applyFill="1" applyBorder="1"/>
    <xf numFmtId="44" fontId="11" fillId="0" borderId="0" xfId="3" applyFont="1" applyFill="1" applyBorder="1"/>
    <xf numFmtId="164" fontId="2" fillId="0" borderId="0" xfId="0" applyNumberFormat="1" applyFont="1" applyFill="1" applyAlignment="1">
      <alignment horizontal="center" wrapText="1"/>
    </xf>
    <xf numFmtId="44" fontId="11" fillId="0" borderId="0" xfId="3" applyFont="1" applyFill="1" applyBorder="1" applyAlignment="1">
      <alignment horizontal="center" wrapText="1"/>
    </xf>
    <xf numFmtId="0" fontId="2" fillId="0" borderId="0" xfId="0" quotePrefix="1" applyFont="1" applyFill="1" applyAlignment="1">
      <alignment vertical="top"/>
    </xf>
    <xf numFmtId="44" fontId="3" fillId="0" borderId="7" xfId="0" applyNumberFormat="1" applyFont="1" applyFill="1" applyBorder="1"/>
    <xf numFmtId="14" fontId="3" fillId="0" borderId="0" xfId="0" applyNumberFormat="1" applyFont="1" applyFill="1" applyAlignment="1">
      <alignment horizontal="center"/>
    </xf>
    <xf numFmtId="0" fontId="5" fillId="4" borderId="0" xfId="0" applyFont="1" applyFill="1" applyBorder="1" applyAlignment="1">
      <alignment horizontal="center" wrapText="1"/>
    </xf>
    <xf numFmtId="164" fontId="5" fillId="4" borderId="0" xfId="0" applyNumberFormat="1" applyFont="1" applyFill="1" applyBorder="1" applyAlignment="1">
      <alignment horizontal="center" wrapText="1"/>
    </xf>
    <xf numFmtId="165" fontId="5" fillId="4" borderId="0" xfId="6" applyNumberFormat="1" applyFont="1" applyFill="1" applyBorder="1" applyAlignment="1">
      <alignment horizontal="center" wrapText="1"/>
    </xf>
    <xf numFmtId="44" fontId="5" fillId="4" borderId="0" xfId="3" applyFont="1" applyFill="1" applyBorder="1" applyAlignment="1">
      <alignment horizontal="center" wrapText="1"/>
    </xf>
    <xf numFmtId="44" fontId="5" fillId="4" borderId="0" xfId="0" applyNumberFormat="1" applyFont="1" applyFill="1" applyBorder="1" applyAlignment="1">
      <alignment horizontal="center" wrapText="1"/>
    </xf>
    <xf numFmtId="0" fontId="2" fillId="0" borderId="0" xfId="0" applyFont="1" applyFill="1" applyBorder="1" applyAlignment="1">
      <alignment horizontal="center" wrapText="1"/>
    </xf>
    <xf numFmtId="164" fontId="2" fillId="0" borderId="0" xfId="0" applyNumberFormat="1" applyFont="1" applyFill="1" applyBorder="1" applyAlignment="1">
      <alignment horizontal="center" wrapText="1"/>
    </xf>
    <xf numFmtId="165" fontId="2" fillId="0" borderId="0" xfId="6" applyNumberFormat="1" applyFont="1" applyFill="1" applyBorder="1" applyAlignment="1">
      <alignment horizontal="center" wrapText="1"/>
    </xf>
    <xf numFmtId="44" fontId="2" fillId="0" borderId="0" xfId="3" applyFont="1" applyFill="1" applyBorder="1" applyAlignment="1">
      <alignment horizontal="center" wrapText="1"/>
    </xf>
    <xf numFmtId="44" fontId="2" fillId="0" borderId="0" xfId="0" applyNumberFormat="1" applyFont="1" applyFill="1" applyBorder="1" applyAlignment="1">
      <alignment horizontal="center" wrapText="1"/>
    </xf>
    <xf numFmtId="0" fontId="3" fillId="6" borderId="1" xfId="0" applyFont="1" applyFill="1" applyBorder="1" applyAlignment="1">
      <alignment horizontal="center" wrapText="1"/>
    </xf>
    <xf numFmtId="0" fontId="2" fillId="0" borderId="0" xfId="0" quotePrefix="1" applyFont="1" applyFill="1" applyAlignment="1">
      <alignment horizontal="center"/>
    </xf>
    <xf numFmtId="164" fontId="2" fillId="0" borderId="0" xfId="0" applyNumberFormat="1" applyFont="1" applyFill="1" applyBorder="1" applyAlignment="1">
      <alignment horizontal="center"/>
    </xf>
    <xf numFmtId="0" fontId="2" fillId="0" borderId="7" xfId="0" applyFont="1" applyFill="1" applyBorder="1"/>
    <xf numFmtId="0" fontId="3" fillId="10" borderId="1" xfId="0" applyFont="1" applyFill="1" applyBorder="1" applyAlignment="1">
      <alignment horizontal="center"/>
    </xf>
    <xf numFmtId="0" fontId="3" fillId="10" borderId="1" xfId="0" applyFont="1" applyFill="1" applyBorder="1" applyAlignment="1">
      <alignment horizontal="center" wrapText="1"/>
    </xf>
    <xf numFmtId="0" fontId="0" fillId="0" borderId="0" xfId="0" quotePrefix="1" applyFont="1" applyFill="1" applyAlignment="1">
      <alignment horizontal="center"/>
    </xf>
    <xf numFmtId="164" fontId="2" fillId="0" borderId="11" xfId="0" applyNumberFormat="1" applyFont="1" applyFill="1" applyBorder="1" applyAlignment="1">
      <alignment horizontal="center"/>
    </xf>
    <xf numFmtId="164" fontId="2" fillId="0" borderId="12" xfId="0" applyNumberFormat="1" applyFont="1" applyFill="1" applyBorder="1" applyAlignment="1">
      <alignment horizontal="center"/>
    </xf>
    <xf numFmtId="0" fontId="2" fillId="0" borderId="12" xfId="0" applyFont="1" applyFill="1" applyBorder="1" applyAlignment="1">
      <alignment horizontal="left"/>
    </xf>
    <xf numFmtId="0" fontId="2" fillId="0" borderId="12" xfId="0" applyFont="1" applyFill="1" applyBorder="1"/>
    <xf numFmtId="0" fontId="3" fillId="0" borderId="13" xfId="0" applyFont="1" applyFill="1" applyBorder="1" applyAlignment="1">
      <alignment horizontal="right"/>
    </xf>
    <xf numFmtId="164" fontId="2" fillId="0" borderId="14" xfId="0" applyNumberFormat="1" applyFont="1" applyFill="1" applyBorder="1" applyAlignment="1">
      <alignment horizontal="center"/>
    </xf>
    <xf numFmtId="164" fontId="2" fillId="0" borderId="15" xfId="0" applyNumberFormat="1" applyFont="1" applyFill="1" applyBorder="1" applyAlignment="1">
      <alignment horizontal="center"/>
    </xf>
    <xf numFmtId="0" fontId="2" fillId="0" borderId="15" xfId="0" quotePrefix="1" applyFont="1" applyFill="1" applyBorder="1" applyAlignment="1">
      <alignment horizontal="left" vertical="top"/>
    </xf>
    <xf numFmtId="0" fontId="2" fillId="0" borderId="15" xfId="0" applyFont="1" applyFill="1" applyBorder="1"/>
    <xf numFmtId="0" fontId="3" fillId="0" borderId="16" xfId="0" applyFont="1" applyFill="1" applyBorder="1" applyAlignment="1">
      <alignment horizontal="right"/>
    </xf>
    <xf numFmtId="0" fontId="3" fillId="5" borderId="17" xfId="0" applyFont="1" applyFill="1" applyBorder="1" applyAlignment="1">
      <alignment horizontal="center" wrapText="1"/>
    </xf>
    <xf numFmtId="0" fontId="3" fillId="5" borderId="1" xfId="0" applyFont="1" applyFill="1" applyBorder="1" applyAlignment="1">
      <alignment horizontal="center" wrapText="1"/>
    </xf>
    <xf numFmtId="0" fontId="3" fillId="5" borderId="18" xfId="0" applyFont="1" applyFill="1" applyBorder="1" applyAlignment="1">
      <alignment horizontal="center" wrapText="1"/>
    </xf>
    <xf numFmtId="0" fontId="2" fillId="0" borderId="10" xfId="0" applyFont="1" applyFill="1" applyBorder="1"/>
    <xf numFmtId="44" fontId="5" fillId="4" borderId="2" xfId="3" applyFont="1" applyFill="1" applyBorder="1" applyAlignment="1">
      <alignment horizontal="center" wrapText="1"/>
    </xf>
    <xf numFmtId="44" fontId="2" fillId="0" borderId="2" xfId="3" applyFont="1" applyFill="1" applyBorder="1" applyAlignment="1">
      <alignment horizontal="center" wrapText="1"/>
    </xf>
    <xf numFmtId="44" fontId="2" fillId="0" borderId="3" xfId="0" applyNumberFormat="1" applyFont="1" applyFill="1" applyBorder="1" applyAlignment="1">
      <alignment horizontal="center" wrapText="1"/>
    </xf>
    <xf numFmtId="4" fontId="2" fillId="0" borderId="2" xfId="0" applyNumberFormat="1" applyFont="1" applyFill="1" applyBorder="1"/>
    <xf numFmtId="0" fontId="2" fillId="0" borderId="2" xfId="0" applyFont="1" applyFill="1" applyBorder="1"/>
    <xf numFmtId="0" fontId="2" fillId="0" borderId="0" xfId="0" applyFont="1" applyFill="1" applyBorder="1"/>
    <xf numFmtId="44" fontId="3" fillId="0" borderId="20" xfId="0" applyNumberFormat="1" applyFont="1" applyFill="1" applyBorder="1"/>
    <xf numFmtId="44" fontId="3" fillId="0" borderId="21" xfId="0" applyNumberFormat="1" applyFont="1" applyFill="1" applyBorder="1"/>
    <xf numFmtId="0" fontId="2" fillId="0" borderId="4" xfId="0" applyFont="1" applyFill="1" applyBorder="1"/>
    <xf numFmtId="0" fontId="2" fillId="0" borderId="5" xfId="0" applyFont="1" applyFill="1" applyBorder="1"/>
    <xf numFmtId="0" fontId="2" fillId="0" borderId="6" xfId="0" applyFont="1" applyFill="1" applyBorder="1"/>
    <xf numFmtId="44" fontId="3" fillId="0" borderId="22" xfId="0" applyNumberFormat="1" applyFont="1" applyFill="1" applyBorder="1"/>
    <xf numFmtId="0" fontId="3" fillId="7" borderId="0" xfId="0" applyFont="1" applyFill="1" applyBorder="1" applyAlignment="1"/>
    <xf numFmtId="14" fontId="2" fillId="0" borderId="0" xfId="0" applyNumberFormat="1" applyFont="1" applyFill="1" applyBorder="1" applyAlignment="1">
      <alignment horizontal="center"/>
    </xf>
    <xf numFmtId="44" fontId="5" fillId="4" borderId="0" xfId="0" applyNumberFormat="1" applyFont="1" applyFill="1"/>
    <xf numFmtId="0" fontId="2" fillId="0" borderId="9" xfId="0" applyFont="1" applyFill="1" applyBorder="1"/>
    <xf numFmtId="44" fontId="5" fillId="4" borderId="0" xfId="0" applyNumberFormat="1" applyFont="1" applyFill="1" applyBorder="1"/>
    <xf numFmtId="44" fontId="5" fillId="4" borderId="3" xfId="0" applyNumberFormat="1" applyFont="1" applyFill="1" applyBorder="1"/>
    <xf numFmtId="44" fontId="2" fillId="0" borderId="0" xfId="0" applyNumberFormat="1" applyFont="1" applyFill="1" applyBorder="1"/>
    <xf numFmtId="44" fontId="2" fillId="0" borderId="3" xfId="0" applyNumberFormat="1" applyFont="1" applyFill="1" applyBorder="1"/>
    <xf numFmtId="0" fontId="2" fillId="0" borderId="3" xfId="0" applyFont="1" applyFill="1" applyBorder="1"/>
    <xf numFmtId="4" fontId="2" fillId="0" borderId="2" xfId="1" applyNumberFormat="1" applyFont="1" applyFill="1" applyBorder="1"/>
    <xf numFmtId="0" fontId="4" fillId="0" borderId="7" xfId="0" applyFont="1" applyFill="1" applyBorder="1" applyAlignment="1">
      <alignment horizontal="center"/>
    </xf>
    <xf numFmtId="14" fontId="4" fillId="0" borderId="7" xfId="0" applyNumberFormat="1" applyFont="1" applyFill="1" applyBorder="1" applyAlignment="1">
      <alignment horizontal="center"/>
    </xf>
    <xf numFmtId="0" fontId="2" fillId="0" borderId="7" xfId="0" applyNumberFormat="1" applyFont="1" applyFill="1" applyBorder="1" applyAlignment="1">
      <alignment horizontal="center"/>
    </xf>
    <xf numFmtId="0" fontId="2" fillId="0" borderId="7" xfId="0" applyFont="1" applyFill="1" applyBorder="1" applyAlignment="1">
      <alignment horizontal="center"/>
    </xf>
    <xf numFmtId="44" fontId="3" fillId="0" borderId="7" xfId="3" applyFont="1" applyFill="1" applyBorder="1"/>
    <xf numFmtId="44" fontId="3" fillId="0" borderId="20" xfId="3" applyFont="1" applyFill="1" applyBorder="1"/>
    <xf numFmtId="44" fontId="3" fillId="0" borderId="21" xfId="3" applyFont="1" applyFill="1" applyBorder="1"/>
    <xf numFmtId="44" fontId="3" fillId="0" borderId="7" xfId="0" applyNumberFormat="1" applyFont="1" applyFill="1" applyBorder="1" applyAlignment="1">
      <alignment horizontal="center" wrapText="1"/>
    </xf>
    <xf numFmtId="44" fontId="3" fillId="0" borderId="20" xfId="0" applyNumberFormat="1" applyFont="1" applyFill="1" applyBorder="1" applyAlignment="1">
      <alignment horizontal="center" wrapText="1"/>
    </xf>
    <xf numFmtId="44" fontId="3" fillId="0" borderId="21" xfId="0" applyNumberFormat="1" applyFont="1" applyFill="1" applyBorder="1" applyAlignment="1">
      <alignment horizontal="center" wrapText="1"/>
    </xf>
    <xf numFmtId="0" fontId="2" fillId="0" borderId="19" xfId="0" applyFont="1" applyFill="1" applyBorder="1"/>
    <xf numFmtId="44" fontId="3" fillId="0" borderId="7" xfId="3" applyFont="1" applyFill="1" applyBorder="1" applyAlignment="1">
      <alignment horizontal="center" wrapText="1"/>
    </xf>
    <xf numFmtId="14" fontId="2" fillId="0" borderId="0" xfId="0" applyNumberFormat="1" applyFont="1" applyFill="1" applyBorder="1" applyAlignment="1">
      <alignment horizontal="center" wrapText="1"/>
    </xf>
    <xf numFmtId="0" fontId="2" fillId="8" borderId="0" xfId="0" applyFont="1" applyFill="1" applyBorder="1" applyAlignment="1">
      <alignment horizontal="center" wrapText="1"/>
    </xf>
    <xf numFmtId="164" fontId="2" fillId="8" borderId="0" xfId="0" applyNumberFormat="1" applyFont="1" applyFill="1" applyBorder="1" applyAlignment="1">
      <alignment horizontal="center" wrapText="1"/>
    </xf>
    <xf numFmtId="165" fontId="2" fillId="8" borderId="0" xfId="6" applyNumberFormat="1" applyFont="1" applyFill="1" applyBorder="1" applyAlignment="1">
      <alignment horizontal="center" wrapText="1"/>
    </xf>
    <xf numFmtId="44" fontId="2" fillId="8" borderId="0" xfId="3" applyFont="1" applyFill="1" applyBorder="1" applyAlignment="1">
      <alignment horizontal="center" wrapText="1"/>
    </xf>
    <xf numFmtId="44" fontId="2" fillId="8" borderId="0" xfId="0" applyNumberFormat="1" applyFont="1" applyFill="1" applyBorder="1" applyAlignment="1">
      <alignment horizontal="center" wrapText="1"/>
    </xf>
    <xf numFmtId="14" fontId="2" fillId="0" borderId="7" xfId="0" applyNumberFormat="1" applyFont="1" applyFill="1" applyBorder="1" applyAlignment="1">
      <alignment horizontal="center"/>
    </xf>
    <xf numFmtId="44" fontId="2" fillId="8" borderId="2" xfId="3" applyFont="1" applyFill="1" applyBorder="1" applyAlignment="1">
      <alignment horizontal="center" wrapText="1"/>
    </xf>
    <xf numFmtId="0" fontId="2" fillId="0" borderId="0" xfId="0" applyFont="1" applyFill="1" applyAlignment="1">
      <alignment horizontal="right"/>
    </xf>
    <xf numFmtId="0" fontId="3" fillId="7" borderId="0" xfId="0" quotePrefix="1" applyFont="1" applyFill="1" applyBorder="1" applyAlignment="1">
      <alignment horizontal="center"/>
    </xf>
    <xf numFmtId="0" fontId="3" fillId="0" borderId="7" xfId="0" applyFont="1" applyFill="1" applyBorder="1"/>
    <xf numFmtId="0" fontId="3" fillId="0" borderId="7" xfId="0" applyFont="1" applyFill="1" applyBorder="1" applyAlignment="1">
      <alignment horizontal="center"/>
    </xf>
    <xf numFmtId="164" fontId="3" fillId="0" borderId="7" xfId="0" applyNumberFormat="1" applyFont="1" applyFill="1" applyBorder="1" applyAlignment="1">
      <alignment horizontal="center"/>
    </xf>
    <xf numFmtId="0" fontId="3" fillId="0" borderId="7" xfId="0" applyNumberFormat="1" applyFont="1" applyFill="1" applyBorder="1" applyAlignment="1">
      <alignment horizontal="center"/>
    </xf>
    <xf numFmtId="14" fontId="3" fillId="0" borderId="7" xfId="0" applyNumberFormat="1" applyFont="1" applyFill="1" applyBorder="1" applyAlignment="1">
      <alignment horizontal="center"/>
    </xf>
    <xf numFmtId="0" fontId="3" fillId="11" borderId="2" xfId="0" applyFont="1" applyFill="1" applyBorder="1" applyAlignment="1">
      <alignment horizontal="right"/>
    </xf>
    <xf numFmtId="0" fontId="3" fillId="11" borderId="4" xfId="0" applyFont="1" applyFill="1" applyBorder="1" applyAlignment="1">
      <alignment horizontal="right"/>
    </xf>
    <xf numFmtId="0" fontId="3" fillId="11" borderId="9" xfId="0" applyFont="1" applyFill="1" applyBorder="1" applyAlignment="1">
      <alignment horizontal="center"/>
    </xf>
    <xf numFmtId="0" fontId="3" fillId="11" borderId="9" xfId="0" applyFont="1" applyFill="1" applyBorder="1" applyAlignment="1">
      <alignment horizontal="left"/>
    </xf>
    <xf numFmtId="0" fontId="2" fillId="11" borderId="9" xfId="0" applyFont="1" applyFill="1" applyBorder="1"/>
    <xf numFmtId="0" fontId="2" fillId="11" borderId="10" xfId="0" applyFont="1" applyFill="1" applyBorder="1"/>
    <xf numFmtId="0" fontId="2" fillId="12" borderId="8" xfId="0" applyFont="1" applyFill="1" applyBorder="1"/>
    <xf numFmtId="0" fontId="2" fillId="8" borderId="0" xfId="0" quotePrefix="1" applyFont="1" applyFill="1" applyAlignment="1">
      <alignment horizontal="center"/>
    </xf>
    <xf numFmtId="0" fontId="3" fillId="11" borderId="24" xfId="0" applyFont="1" applyFill="1" applyBorder="1" applyAlignment="1">
      <alignment horizontal="right"/>
    </xf>
    <xf numFmtId="164" fontId="2" fillId="0" borderId="25" xfId="0" applyNumberFormat="1" applyFont="1" applyFill="1" applyBorder="1" applyAlignment="1">
      <alignment horizontal="center"/>
    </xf>
    <xf numFmtId="0" fontId="2" fillId="0" borderId="26" xfId="0" quotePrefix="1" applyFont="1" applyFill="1" applyBorder="1" applyAlignment="1">
      <alignment horizontal="left" vertical="top"/>
    </xf>
    <xf numFmtId="0" fontId="2" fillId="0" borderId="26" xfId="0" applyFont="1" applyFill="1" applyBorder="1"/>
    <xf numFmtId="0" fontId="3" fillId="0" borderId="27" xfId="0" applyFont="1" applyFill="1" applyBorder="1" applyAlignment="1">
      <alignment horizontal="right"/>
    </xf>
    <xf numFmtId="44" fontId="2" fillId="8" borderId="0" xfId="0" applyNumberFormat="1" applyFont="1" applyFill="1" applyBorder="1"/>
    <xf numFmtId="44" fontId="2" fillId="8" borderId="3" xfId="0" applyNumberFormat="1" applyFont="1" applyFill="1" applyBorder="1"/>
    <xf numFmtId="44" fontId="2" fillId="8" borderId="0" xfId="0" applyNumberFormat="1" applyFont="1" applyFill="1"/>
    <xf numFmtId="44" fontId="2" fillId="0" borderId="0" xfId="0" applyNumberFormat="1" applyFont="1" applyFill="1" applyAlignment="1">
      <alignment vertical="top" wrapText="1"/>
    </xf>
    <xf numFmtId="44" fontId="2" fillId="0" borderId="3" xfId="3" applyFont="1" applyFill="1" applyBorder="1"/>
    <xf numFmtId="44" fontId="2" fillId="0" borderId="0" xfId="3" applyFont="1" applyFill="1"/>
    <xf numFmtId="44" fontId="2" fillId="0" borderId="2" xfId="3" applyFont="1" applyFill="1" applyBorder="1"/>
    <xf numFmtId="44" fontId="5" fillId="0" borderId="0" xfId="3" applyFont="1" applyFill="1" applyBorder="1" applyAlignment="1">
      <alignment horizontal="center" wrapText="1"/>
    </xf>
    <xf numFmtId="44" fontId="3" fillId="0" borderId="7" xfId="3" applyFont="1" applyFill="1" applyBorder="1" applyAlignment="1">
      <alignment horizontal="center"/>
    </xf>
    <xf numFmtId="0" fontId="3" fillId="0" borderId="0" xfId="0" applyFont="1" applyFill="1" applyBorder="1" applyAlignment="1"/>
    <xf numFmtId="0" fontId="3" fillId="0" borderId="2" xfId="0" applyFont="1" applyFill="1" applyBorder="1" applyAlignment="1"/>
    <xf numFmtId="0" fontId="3" fillId="6" borderId="0" xfId="0" applyFont="1" applyFill="1" applyBorder="1" applyAlignment="1">
      <alignment horizontal="center" wrapText="1"/>
    </xf>
    <xf numFmtId="44" fontId="3" fillId="9" borderId="0" xfId="0" applyNumberFormat="1" applyFont="1" applyFill="1" applyBorder="1" applyAlignment="1">
      <alignment horizontal="center" wrapText="1"/>
    </xf>
    <xf numFmtId="164" fontId="2" fillId="0" borderId="28" xfId="0" applyNumberFormat="1" applyFont="1" applyFill="1" applyBorder="1" applyAlignment="1">
      <alignment horizontal="center"/>
    </xf>
    <xf numFmtId="43" fontId="2" fillId="0" borderId="0" xfId="1" applyFont="1" applyFill="1"/>
    <xf numFmtId="43" fontId="2" fillId="0" borderId="0" xfId="1" applyFont="1" applyFill="1" applyBorder="1"/>
    <xf numFmtId="43" fontId="2" fillId="0" borderId="2" xfId="1" applyFont="1" applyFill="1" applyBorder="1"/>
    <xf numFmtId="43" fontId="2" fillId="0" borderId="3" xfId="1" applyFont="1" applyFill="1" applyBorder="1"/>
    <xf numFmtId="44" fontId="3" fillId="0" borderId="0" xfId="0" applyNumberFormat="1" applyFont="1" applyFill="1" applyBorder="1"/>
    <xf numFmtId="44" fontId="4" fillId="0" borderId="7" xfId="0" applyNumberFormat="1" applyFont="1" applyFill="1" applyBorder="1" applyAlignment="1">
      <alignment vertical="top" wrapText="1"/>
    </xf>
    <xf numFmtId="44" fontId="2" fillId="0" borderId="2" xfId="0" applyNumberFormat="1" applyFont="1" applyFill="1" applyBorder="1" applyAlignment="1">
      <alignment horizontal="center" wrapText="1"/>
    </xf>
    <xf numFmtId="0" fontId="3" fillId="0" borderId="0" xfId="0" applyFont="1" applyFill="1" applyBorder="1"/>
    <xf numFmtId="44" fontId="3" fillId="0" borderId="0" xfId="3" applyFont="1" applyFill="1" applyBorder="1" applyAlignment="1">
      <alignment horizontal="center"/>
    </xf>
    <xf numFmtId="43" fontId="3" fillId="0" borderId="0" xfId="1" applyFont="1" applyFill="1" applyBorder="1" applyAlignment="1">
      <alignment horizontal="left"/>
    </xf>
    <xf numFmtId="44" fontId="3" fillId="0" borderId="1" xfId="0" applyNumberFormat="1" applyFont="1" applyFill="1" applyBorder="1"/>
    <xf numFmtId="44" fontId="3" fillId="0" borderId="0" xfId="3" applyFont="1" applyFill="1" applyBorder="1" applyAlignment="1">
      <alignment horizontal="left"/>
    </xf>
    <xf numFmtId="0" fontId="2" fillId="11" borderId="10" xfId="0" applyFont="1" applyFill="1" applyBorder="1" applyAlignment="1">
      <alignment horizontal="center"/>
    </xf>
    <xf numFmtId="44" fontId="3" fillId="0" borderId="0" xfId="0" applyNumberFormat="1" applyFont="1" applyFill="1" applyBorder="1" applyAlignment="1">
      <alignment horizontal="center" wrapText="1"/>
    </xf>
    <xf numFmtId="164" fontId="2" fillId="0" borderId="30" xfId="0" applyNumberFormat="1" applyFont="1" applyFill="1" applyBorder="1" applyAlignment="1">
      <alignment horizontal="center"/>
    </xf>
    <xf numFmtId="164" fontId="2" fillId="0" borderId="31" xfId="0" applyNumberFormat="1" applyFont="1" applyFill="1" applyBorder="1" applyAlignment="1">
      <alignment horizontal="center"/>
    </xf>
    <xf numFmtId="0" fontId="2" fillId="0" borderId="31" xfId="0" applyFont="1" applyFill="1" applyBorder="1" applyAlignment="1">
      <alignment horizontal="center"/>
    </xf>
    <xf numFmtId="0" fontId="3" fillId="0" borderId="32" xfId="0" applyFont="1" applyFill="1" applyBorder="1" applyAlignment="1">
      <alignment horizontal="center"/>
    </xf>
    <xf numFmtId="164" fontId="2" fillId="0" borderId="33" xfId="0" applyNumberFormat="1" applyFont="1" applyFill="1" applyBorder="1" applyAlignment="1">
      <alignment horizontal="center"/>
    </xf>
    <xf numFmtId="164" fontId="2" fillId="0" borderId="34" xfId="0" applyNumberFormat="1" applyFont="1" applyFill="1" applyBorder="1" applyAlignment="1">
      <alignment horizontal="center"/>
    </xf>
    <xf numFmtId="0" fontId="2" fillId="0" borderId="34" xfId="0" applyFont="1" applyFill="1" applyBorder="1" applyAlignment="1">
      <alignment horizontal="center"/>
    </xf>
    <xf numFmtId="44" fontId="2" fillId="0" borderId="35" xfId="3" applyFont="1" applyFill="1" applyBorder="1" applyAlignment="1">
      <alignment horizontal="center"/>
    </xf>
    <xf numFmtId="0" fontId="2" fillId="0" borderId="15" xfId="0" applyFont="1" applyFill="1" applyBorder="1" applyAlignment="1">
      <alignment horizontal="center"/>
    </xf>
    <xf numFmtId="44" fontId="2" fillId="0" borderId="16" xfId="3" applyFont="1" applyFill="1" applyBorder="1" applyAlignment="1">
      <alignment horizontal="center"/>
    </xf>
    <xf numFmtId="0" fontId="2" fillId="7" borderId="19" xfId="0" applyFont="1" applyFill="1" applyBorder="1"/>
    <xf numFmtId="0" fontId="3" fillId="7" borderId="9" xfId="0" quotePrefix="1" applyFont="1" applyFill="1" applyBorder="1" applyAlignment="1">
      <alignment horizontal="center"/>
    </xf>
    <xf numFmtId="0" fontId="2" fillId="7" borderId="10" xfId="0" applyFont="1" applyFill="1" applyBorder="1"/>
    <xf numFmtId="0" fontId="2" fillId="7" borderId="2" xfId="0" applyFont="1" applyFill="1" applyBorder="1"/>
    <xf numFmtId="0" fontId="2" fillId="7" borderId="3" xfId="0" applyFont="1" applyFill="1" applyBorder="1"/>
    <xf numFmtId="4" fontId="2" fillId="7" borderId="2" xfId="1" applyNumberFormat="1" applyFont="1" applyFill="1" applyBorder="1"/>
    <xf numFmtId="44" fontId="2" fillId="7" borderId="3" xfId="0" applyNumberFormat="1" applyFont="1" applyFill="1" applyBorder="1"/>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44" fontId="3" fillId="0" borderId="2" xfId="0" applyNumberFormat="1" applyFont="1" applyFill="1" applyBorder="1" applyAlignment="1">
      <alignment horizontal="center" wrapText="1"/>
    </xf>
    <xf numFmtId="44" fontId="3" fillId="0" borderId="3" xfId="0" applyNumberFormat="1" applyFont="1" applyFill="1" applyBorder="1" applyAlignment="1">
      <alignment horizontal="center" wrapText="1"/>
    </xf>
    <xf numFmtId="0" fontId="3" fillId="0" borderId="0" xfId="8" applyFont="1" applyFill="1" applyAlignment="1">
      <alignment horizontal="right"/>
    </xf>
    <xf numFmtId="0" fontId="3" fillId="10" borderId="1" xfId="8" applyFont="1" applyFill="1" applyBorder="1" applyAlignment="1">
      <alignment horizontal="center"/>
    </xf>
    <xf numFmtId="0" fontId="3" fillId="10" borderId="1" xfId="8" applyFont="1" applyFill="1" applyBorder="1" applyAlignment="1">
      <alignment horizontal="center" wrapText="1"/>
    </xf>
    <xf numFmtId="0" fontId="3" fillId="5" borderId="17" xfId="8" applyFont="1" applyFill="1" applyBorder="1" applyAlignment="1">
      <alignment horizontal="center" wrapText="1"/>
    </xf>
    <xf numFmtId="0" fontId="3" fillId="5" borderId="1" xfId="8" applyFont="1" applyFill="1" applyBorder="1" applyAlignment="1">
      <alignment horizontal="center" wrapText="1"/>
    </xf>
    <xf numFmtId="0" fontId="3" fillId="5" borderId="18" xfId="8" applyFont="1" applyFill="1" applyBorder="1" applyAlignment="1">
      <alignment horizontal="center" wrapText="1"/>
    </xf>
    <xf numFmtId="0" fontId="2" fillId="0" borderId="0" xfId="8" quotePrefix="1" applyFont="1" applyFill="1" applyAlignment="1">
      <alignment horizontal="center"/>
    </xf>
    <xf numFmtId="44" fontId="3" fillId="0" borderId="7" xfId="8" applyNumberFormat="1" applyFont="1" applyFill="1" applyBorder="1"/>
    <xf numFmtId="0" fontId="3" fillId="0" borderId="7" xfId="8" applyFont="1" applyFill="1" applyBorder="1"/>
    <xf numFmtId="0" fontId="2" fillId="12" borderId="8" xfId="8" applyFont="1" applyFill="1" applyBorder="1"/>
    <xf numFmtId="0" fontId="3" fillId="11" borderId="9" xfId="8" applyFont="1" applyFill="1" applyBorder="1" applyAlignment="1">
      <alignment horizontal="center"/>
    </xf>
    <xf numFmtId="0" fontId="3" fillId="11" borderId="9" xfId="8" applyFont="1" applyFill="1" applyBorder="1" applyAlignment="1">
      <alignment horizontal="left"/>
    </xf>
    <xf numFmtId="0" fontId="2" fillId="11" borderId="9" xfId="8" applyFont="1" applyFill="1" applyBorder="1"/>
    <xf numFmtId="0" fontId="2" fillId="11" borderId="10" xfId="8" applyFont="1" applyFill="1" applyBorder="1"/>
    <xf numFmtId="44" fontId="3" fillId="0" borderId="0" xfId="8" applyNumberFormat="1" applyFont="1" applyFill="1" applyBorder="1" applyAlignment="1">
      <alignment horizontal="center" wrapText="1"/>
    </xf>
    <xf numFmtId="0" fontId="3" fillId="11" borderId="2" xfId="8" applyFont="1" applyFill="1" applyBorder="1" applyAlignment="1">
      <alignment horizontal="right"/>
    </xf>
    <xf numFmtId="164" fontId="2" fillId="0" borderId="11" xfId="8" applyNumberFormat="1" applyFont="1" applyFill="1" applyBorder="1" applyAlignment="1">
      <alignment horizontal="center"/>
    </xf>
    <xf numFmtId="164" fontId="2" fillId="0" borderId="12" xfId="8" applyNumberFormat="1" applyFont="1" applyFill="1" applyBorder="1" applyAlignment="1">
      <alignment horizontal="center"/>
    </xf>
    <xf numFmtId="0" fontId="2" fillId="0" borderId="12" xfId="8" applyFont="1" applyFill="1" applyBorder="1" applyAlignment="1">
      <alignment horizontal="left"/>
    </xf>
    <xf numFmtId="0" fontId="2" fillId="0" borderId="12" xfId="8" applyFont="1" applyFill="1" applyBorder="1"/>
    <xf numFmtId="0" fontId="3" fillId="0" borderId="13" xfId="8" applyFont="1" applyFill="1" applyBorder="1" applyAlignment="1">
      <alignment horizontal="right"/>
    </xf>
    <xf numFmtId="0" fontId="3" fillId="11" borderId="4" xfId="8" applyFont="1" applyFill="1" applyBorder="1" applyAlignment="1">
      <alignment horizontal="right"/>
    </xf>
    <xf numFmtId="164" fontId="2" fillId="0" borderId="14" xfId="8" applyNumberFormat="1" applyFont="1" applyFill="1" applyBorder="1" applyAlignment="1">
      <alignment horizontal="center"/>
    </xf>
    <xf numFmtId="164" fontId="2" fillId="0" borderId="15" xfId="8" applyNumberFormat="1" applyFont="1" applyFill="1" applyBorder="1" applyAlignment="1">
      <alignment horizontal="center"/>
    </xf>
    <xf numFmtId="0" fontId="2" fillId="0" borderId="15" xfId="8" quotePrefix="1" applyFont="1" applyFill="1" applyBorder="1" applyAlignment="1">
      <alignment horizontal="left" vertical="top"/>
    </xf>
    <xf numFmtId="0" fontId="2" fillId="0" borderId="15" xfId="8" applyFont="1" applyFill="1" applyBorder="1"/>
    <xf numFmtId="0" fontId="3" fillId="0" borderId="16" xfId="8" applyFont="1" applyFill="1" applyBorder="1" applyAlignment="1">
      <alignment horizontal="right"/>
    </xf>
    <xf numFmtId="0" fontId="2" fillId="7" borderId="19" xfId="8" applyFont="1" applyFill="1" applyBorder="1"/>
    <xf numFmtId="0" fontId="3" fillId="7" borderId="9" xfId="8" quotePrefix="1" applyFont="1" applyFill="1" applyBorder="1" applyAlignment="1">
      <alignment horizontal="center"/>
    </xf>
    <xf numFmtId="0" fontId="2" fillId="7" borderId="10" xfId="8" applyFont="1" applyFill="1" applyBorder="1"/>
    <xf numFmtId="0" fontId="3" fillId="6" borderId="1" xfId="8" applyFont="1" applyFill="1" applyBorder="1" applyAlignment="1">
      <alignment horizontal="center" wrapText="1"/>
    </xf>
    <xf numFmtId="0" fontId="2" fillId="0" borderId="0" xfId="8" applyFont="1" applyFill="1" applyBorder="1" applyAlignment="1">
      <alignment horizontal="center" wrapText="1"/>
    </xf>
    <xf numFmtId="164" fontId="2" fillId="0" borderId="0" xfId="8" applyNumberFormat="1" applyFont="1" applyFill="1" applyBorder="1" applyAlignment="1">
      <alignment horizontal="center" wrapText="1"/>
    </xf>
    <xf numFmtId="44" fontId="2" fillId="0" borderId="0" xfId="8" applyNumberFormat="1" applyFont="1" applyFill="1" applyBorder="1"/>
    <xf numFmtId="44" fontId="2" fillId="0" borderId="3" xfId="8" applyNumberFormat="1" applyFont="1" applyFill="1" applyBorder="1"/>
    <xf numFmtId="4" fontId="2" fillId="0" borderId="2" xfId="8" applyNumberFormat="1" applyFont="1" applyFill="1" applyBorder="1"/>
    <xf numFmtId="0" fontId="2" fillId="0" borderId="0" xfId="8" applyFont="1" applyFill="1" applyBorder="1"/>
    <xf numFmtId="0" fontId="2" fillId="0" borderId="3" xfId="8" applyFont="1" applyFill="1" applyBorder="1"/>
    <xf numFmtId="0" fontId="3" fillId="0" borderId="7" xfId="8" applyFont="1" applyFill="1" applyBorder="1" applyAlignment="1">
      <alignment horizontal="center"/>
    </xf>
    <xf numFmtId="14" fontId="3" fillId="0" borderId="7" xfId="8" applyNumberFormat="1" applyFont="1" applyFill="1" applyBorder="1" applyAlignment="1">
      <alignment horizontal="center"/>
    </xf>
    <xf numFmtId="0" fontId="3" fillId="0" borderId="7" xfId="8" applyNumberFormat="1" applyFont="1" applyFill="1" applyBorder="1" applyAlignment="1">
      <alignment horizontal="center"/>
    </xf>
    <xf numFmtId="44" fontId="3" fillId="0" borderId="7" xfId="8" applyNumberFormat="1" applyFont="1" applyFill="1" applyBorder="1" applyAlignment="1">
      <alignment horizontal="center" wrapText="1"/>
    </xf>
    <xf numFmtId="44" fontId="3" fillId="0" borderId="20" xfId="8" applyNumberFormat="1" applyFont="1" applyFill="1" applyBorder="1" applyAlignment="1">
      <alignment horizontal="center" wrapText="1"/>
    </xf>
    <xf numFmtId="44" fontId="3" fillId="0" borderId="21" xfId="8" applyNumberFormat="1" applyFont="1" applyFill="1" applyBorder="1" applyAlignment="1">
      <alignment horizontal="center" wrapText="1"/>
    </xf>
    <xf numFmtId="0" fontId="2" fillId="0" borderId="36" xfId="8" applyFont="1" applyFill="1" applyBorder="1"/>
    <xf numFmtId="0" fontId="2" fillId="0" borderId="37" xfId="8" applyFont="1" applyFill="1" applyBorder="1"/>
    <xf numFmtId="0" fontId="2" fillId="0" borderId="38" xfId="8" applyFont="1" applyFill="1" applyBorder="1"/>
    <xf numFmtId="0" fontId="3" fillId="0" borderId="0" xfId="8" applyFont="1" applyFill="1" applyAlignment="1">
      <alignment horizontal="right"/>
    </xf>
    <xf numFmtId="43" fontId="10" fillId="3" borderId="0" xfId="1" applyFont="1" applyFill="1" applyBorder="1" applyAlignment="1">
      <alignment horizontal="center"/>
    </xf>
    <xf numFmtId="166" fontId="15" fillId="0" borderId="0" xfId="0" applyNumberFormat="1" applyFont="1" applyAlignment="1">
      <alignment horizontal="center"/>
    </xf>
    <xf numFmtId="0" fontId="3" fillId="5" borderId="1" xfId="0" applyFont="1" applyFill="1" applyBorder="1" applyAlignment="1">
      <alignment horizontal="center"/>
    </xf>
    <xf numFmtId="0" fontId="3" fillId="0" borderId="0" xfId="8" applyFont="1" applyFill="1" applyAlignment="1">
      <alignment horizontal="right"/>
    </xf>
    <xf numFmtId="14" fontId="2" fillId="0" borderId="0" xfId="0" applyNumberFormat="1" applyFont="1" applyFill="1" applyAlignment="1">
      <alignment horizontal="center" wrapText="1"/>
    </xf>
    <xf numFmtId="44" fontId="2" fillId="0" borderId="0" xfId="4" applyFont="1" applyFill="1" applyBorder="1" applyAlignment="1">
      <alignment horizontal="right"/>
    </xf>
    <xf numFmtId="44" fontId="2" fillId="0" borderId="2" xfId="3" applyFont="1" applyFill="1" applyBorder="1" applyAlignment="1">
      <alignment horizontal="center"/>
    </xf>
    <xf numFmtId="44" fontId="2" fillId="0" borderId="0" xfId="3" applyFont="1" applyFill="1" applyBorder="1" applyAlignment="1">
      <alignment horizontal="center"/>
    </xf>
    <xf numFmtId="44" fontId="2" fillId="0" borderId="3" xfId="3" applyFont="1" applyFill="1" applyBorder="1" applyAlignment="1">
      <alignment horizontal="center"/>
    </xf>
    <xf numFmtId="44" fontId="3" fillId="0" borderId="20" xfId="3" applyFont="1" applyFill="1" applyBorder="1" applyAlignment="1">
      <alignment horizontal="center"/>
    </xf>
    <xf numFmtId="44" fontId="3" fillId="0" borderId="21" xfId="3" applyFont="1" applyFill="1" applyBorder="1" applyAlignment="1">
      <alignment horizontal="center"/>
    </xf>
    <xf numFmtId="0" fontId="2" fillId="0" borderId="0" xfId="0" applyFont="1" applyFill="1" applyBorder="1" applyAlignment="1">
      <alignment wrapText="1"/>
    </xf>
    <xf numFmtId="0" fontId="3" fillId="5" borderId="1" xfId="8" applyFont="1" applyFill="1" applyBorder="1" applyAlignment="1">
      <alignment horizontal="center"/>
    </xf>
    <xf numFmtId="44" fontId="3" fillId="0" borderId="0" xfId="8" applyNumberFormat="1" applyFont="1" applyFill="1" applyBorder="1"/>
    <xf numFmtId="0" fontId="3" fillId="0" borderId="0" xfId="8" applyFont="1" applyFill="1" applyBorder="1"/>
    <xf numFmtId="14" fontId="2" fillId="0" borderId="0" xfId="8" applyNumberFormat="1" applyFont="1" applyFill="1"/>
    <xf numFmtId="0" fontId="2" fillId="0" borderId="0" xfId="8" applyFont="1" applyFill="1" applyAlignment="1">
      <alignment horizontal="right"/>
    </xf>
    <xf numFmtId="44" fontId="2" fillId="0" borderId="0" xfId="8" applyNumberFormat="1" applyFont="1" applyFill="1" applyAlignment="1">
      <alignment horizontal="right"/>
    </xf>
    <xf numFmtId="0" fontId="2" fillId="0" borderId="0" xfId="8" applyNumberFormat="1" applyFont="1" applyFill="1"/>
    <xf numFmtId="0" fontId="3" fillId="5" borderId="0" xfId="0" applyFont="1" applyFill="1" applyBorder="1" applyAlignment="1">
      <alignment horizontal="left"/>
    </xf>
    <xf numFmtId="164" fontId="8" fillId="0" borderId="5" xfId="0" applyNumberFormat="1" applyFont="1" applyBorder="1" applyAlignment="1">
      <alignment horizontal="center"/>
    </xf>
    <xf numFmtId="165" fontId="8" fillId="0" borderId="5" xfId="6" applyNumberFormat="1" applyFont="1" applyBorder="1" applyAlignment="1">
      <alignment horizontal="center"/>
    </xf>
    <xf numFmtId="0" fontId="8" fillId="0" borderId="5" xfId="0" applyFont="1" applyBorder="1" applyAlignment="1">
      <alignment horizontal="center"/>
    </xf>
    <xf numFmtId="164" fontId="8" fillId="0" borderId="0" xfId="0" applyNumberFormat="1" applyFont="1" applyBorder="1" applyAlignment="1">
      <alignment horizontal="center"/>
    </xf>
    <xf numFmtId="165" fontId="8" fillId="0" borderId="0" xfId="6" applyNumberFormat="1" applyFont="1" applyBorder="1" applyAlignment="1">
      <alignment horizontal="center"/>
    </xf>
    <xf numFmtId="0" fontId="8" fillId="0" borderId="0" xfId="0" applyFont="1" applyBorder="1" applyAlignment="1">
      <alignment horizontal="center"/>
    </xf>
    <xf numFmtId="0" fontId="8" fillId="0" borderId="0" xfId="0" applyFont="1" applyBorder="1"/>
    <xf numFmtId="0" fontId="3" fillId="0" borderId="0" xfId="8" applyFont="1" applyFill="1"/>
    <xf numFmtId="14" fontId="8" fillId="0" borderId="0" xfId="0" applyNumberFormat="1" applyFont="1" applyAlignment="1">
      <alignment horizontal="center"/>
    </xf>
    <xf numFmtId="0" fontId="11" fillId="0" borderId="0" xfId="0" applyFont="1"/>
    <xf numFmtId="0" fontId="11" fillId="0" borderId="0" xfId="0" applyFont="1" applyAlignment="1">
      <alignment horizontal="right"/>
    </xf>
    <xf numFmtId="0" fontId="11" fillId="0" borderId="0" xfId="0" applyFont="1" applyAlignment="1">
      <alignment horizontal="right" wrapText="1"/>
    </xf>
    <xf numFmtId="14" fontId="10" fillId="0" borderId="0" xfId="3" applyNumberFormat="1" applyFont="1" applyFill="1" applyBorder="1" applyAlignment="1">
      <alignment horizontal="center" wrapText="1"/>
    </xf>
    <xf numFmtId="44" fontId="10" fillId="0" borderId="0" xfId="3" applyFont="1" applyFill="1" applyBorder="1" applyAlignment="1">
      <alignment horizontal="center" wrapText="1"/>
    </xf>
    <xf numFmtId="0" fontId="11" fillId="0" borderId="0" xfId="0" applyFont="1" applyAlignment="1">
      <alignment wrapText="1"/>
    </xf>
    <xf numFmtId="1" fontId="11" fillId="0" borderId="0" xfId="0" applyNumberFormat="1" applyFont="1" applyAlignment="1">
      <alignment horizontal="right"/>
    </xf>
    <xf numFmtId="1" fontId="10" fillId="0" borderId="0" xfId="3" applyNumberFormat="1" applyFont="1" applyFill="1" applyBorder="1" applyAlignment="1">
      <alignment horizontal="center"/>
    </xf>
    <xf numFmtId="1" fontId="11" fillId="0" borderId="0" xfId="0" applyNumberFormat="1" applyFont="1"/>
    <xf numFmtId="0" fontId="10" fillId="3" borderId="0" xfId="0" applyFont="1" applyFill="1"/>
    <xf numFmtId="0" fontId="10" fillId="5" borderId="0" xfId="0" applyFont="1" applyFill="1"/>
    <xf numFmtId="0" fontId="10" fillId="0" borderId="0" xfId="0" applyFont="1"/>
    <xf numFmtId="0" fontId="10" fillId="0" borderId="0" xfId="0" applyFont="1" applyAlignment="1">
      <alignment horizontal="left" indent="1"/>
    </xf>
    <xf numFmtId="164"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165" fontId="5" fillId="0" borderId="0" xfId="6" applyNumberFormat="1" applyFont="1" applyFill="1" applyBorder="1" applyAlignment="1">
      <alignment horizontal="center" wrapText="1"/>
    </xf>
    <xf numFmtId="44" fontId="5" fillId="0" borderId="2" xfId="3" applyFont="1" applyFill="1" applyBorder="1" applyAlignment="1">
      <alignment horizontal="center" wrapText="1"/>
    </xf>
    <xf numFmtId="44" fontId="5" fillId="0" borderId="0" xfId="0" applyNumberFormat="1" applyFont="1" applyFill="1" applyBorder="1" applyAlignment="1">
      <alignment horizontal="center" wrapText="1"/>
    </xf>
    <xf numFmtId="44" fontId="5" fillId="0" borderId="0" xfId="0" applyNumberFormat="1" applyFont="1" applyFill="1" applyBorder="1"/>
    <xf numFmtId="44" fontId="5" fillId="0" borderId="3" xfId="0" applyNumberFormat="1" applyFont="1" applyFill="1" applyBorder="1"/>
    <xf numFmtId="44" fontId="5" fillId="0" borderId="0" xfId="0" applyNumberFormat="1" applyFont="1" applyFill="1"/>
    <xf numFmtId="0" fontId="3" fillId="11" borderId="2" xfId="0" applyFont="1" applyFill="1" applyBorder="1" applyAlignment="1">
      <alignment horizontal="right" wrapText="1"/>
    </xf>
    <xf numFmtId="16" fontId="2" fillId="0" borderId="0" xfId="0" quotePrefix="1" applyNumberFormat="1" applyFont="1" applyFill="1" applyAlignment="1">
      <alignment horizontal="center"/>
    </xf>
    <xf numFmtId="0" fontId="8" fillId="0" borderId="0" xfId="0" applyFont="1" applyFill="1"/>
    <xf numFmtId="166" fontId="16" fillId="0" borderId="0" xfId="0" applyNumberFormat="1" applyFont="1" applyFill="1" applyAlignment="1">
      <alignment horizontal="center"/>
    </xf>
    <xf numFmtId="166" fontId="16" fillId="0" borderId="0" xfId="0" applyNumberFormat="1" applyFont="1" applyFill="1" applyBorder="1" applyAlignment="1">
      <alignment horizontal="center"/>
    </xf>
    <xf numFmtId="166" fontId="17" fillId="0" borderId="0" xfId="0" applyNumberFormat="1" applyFont="1" applyFill="1" applyBorder="1" applyAlignment="1">
      <alignment horizontal="center"/>
    </xf>
    <xf numFmtId="166" fontId="17" fillId="0" borderId="0" xfId="0" applyNumberFormat="1" applyFont="1" applyFill="1" applyAlignment="1">
      <alignment horizontal="center"/>
    </xf>
    <xf numFmtId="0" fontId="18" fillId="0" borderId="0" xfId="0" applyFont="1"/>
    <xf numFmtId="0" fontId="3" fillId="11" borderId="2" xfId="8" applyFont="1" applyFill="1" applyBorder="1" applyAlignment="1">
      <alignment horizontal="right" wrapText="1"/>
    </xf>
    <xf numFmtId="44" fontId="2" fillId="0" borderId="3" xfId="3" applyFont="1" applyFill="1" applyBorder="1" applyAlignment="1">
      <alignment horizontal="center" wrapText="1"/>
    </xf>
    <xf numFmtId="16" fontId="2" fillId="0" borderId="0" xfId="8" quotePrefix="1" applyNumberFormat="1" applyFont="1" applyFill="1" applyAlignment="1">
      <alignment horizontal="center"/>
    </xf>
    <xf numFmtId="44" fontId="5" fillId="0" borderId="2" xfId="0" applyNumberFormat="1" applyFont="1" applyFill="1" applyBorder="1" applyAlignment="1">
      <alignment horizontal="center" wrapText="1"/>
    </xf>
    <xf numFmtId="44" fontId="5" fillId="0" borderId="3" xfId="0" applyNumberFormat="1" applyFont="1" applyFill="1" applyBorder="1" applyAlignment="1">
      <alignment horizontal="center" wrapText="1"/>
    </xf>
    <xf numFmtId="0" fontId="5" fillId="0" borderId="0" xfId="0" applyFont="1" applyFill="1"/>
    <xf numFmtId="164" fontId="2" fillId="0" borderId="39" xfId="0" applyNumberFormat="1" applyFont="1" applyFill="1" applyBorder="1" applyAlignment="1">
      <alignment horizontal="center"/>
    </xf>
    <xf numFmtId="0" fontId="2" fillId="0" borderId="42" xfId="0" applyFont="1" applyFill="1" applyBorder="1"/>
    <xf numFmtId="0" fontId="2" fillId="0" borderId="0" xfId="0" applyFont="1" applyFill="1" applyBorder="1" applyAlignment="1">
      <alignment horizontal="left"/>
    </xf>
    <xf numFmtId="0" fontId="3" fillId="11" borderId="43" xfId="0" applyFont="1" applyFill="1" applyBorder="1" applyAlignment="1">
      <alignment horizontal="left"/>
    </xf>
    <xf numFmtId="0" fontId="6" fillId="0" borderId="44" xfId="0" applyFont="1" applyFill="1" applyBorder="1" applyAlignment="1">
      <alignment horizontal="left"/>
    </xf>
    <xf numFmtId="164" fontId="3" fillId="0" borderId="0" xfId="0" applyNumberFormat="1" applyFont="1" applyFill="1" applyBorder="1" applyAlignment="1">
      <alignment horizontal="center"/>
    </xf>
    <xf numFmtId="44" fontId="3" fillId="0" borderId="0" xfId="3" applyFont="1" applyFill="1" applyBorder="1" applyAlignment="1">
      <alignment horizontal="center" wrapText="1"/>
    </xf>
    <xf numFmtId="44" fontId="3" fillId="0" borderId="2" xfId="3" applyFont="1" applyFill="1" applyBorder="1"/>
    <xf numFmtId="44" fontId="3" fillId="0" borderId="0" xfId="3" applyFont="1" applyFill="1" applyBorder="1"/>
    <xf numFmtId="44" fontId="3" fillId="0" borderId="3" xfId="3" applyFont="1" applyFill="1" applyBorder="1"/>
    <xf numFmtId="0" fontId="3" fillId="0" borderId="0" xfId="0" applyFont="1" applyFill="1" applyBorder="1" applyAlignment="1">
      <alignment horizontal="center" wrapText="1"/>
    </xf>
    <xf numFmtId="0" fontId="11" fillId="0" borderId="0" xfId="0" applyFont="1" applyAlignment="1">
      <alignment horizontal="left" vertical="center" wrapText="1" indent="2"/>
    </xf>
    <xf numFmtId="0" fontId="11" fillId="0" borderId="0" xfId="0" applyFont="1" applyAlignment="1">
      <alignment horizontal="left" vertical="top" wrapText="1" indent="1"/>
    </xf>
    <xf numFmtId="0" fontId="7" fillId="0" borderId="0" xfId="0" applyFont="1" applyAlignment="1">
      <alignment horizontal="center"/>
    </xf>
    <xf numFmtId="0" fontId="9" fillId="0" borderId="0" xfId="0" applyFont="1" applyAlignment="1">
      <alignment horizontal="center"/>
    </xf>
    <xf numFmtId="44" fontId="10" fillId="0" borderId="0" xfId="3" applyFont="1" applyFill="1" applyBorder="1" applyAlignment="1">
      <alignment horizontal="center"/>
    </xf>
    <xf numFmtId="0" fontId="11" fillId="0" borderId="0" xfId="0" applyFont="1" applyAlignment="1">
      <alignment horizontal="left" indent="2"/>
    </xf>
    <xf numFmtId="0" fontId="3" fillId="7" borderId="23" xfId="0" applyFont="1" applyFill="1" applyBorder="1" applyAlignment="1">
      <alignment horizontal="center" vertical="center"/>
    </xf>
    <xf numFmtId="0" fontId="3" fillId="7" borderId="0" xfId="0" applyFont="1" applyFill="1" applyAlignment="1">
      <alignment horizontal="center" vertical="center"/>
    </xf>
    <xf numFmtId="0" fontId="3" fillId="7" borderId="9" xfId="8" applyFont="1" applyFill="1" applyBorder="1" applyAlignment="1">
      <alignment horizontal="center"/>
    </xf>
    <xf numFmtId="0" fontId="3" fillId="7" borderId="0" xfId="0" applyFont="1" applyFill="1" applyBorder="1" applyAlignment="1">
      <alignment horizontal="center" vertical="center"/>
    </xf>
    <xf numFmtId="0" fontId="2" fillId="0" borderId="39" xfId="0" applyFont="1" applyFill="1" applyBorder="1" applyAlignment="1">
      <alignment horizontal="left" wrapText="1"/>
    </xf>
    <xf numFmtId="0" fontId="2" fillId="0" borderId="40" xfId="0" applyFont="1" applyFill="1" applyBorder="1" applyAlignment="1">
      <alignment horizontal="left" wrapText="1"/>
    </xf>
    <xf numFmtId="0" fontId="2" fillId="0" borderId="41" xfId="0" applyFont="1" applyFill="1" applyBorder="1" applyAlignment="1">
      <alignment horizontal="left" wrapText="1"/>
    </xf>
    <xf numFmtId="0" fontId="3" fillId="5" borderId="0" xfId="0" applyFont="1" applyFill="1" applyBorder="1" applyAlignment="1">
      <alignment horizontal="center"/>
    </xf>
    <xf numFmtId="0" fontId="3" fillId="7" borderId="23" xfId="0" applyFont="1" applyFill="1" applyBorder="1" applyAlignment="1">
      <alignment horizontal="center"/>
    </xf>
    <xf numFmtId="0" fontId="3" fillId="7" borderId="29" xfId="0" applyFont="1" applyFill="1" applyBorder="1" applyAlignment="1">
      <alignment horizontal="center"/>
    </xf>
    <xf numFmtId="0" fontId="3" fillId="7" borderId="9" xfId="0" applyFont="1" applyFill="1" applyBorder="1" applyAlignment="1">
      <alignment horizontal="center"/>
    </xf>
    <xf numFmtId="0" fontId="3" fillId="7" borderId="0" xfId="0" applyFont="1" applyFill="1" applyBorder="1" applyAlignment="1">
      <alignment horizontal="center"/>
    </xf>
    <xf numFmtId="0" fontId="2" fillId="7" borderId="23" xfId="0" applyFont="1" applyFill="1" applyBorder="1" applyAlignment="1">
      <alignment horizontal="center"/>
    </xf>
  </cellXfs>
  <cellStyles count="11">
    <cellStyle name="Comma" xfId="1" builtinId="3"/>
    <cellStyle name="Comma 2" xfId="2" xr:uid="{00000000-0005-0000-0000-000001000000}"/>
    <cellStyle name="Currency" xfId="3" builtinId="4"/>
    <cellStyle name="Currency 2" xfId="4" xr:uid="{00000000-0005-0000-0000-000003000000}"/>
    <cellStyle name="Currency 3" xfId="10" xr:uid="{00000000-0005-0000-0000-000004000000}"/>
    <cellStyle name="Normal" xfId="0" builtinId="0"/>
    <cellStyle name="Normal 2" xfId="5" xr:uid="{00000000-0005-0000-0000-000006000000}"/>
    <cellStyle name="Normal 2 2" xfId="8" xr:uid="{00000000-0005-0000-0000-000007000000}"/>
    <cellStyle name="Normal 3" xfId="9" xr:uid="{00000000-0005-0000-0000-000008000000}"/>
    <cellStyle name="Percent" xfId="6" builtinId="5"/>
    <cellStyle name="Percent 2" xfId="7" xr:uid="{00000000-0005-0000-0000-00000A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oneCellAnchor>
    <xdr:from>
      <xdr:col>6</xdr:col>
      <xdr:colOff>254000</xdr:colOff>
      <xdr:row>114</xdr:row>
      <xdr:rowOff>81644</xdr:rowOff>
    </xdr:from>
    <xdr:ext cx="875748" cy="598714"/>
    <xdr:sp macro="" textlink="">
      <xdr:nvSpPr>
        <xdr:cNvPr id="2" name="TextBox 1">
          <a:extLst>
            <a:ext uri="{FF2B5EF4-FFF2-40B4-BE49-F238E27FC236}">
              <a16:creationId xmlns:a16="http://schemas.microsoft.com/office/drawing/2014/main" id="{3A942063-AC37-4A3A-903C-BE974F5D5306}"/>
            </a:ext>
          </a:extLst>
        </xdr:cNvPr>
        <xdr:cNvSpPr txBox="1"/>
      </xdr:nvSpPr>
      <xdr:spPr>
        <a:xfrm>
          <a:off x="6896100" y="15505794"/>
          <a:ext cx="875748" cy="59871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8</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371929</xdr:colOff>
      <xdr:row>115</xdr:row>
      <xdr:rowOff>9071</xdr:rowOff>
    </xdr:from>
    <xdr:ext cx="907143" cy="625929"/>
    <xdr:sp macro="" textlink="">
      <xdr:nvSpPr>
        <xdr:cNvPr id="3" name="TextBox 2">
          <a:extLst>
            <a:ext uri="{FF2B5EF4-FFF2-40B4-BE49-F238E27FC236}">
              <a16:creationId xmlns:a16="http://schemas.microsoft.com/office/drawing/2014/main" id="{0A639ABC-F6F0-4DBA-BA93-43891DBCCFD6}"/>
            </a:ext>
          </a:extLst>
        </xdr:cNvPr>
        <xdr:cNvSpPr txBox="1"/>
      </xdr:nvSpPr>
      <xdr:spPr>
        <a:xfrm>
          <a:off x="8112579" y="15566571"/>
          <a:ext cx="907143" cy="625929"/>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4</a:t>
          </a:r>
        </a:p>
      </xdr:txBody>
    </xdr:sp>
    <xdr:clientData/>
  </xdr:oneCellAnchor>
  <xdr:twoCellAnchor>
    <xdr:from>
      <xdr:col>5</xdr:col>
      <xdr:colOff>1022172</xdr:colOff>
      <xdr:row>115</xdr:row>
      <xdr:rowOff>36286</xdr:rowOff>
    </xdr:from>
    <xdr:to>
      <xdr:col>6</xdr:col>
      <xdr:colOff>254000</xdr:colOff>
      <xdr:row>115</xdr:row>
      <xdr:rowOff>80555</xdr:rowOff>
    </xdr:to>
    <xdr:cxnSp macro="">
      <xdr:nvCxnSpPr>
        <xdr:cNvPr id="4" name="Straight Arrow Connector 3">
          <a:extLst>
            <a:ext uri="{FF2B5EF4-FFF2-40B4-BE49-F238E27FC236}">
              <a16:creationId xmlns:a16="http://schemas.microsoft.com/office/drawing/2014/main" id="{298B58D9-1B62-4BDD-8235-F79B6F07FD55}"/>
            </a:ext>
          </a:extLst>
        </xdr:cNvPr>
        <xdr:cNvCxnSpPr/>
      </xdr:nvCxnSpPr>
      <xdr:spPr>
        <a:xfrm flipH="1">
          <a:off x="6635572" y="15593786"/>
          <a:ext cx="260528" cy="4426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905867</xdr:colOff>
      <xdr:row>112</xdr:row>
      <xdr:rowOff>127000</xdr:rowOff>
    </xdr:from>
    <xdr:to>
      <xdr:col>8</xdr:col>
      <xdr:colOff>217714</xdr:colOff>
      <xdr:row>114</xdr:row>
      <xdr:rowOff>124673</xdr:rowOff>
    </xdr:to>
    <xdr:cxnSp macro="">
      <xdr:nvCxnSpPr>
        <xdr:cNvPr id="5" name="Straight Arrow Connector 4">
          <a:extLst>
            <a:ext uri="{FF2B5EF4-FFF2-40B4-BE49-F238E27FC236}">
              <a16:creationId xmlns:a16="http://schemas.microsoft.com/office/drawing/2014/main" id="{AC4C4292-C6CC-4882-84AE-C5E8A187815D}"/>
            </a:ext>
          </a:extLst>
        </xdr:cNvPr>
        <xdr:cNvCxnSpPr/>
      </xdr:nvCxnSpPr>
      <xdr:spPr>
        <a:xfrm flipV="1">
          <a:off x="8646517" y="15284450"/>
          <a:ext cx="327847" cy="26437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36286</xdr:colOff>
      <xdr:row>113</xdr:row>
      <xdr:rowOff>81645</xdr:rowOff>
    </xdr:from>
    <xdr:to>
      <xdr:col>6</xdr:col>
      <xdr:colOff>691874</xdr:colOff>
      <xdr:row>114</xdr:row>
      <xdr:rowOff>81644</xdr:rowOff>
    </xdr:to>
    <xdr:cxnSp macro="">
      <xdr:nvCxnSpPr>
        <xdr:cNvPr id="6" name="Straight Arrow Connector 5">
          <a:extLst>
            <a:ext uri="{FF2B5EF4-FFF2-40B4-BE49-F238E27FC236}">
              <a16:creationId xmlns:a16="http://schemas.microsoft.com/office/drawing/2014/main" id="{5E5E4ACA-9238-45A5-802E-8CAC25D69CF1}"/>
            </a:ext>
          </a:extLst>
        </xdr:cNvPr>
        <xdr:cNvCxnSpPr>
          <a:stCxn id="2" idx="0"/>
        </xdr:cNvCxnSpPr>
      </xdr:nvCxnSpPr>
      <xdr:spPr>
        <a:xfrm flipH="1" flipV="1">
          <a:off x="6678386" y="15372445"/>
          <a:ext cx="655588" cy="1333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0</xdr:colOff>
      <xdr:row>135</xdr:row>
      <xdr:rowOff>36285</xdr:rowOff>
    </xdr:from>
    <xdr:ext cx="907143" cy="562429"/>
    <xdr:sp macro="" textlink="">
      <xdr:nvSpPr>
        <xdr:cNvPr id="2" name="TextBox 1">
          <a:extLst>
            <a:ext uri="{FF2B5EF4-FFF2-40B4-BE49-F238E27FC236}">
              <a16:creationId xmlns:a16="http://schemas.microsoft.com/office/drawing/2014/main" id="{1CC14F0B-B6C3-492E-B2FA-B62FA8A05A75}"/>
            </a:ext>
          </a:extLst>
        </xdr:cNvPr>
        <xdr:cNvSpPr txBox="1"/>
      </xdr:nvSpPr>
      <xdr:spPr>
        <a:xfrm>
          <a:off x="7493000" y="18614571"/>
          <a:ext cx="907143" cy="562429"/>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1</a:t>
          </a:r>
        </a:p>
        <a:p>
          <a:endParaRPr lang="en-US" sz="900">
            <a:latin typeface="Arial" panose="020B0604020202020204" pitchFamily="34" charset="0"/>
            <a:cs typeface="Arial" panose="020B0604020202020204" pitchFamily="34" charset="0"/>
          </a:endParaRPr>
        </a:p>
      </xdr:txBody>
    </xdr:sp>
    <xdr:clientData/>
  </xdr:oneCellAnchor>
  <xdr:twoCellAnchor>
    <xdr:from>
      <xdr:col>7</xdr:col>
      <xdr:colOff>453572</xdr:colOff>
      <xdr:row>134</xdr:row>
      <xdr:rowOff>9073</xdr:rowOff>
    </xdr:from>
    <xdr:to>
      <xdr:col>8</xdr:col>
      <xdr:colOff>226785</xdr:colOff>
      <xdr:row>135</xdr:row>
      <xdr:rowOff>36285</xdr:rowOff>
    </xdr:to>
    <xdr:cxnSp macro="">
      <xdr:nvCxnSpPr>
        <xdr:cNvPr id="3" name="Straight Arrow Connector 2">
          <a:extLst>
            <a:ext uri="{FF2B5EF4-FFF2-40B4-BE49-F238E27FC236}">
              <a16:creationId xmlns:a16="http://schemas.microsoft.com/office/drawing/2014/main" id="{39E99509-5AFF-4231-8243-05A332E0FBFA}"/>
            </a:ext>
          </a:extLst>
        </xdr:cNvPr>
        <xdr:cNvCxnSpPr>
          <a:stCxn id="2" idx="0"/>
        </xdr:cNvCxnSpPr>
      </xdr:nvCxnSpPr>
      <xdr:spPr>
        <a:xfrm flipV="1">
          <a:off x="7946572" y="18451287"/>
          <a:ext cx="780142" cy="16328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5653-EE8B-4350-B3BA-33D553B00F21}">
  <sheetPr>
    <pageSetUpPr fitToPage="1"/>
  </sheetPr>
  <dimension ref="A1:I131"/>
  <sheetViews>
    <sheetView view="pageLayout" zoomScale="90" zoomScaleNormal="100" zoomScaleSheetLayoutView="70" zoomScalePageLayoutView="90" workbookViewId="0">
      <selection sqref="A1:I1"/>
    </sheetView>
  </sheetViews>
  <sheetFormatPr defaultColWidth="9.08984375" defaultRowHeight="10.5" x14ac:dyDescent="0.25"/>
  <cols>
    <col min="1" max="1" width="24.453125" style="287" customWidth="1"/>
    <col min="2" max="2" width="14.6328125" style="22" customWidth="1"/>
    <col min="3" max="3" width="13.81640625" style="22" customWidth="1"/>
    <col min="4" max="4" width="12.6328125" style="22" customWidth="1"/>
    <col min="5" max="5" width="14.26953125" style="22" customWidth="1"/>
    <col min="6" max="6" width="14.6328125" style="22" customWidth="1"/>
    <col min="7" max="7" width="15.6328125" style="22" customWidth="1"/>
    <col min="8" max="8" width="14.453125" style="22" customWidth="1"/>
    <col min="9" max="9" width="14.54296875" style="22" customWidth="1"/>
    <col min="10" max="16384" width="9.08984375" style="287"/>
  </cols>
  <sheetData>
    <row r="1" spans="1:9" ht="15" x14ac:dyDescent="0.3">
      <c r="A1" s="335" t="s">
        <v>172</v>
      </c>
      <c r="B1" s="335"/>
      <c r="C1" s="335"/>
      <c r="D1" s="335"/>
      <c r="E1" s="335"/>
      <c r="F1" s="335"/>
      <c r="G1" s="335"/>
      <c r="H1" s="335"/>
      <c r="I1" s="335"/>
    </row>
    <row r="2" spans="1:9" ht="13" x14ac:dyDescent="0.3">
      <c r="A2" s="336">
        <v>2019</v>
      </c>
      <c r="B2" s="336"/>
      <c r="C2" s="336"/>
      <c r="D2" s="336"/>
      <c r="E2" s="336"/>
      <c r="F2" s="336"/>
      <c r="G2" s="336"/>
      <c r="H2" s="336"/>
      <c r="I2" s="336"/>
    </row>
    <row r="3" spans="1:9" x14ac:dyDescent="0.25">
      <c r="A3" s="288"/>
      <c r="B3" s="21"/>
      <c r="C3" s="21"/>
      <c r="D3" s="21"/>
      <c r="E3" s="21"/>
      <c r="F3" s="21"/>
      <c r="G3" s="21"/>
      <c r="H3" s="21"/>
      <c r="I3" s="21"/>
    </row>
    <row r="4" spans="1:9" x14ac:dyDescent="0.25">
      <c r="A4" s="288"/>
      <c r="B4" s="337" t="s">
        <v>28</v>
      </c>
      <c r="C4" s="337"/>
      <c r="D4" s="337"/>
      <c r="E4" s="337"/>
      <c r="F4" s="32"/>
      <c r="G4" s="21"/>
      <c r="H4" s="21"/>
      <c r="I4" s="21"/>
    </row>
    <row r="5" spans="1:9" s="292" customFormat="1" ht="21" x14ac:dyDescent="0.25">
      <c r="A5" s="289"/>
      <c r="B5" s="290">
        <f>DATE($A$2,3,31)</f>
        <v>43555</v>
      </c>
      <c r="C5" s="290">
        <f>DATE($A$2,6,30)</f>
        <v>43646</v>
      </c>
      <c r="D5" s="290">
        <f>DATE($A$2,9,30)</f>
        <v>43738</v>
      </c>
      <c r="E5" s="290">
        <f>DATE($A$2,12,31)</f>
        <v>43830</v>
      </c>
      <c r="F5" s="291" t="s">
        <v>0</v>
      </c>
      <c r="G5" s="291" t="s">
        <v>25</v>
      </c>
      <c r="H5" s="291" t="s">
        <v>27</v>
      </c>
      <c r="I5" s="291" t="s">
        <v>26</v>
      </c>
    </row>
    <row r="6" spans="1:9" s="295" customFormat="1" x14ac:dyDescent="0.25">
      <c r="A6" s="293"/>
      <c r="B6" s="294"/>
      <c r="C6" s="294"/>
      <c r="D6" s="294"/>
      <c r="E6" s="294"/>
      <c r="F6" s="294"/>
      <c r="G6" s="294"/>
      <c r="H6" s="294"/>
      <c r="I6" s="294"/>
    </row>
    <row r="7" spans="1:9" x14ac:dyDescent="0.25">
      <c r="A7" s="296" t="s">
        <v>41</v>
      </c>
      <c r="B7" s="30"/>
      <c r="C7" s="30"/>
      <c r="D7" s="30"/>
      <c r="E7" s="30"/>
      <c r="F7" s="31"/>
      <c r="G7" s="31"/>
      <c r="H7" s="31"/>
      <c r="I7" s="31"/>
    </row>
    <row r="8" spans="1:9" x14ac:dyDescent="0.25">
      <c r="A8" s="287" t="s">
        <v>29</v>
      </c>
      <c r="B8" s="21">
        <f>+VLOOKUP(B5,'TOT175 (adj)'!$D$107:$L$127,9,FALSE)</f>
        <v>630113.84199999995</v>
      </c>
      <c r="C8" s="21">
        <f>+VLOOKUP(C5,'TOT175 (adj)'!$D$107:$L$127,9,FALSE)</f>
        <v>630113.84199999995</v>
      </c>
      <c r="D8" s="21">
        <f>+VLOOKUP(D5,'TOT175 (adj)'!$D$107:$L$127,9,FALSE)</f>
        <v>630113.84199999995</v>
      </c>
      <c r="E8" s="21">
        <v>0</v>
      </c>
      <c r="F8" s="39">
        <f>SUM(B8:E8)</f>
        <v>1890341.5259999998</v>
      </c>
      <c r="G8" s="21">
        <f>'TOT175 (adj)'!$C$29</f>
        <v>12602276.84</v>
      </c>
      <c r="H8" s="21">
        <f>SUMPRODUCT(('TOT175 (adj)'!$D$107:$D$127&lt;=$E$5)*1,'TOT175 (adj)'!$L$107:$L$127*1)</f>
        <v>12602276.84</v>
      </c>
      <c r="I8" s="21">
        <f>G8-H8</f>
        <v>0</v>
      </c>
    </row>
    <row r="9" spans="1:9" x14ac:dyDescent="0.25">
      <c r="A9" s="287" t="s">
        <v>30</v>
      </c>
      <c r="B9" s="21">
        <f>+VLOOKUP(B5,'TOT175 (adj)'!$D$107:$L$127,8,FALSE)</f>
        <v>57263.501225778418</v>
      </c>
      <c r="C9" s="21">
        <f>+VLOOKUP(C5,'TOT175 (adj)'!$D$107:$L$127,8,FALSE)</f>
        <v>49887.071344729411</v>
      </c>
      <c r="D9" s="21">
        <f>+VLOOKUP(D5,'TOT175 (adj)'!$D$107:$L$127,8,FALSE)</f>
        <v>41074.169256699621</v>
      </c>
      <c r="E9" s="21">
        <v>0</v>
      </c>
      <c r="F9" s="39">
        <f>SUM(B9:E9)</f>
        <v>148224.74182720744</v>
      </c>
    </row>
    <row r="10" spans="1:9" x14ac:dyDescent="0.25">
      <c r="A10" s="287" t="s">
        <v>31</v>
      </c>
      <c r="B10" s="21">
        <v>0</v>
      </c>
      <c r="C10" s="21">
        <v>0</v>
      </c>
      <c r="D10" s="21">
        <v>0</v>
      </c>
      <c r="E10" s="21">
        <v>0</v>
      </c>
      <c r="F10" s="39">
        <f>SUM(B10:E10)</f>
        <v>0</v>
      </c>
    </row>
    <row r="11" spans="1:9" x14ac:dyDescent="0.25">
      <c r="A11" s="287" t="s">
        <v>32</v>
      </c>
      <c r="B11" s="21">
        <v>0</v>
      </c>
      <c r="C11" s="21">
        <v>0</v>
      </c>
      <c r="D11" s="21">
        <v>0</v>
      </c>
      <c r="E11" s="21">
        <v>0</v>
      </c>
      <c r="F11" s="39">
        <f>SUM(B11:E11)</f>
        <v>0</v>
      </c>
    </row>
    <row r="12" spans="1:9" x14ac:dyDescent="0.25">
      <c r="A12" s="288"/>
      <c r="B12" s="21"/>
      <c r="C12" s="21"/>
      <c r="D12" s="21"/>
      <c r="E12" s="21"/>
      <c r="F12" s="39"/>
      <c r="G12" s="21"/>
      <c r="H12" s="21"/>
      <c r="I12" s="21"/>
    </row>
    <row r="13" spans="1:9" x14ac:dyDescent="0.25">
      <c r="A13" s="296" t="s">
        <v>135</v>
      </c>
      <c r="B13" s="30"/>
      <c r="C13" s="30"/>
      <c r="D13" s="30"/>
      <c r="E13" s="30"/>
      <c r="F13" s="31"/>
      <c r="G13" s="31"/>
      <c r="H13" s="31"/>
      <c r="I13" s="31"/>
    </row>
    <row r="14" spans="1:9" x14ac:dyDescent="0.25">
      <c r="A14" s="287" t="s">
        <v>29</v>
      </c>
      <c r="B14" s="21">
        <f>+VLOOKUP($B$5,'TOT211'!$D$29:$L$53,9,FALSE)</f>
        <v>1974800</v>
      </c>
      <c r="C14" s="21">
        <f>+VLOOKUP($C$5,'TOT211'!$D$29:$L$53,9,FALSE)</f>
        <v>1974800</v>
      </c>
      <c r="D14" s="21">
        <f>+VLOOKUP($D$5,'TOT211'!$D$29:$L$53,9,FALSE)</f>
        <v>1974800</v>
      </c>
      <c r="E14" s="21">
        <f>+VLOOKUP($E$5,'TOT211'!$D$29:$L$53,9,FALSE)</f>
        <v>1974800</v>
      </c>
      <c r="F14" s="39">
        <f>SUM(B14:E14)</f>
        <v>7899200</v>
      </c>
      <c r="G14" s="21">
        <f>+'TOT211'!G25</f>
        <v>39496000</v>
      </c>
      <c r="H14" s="21">
        <f>SUMPRODUCT(('TOT211'!$D$29:$D$53&lt;=$E$5)*1,'TOT211'!$L$29:$L$53*1)</f>
        <v>27647200</v>
      </c>
      <c r="I14" s="21">
        <f>G14-H14</f>
        <v>11848800</v>
      </c>
    </row>
    <row r="15" spans="1:9" x14ac:dyDescent="0.25">
      <c r="A15" s="287" t="s">
        <v>30</v>
      </c>
      <c r="B15" s="21">
        <f>+VLOOKUP($B$5,'TOT211'!$D$29:$L$53,8,FALSE)</f>
        <v>344375.66525527101</v>
      </c>
      <c r="C15" s="21">
        <f>+VLOOKUP($C$5,'TOT211'!$D$29:$L$53,8,FALSE)</f>
        <v>333194.46874465665</v>
      </c>
      <c r="D15" s="21">
        <f>+VLOOKUP($D$5,'TOT211'!$D$29:$L$53,8,FALSE)</f>
        <v>309781.28552477364</v>
      </c>
      <c r="E15" s="21">
        <f>+VLOOKUP($E$5,'TOT211'!$D$29:$L$53,8,FALSE)</f>
        <v>278369.13798837794</v>
      </c>
      <c r="F15" s="39">
        <f>SUM(B15:E15)</f>
        <v>1265720.5575130791</v>
      </c>
      <c r="G15" s="60"/>
      <c r="H15" s="61"/>
      <c r="I15" s="61"/>
    </row>
    <row r="16" spans="1:9" x14ac:dyDescent="0.25">
      <c r="A16" s="287" t="s">
        <v>31</v>
      </c>
      <c r="B16" s="21">
        <v>0</v>
      </c>
      <c r="C16" s="21">
        <v>0</v>
      </c>
      <c r="D16" s="21">
        <v>0</v>
      </c>
      <c r="E16" s="21">
        <v>0</v>
      </c>
      <c r="F16" s="39">
        <f>SUM(B16:E16)</f>
        <v>0</v>
      </c>
      <c r="G16" s="37"/>
    </row>
    <row r="17" spans="1:9" x14ac:dyDescent="0.25">
      <c r="A17" s="287" t="s">
        <v>32</v>
      </c>
      <c r="B17" s="21">
        <v>0</v>
      </c>
      <c r="C17" s="21">
        <v>0</v>
      </c>
      <c r="D17" s="21">
        <v>0</v>
      </c>
      <c r="E17" s="21">
        <v>0</v>
      </c>
      <c r="F17" s="39">
        <f>SUM(B17:E17)</f>
        <v>0</v>
      </c>
    </row>
    <row r="18" spans="1:9" x14ac:dyDescent="0.25">
      <c r="B18" s="21"/>
      <c r="C18" s="21"/>
      <c r="D18" s="21"/>
      <c r="E18" s="21"/>
      <c r="F18" s="39"/>
    </row>
    <row r="19" spans="1:9" x14ac:dyDescent="0.25">
      <c r="A19" s="296" t="s">
        <v>46</v>
      </c>
      <c r="B19" s="30"/>
      <c r="C19" s="30"/>
      <c r="D19" s="30"/>
      <c r="E19" s="30"/>
      <c r="F19" s="31"/>
      <c r="G19" s="31"/>
      <c r="H19" s="31"/>
      <c r="I19" s="31"/>
    </row>
    <row r="20" spans="1:9" x14ac:dyDescent="0.25">
      <c r="A20" s="287" t="s">
        <v>29</v>
      </c>
      <c r="B20" s="21">
        <f>+VLOOKUP(B5,'TOT219'!$D$40:$L$63,9,FALSE)</f>
        <v>119750</v>
      </c>
      <c r="C20" s="21">
        <f>+VLOOKUP(C5,'TOT219'!$D$40:$L$63,9,FALSE)</f>
        <v>119750</v>
      </c>
      <c r="D20" s="21">
        <f>+VLOOKUP(D5,'TOT219'!$D$40:$L$63,9,FALSE)</f>
        <v>119750</v>
      </c>
      <c r="E20" s="21">
        <f>+VLOOKUP(E5,'TOT219'!$D$40:$L$63,9,FALSE)</f>
        <v>119750</v>
      </c>
      <c r="F20" s="39">
        <f>SUM(B20:E20)</f>
        <v>479000</v>
      </c>
      <c r="G20" s="21">
        <f>+'TOT219'!$F$36</f>
        <v>2395000</v>
      </c>
      <c r="H20" s="21">
        <f>SUMPRODUCT(('TOT219'!$D$40:$D$63&lt;=$E$5)*1,'TOT219'!$L$40:$L$63*1)</f>
        <v>2275250</v>
      </c>
      <c r="I20" s="21">
        <f>G20-H20</f>
        <v>119750</v>
      </c>
    </row>
    <row r="21" spans="1:9" x14ac:dyDescent="0.25">
      <c r="A21" s="287" t="s">
        <v>30</v>
      </c>
      <c r="B21" s="21">
        <f>+VLOOKUP(B5,'TOT219'!$D$40:$L$63,8,FALSE)</f>
        <v>11188.375083742609</v>
      </c>
      <c r="C21" s="21">
        <f>+VLOOKUP(C5,'TOT219'!$D$40:$L$63,8,FALSE)</f>
        <v>10017.614510255566</v>
      </c>
      <c r="D21" s="21">
        <f>+VLOOKUP(D5,'TOT219'!$D$40:$L$63,8,FALSE)</f>
        <v>8446.9339943273808</v>
      </c>
      <c r="E21" s="21">
        <f>+VLOOKUP(E5,'TOT219'!$D$40:$L$63,8,FALSE)</f>
        <v>6691.0628945976168</v>
      </c>
      <c r="F21" s="39">
        <f>SUM(B21:E21)</f>
        <v>36343.986482923166</v>
      </c>
    </row>
    <row r="22" spans="1:9" x14ac:dyDescent="0.25">
      <c r="A22" s="287" t="s">
        <v>31</v>
      </c>
      <c r="B22" s="21">
        <v>0</v>
      </c>
      <c r="C22" s="21">
        <v>0</v>
      </c>
      <c r="D22" s="21">
        <v>0</v>
      </c>
      <c r="E22" s="21">
        <v>0</v>
      </c>
      <c r="F22" s="21">
        <v>0</v>
      </c>
    </row>
    <row r="23" spans="1:9" x14ac:dyDescent="0.25">
      <c r="A23" s="287" t="s">
        <v>32</v>
      </c>
      <c r="B23" s="21">
        <v>0</v>
      </c>
      <c r="C23" s="21">
        <v>0</v>
      </c>
      <c r="D23" s="21">
        <v>0</v>
      </c>
      <c r="E23" s="21">
        <v>0</v>
      </c>
      <c r="F23" s="21">
        <v>0</v>
      </c>
    </row>
    <row r="24" spans="1:9" x14ac:dyDescent="0.25">
      <c r="A24" s="288"/>
      <c r="B24" s="21"/>
      <c r="C24" s="21"/>
      <c r="D24" s="21"/>
      <c r="E24" s="21"/>
      <c r="F24" s="39"/>
      <c r="G24" s="21"/>
      <c r="H24" s="21"/>
      <c r="I24" s="21"/>
    </row>
    <row r="25" spans="1:9" x14ac:dyDescent="0.25">
      <c r="A25" s="296" t="s">
        <v>109</v>
      </c>
      <c r="B25" s="30"/>
      <c r="C25" s="30"/>
      <c r="D25" s="30"/>
      <c r="E25" s="30"/>
      <c r="F25" s="31"/>
      <c r="G25" s="31"/>
      <c r="H25" s="31"/>
      <c r="I25" s="31"/>
    </row>
    <row r="26" spans="1:9" x14ac:dyDescent="0.25">
      <c r="A26" s="287" t="s">
        <v>29</v>
      </c>
      <c r="B26" s="21">
        <f>+VLOOKUP($B$5,'TOT223'!$D$33:$L$57,9,FALSE)</f>
        <v>120500</v>
      </c>
      <c r="C26" s="21">
        <f>+VLOOKUP($C$5,'TOT223'!$D$33:$L$57,9,FALSE)</f>
        <v>120500</v>
      </c>
      <c r="D26" s="21">
        <f>+VLOOKUP($D$5,'TOT223'!$D$33:$L$57,9,FALSE)</f>
        <v>120500</v>
      </c>
      <c r="E26" s="21">
        <f>+VLOOKUP($E$5,'TOT223'!$D$33:$L$57,9,FALSE)</f>
        <v>120500</v>
      </c>
      <c r="F26" s="39">
        <f>SUM(B26:E26)</f>
        <v>482000</v>
      </c>
      <c r="G26" s="21">
        <f>+'TOT223'!$C$26</f>
        <v>2410000</v>
      </c>
      <c r="H26" s="21">
        <f>SUMPRODUCT(('TOT223'!$D$33:$D$57&lt;=$E$5)*1,'TOT223'!$L$33:$L$57*1)</f>
        <v>1807500</v>
      </c>
      <c r="I26" s="21">
        <f>G26-H26</f>
        <v>602500</v>
      </c>
    </row>
    <row r="27" spans="1:9" x14ac:dyDescent="0.25">
      <c r="A27" s="287" t="s">
        <v>30</v>
      </c>
      <c r="B27" s="21">
        <f>+VLOOKUP($B$5,'TOT223'!$D$33:$L$57,8,FALSE)</f>
        <v>20332.243801442164</v>
      </c>
      <c r="C27" s="21">
        <f>+VLOOKUP($C$5,'TOT223'!$D$33:$L$57,8,FALSE)</f>
        <v>19542.532872169628</v>
      </c>
      <c r="D27" s="21">
        <f>+VLOOKUP($D$5,'TOT223'!$D$33:$L$57,8,FALSE)</f>
        <v>18069.697764814726</v>
      </c>
      <c r="E27" s="21">
        <f>+VLOOKUP($E$5,'TOT223'!$D$33:$L$57,8,FALSE)</f>
        <v>16165.80922472456</v>
      </c>
      <c r="F27" s="39">
        <f>SUM(B27:E27)</f>
        <v>74110.283663151087</v>
      </c>
      <c r="G27" s="60"/>
      <c r="H27" s="61"/>
      <c r="I27" s="61"/>
    </row>
    <row r="28" spans="1:9" x14ac:dyDescent="0.25">
      <c r="A28" s="287" t="s">
        <v>31</v>
      </c>
      <c r="B28" s="21">
        <v>0</v>
      </c>
      <c r="C28" s="21">
        <v>0</v>
      </c>
      <c r="D28" s="21">
        <v>0</v>
      </c>
      <c r="E28" s="21">
        <v>0</v>
      </c>
      <c r="F28" s="39">
        <f>SUM(B28:E28)</f>
        <v>0</v>
      </c>
      <c r="G28" s="37"/>
    </row>
    <row r="29" spans="1:9" x14ac:dyDescent="0.25">
      <c r="A29" s="287" t="s">
        <v>32</v>
      </c>
      <c r="B29" s="21">
        <v>0</v>
      </c>
      <c r="C29" s="21">
        <v>0</v>
      </c>
      <c r="D29" s="21">
        <v>0</v>
      </c>
      <c r="E29" s="21">
        <v>0</v>
      </c>
      <c r="F29" s="39">
        <f>SUM(B29:E29)</f>
        <v>0</v>
      </c>
    </row>
    <row r="30" spans="1:9" x14ac:dyDescent="0.25">
      <c r="B30" s="21"/>
      <c r="C30" s="21"/>
      <c r="D30" s="21"/>
      <c r="E30" s="21"/>
      <c r="F30" s="39"/>
    </row>
    <row r="31" spans="1:9" x14ac:dyDescent="0.25">
      <c r="A31" s="296" t="s">
        <v>151</v>
      </c>
      <c r="B31" s="30"/>
      <c r="C31" s="30"/>
      <c r="D31" s="30"/>
      <c r="E31" s="30"/>
      <c r="F31" s="31"/>
      <c r="G31" s="31"/>
      <c r="H31" s="31"/>
      <c r="I31" s="31"/>
    </row>
    <row r="32" spans="1:9" x14ac:dyDescent="0.25">
      <c r="A32" s="287" t="s">
        <v>29</v>
      </c>
      <c r="B32" s="21">
        <f>+VLOOKUP(B$5,'TOT276 (Phase 1)'!$D$29:$M$65,9,FALSE)+VLOOKUP(B$5,'TOT276 (Phase 2)'!$D$29:$M$67,9,FALSE)</f>
        <v>62989.690721649487</v>
      </c>
      <c r="C32" s="21">
        <f>+VLOOKUP(C$5,'TOT276 (Phase 1)'!$D$29:$M$65,9,FALSE)+VLOOKUP(C$5,'TOT276 (Phase 2)'!$D$29:$M$67,9,FALSE)</f>
        <v>62989.690721649487</v>
      </c>
      <c r="D32" s="21">
        <f>+VLOOKUP(D$5,'TOT276 (Phase 1)'!$D$29:$M$65,9,FALSE)+VLOOKUP(D$5,'TOT276 (Phase 2)'!$D$29:$M$67,9,FALSE)</f>
        <v>62989.690721649487</v>
      </c>
      <c r="E32" s="21">
        <f>+VLOOKUP(E$5,'TOT276 (Phase 1)'!$D$29:$M$65,9,FALSE)+VLOOKUP(E$5,'TOT276 (Phase 2)'!$D$29:$M$67,9,FALSE)</f>
        <v>62989.690721649487</v>
      </c>
      <c r="F32" s="39">
        <f>SUM(B32:E32)</f>
        <v>251958.76288659795</v>
      </c>
      <c r="G32" s="21">
        <f>+'TOT276 (Phase 1)'!F26+'TOT276 (Phase 2)'!F26</f>
        <v>1259793.8144329898</v>
      </c>
      <c r="H32" s="21">
        <f>SUMPRODUCT(('TOT276 (Phase 1)'!$D$30:$D$65&lt;=$E$5)*1,'TOT276 (Phase 1)'!$L$30:$L$65*1)+SUMPRODUCT(('TOT276 (Phase 2)'!$D$30:$D$67&lt;=$E$5)*1,'TOT276 (Phase 2)'!$L$30:$L$67*1)</f>
        <v>877835.0515463918</v>
      </c>
      <c r="I32" s="21">
        <f>G32-H32</f>
        <v>381958.76288659801</v>
      </c>
    </row>
    <row r="33" spans="1:9" x14ac:dyDescent="0.25">
      <c r="A33" s="287" t="s">
        <v>30</v>
      </c>
      <c r="B33" s="21">
        <f>+VLOOKUP(B$5,'TOT276 (Phase 1)'!$D$29:$M$65,8,FALSE)+VLOOKUP(B$5,'TOT276 (Phase 2)'!$D$29:$M$67,8,FALSE)</f>
        <v>24387.490418701134</v>
      </c>
      <c r="C33" s="21">
        <f>+VLOOKUP(C$5,'TOT276 (Phase 1)'!$D$29:$M$65,8,FALSE)+VLOOKUP(C$5,'TOT276 (Phase 2)'!$D$29:$M$67,8,FALSE)</f>
        <v>23970.560455716164</v>
      </c>
      <c r="D33" s="21">
        <f>+VLOOKUP(D$5,'TOT276 (Phase 1)'!$D$29:$M$65,8,FALSE)+VLOOKUP(D$5,'TOT276 (Phase 2)'!$D$29:$M$67,8,FALSE)</f>
        <v>23090.444181543342</v>
      </c>
      <c r="E33" s="21">
        <f>+VLOOKUP(E$5,'TOT276 (Phase 1)'!$D$29:$M$65,8,FALSE)+VLOOKUP(E$5,'TOT276 (Phase 2)'!$D$29:$M$67,8,FALSE)</f>
        <v>21906.819647519187</v>
      </c>
      <c r="F33" s="39">
        <f>SUM(B33:E33)</f>
        <v>93355.314703479817</v>
      </c>
      <c r="G33" s="60"/>
      <c r="H33" s="61"/>
      <c r="I33" s="61"/>
    </row>
    <row r="34" spans="1:9" x14ac:dyDescent="0.25">
      <c r="A34" s="287" t="s">
        <v>31</v>
      </c>
      <c r="B34" s="21">
        <v>0</v>
      </c>
      <c r="C34" s="21">
        <v>0</v>
      </c>
      <c r="D34" s="21">
        <v>0</v>
      </c>
      <c r="E34" s="21">
        <v>0</v>
      </c>
      <c r="F34" s="39">
        <f>SUM(B34:E34)</f>
        <v>0</v>
      </c>
      <c r="G34" s="37"/>
    </row>
    <row r="35" spans="1:9" x14ac:dyDescent="0.25">
      <c r="A35" s="287" t="s">
        <v>32</v>
      </c>
      <c r="B35" s="21">
        <v>0</v>
      </c>
      <c r="C35" s="21">
        <v>0</v>
      </c>
      <c r="D35" s="21">
        <v>0</v>
      </c>
      <c r="E35" s="21">
        <v>0</v>
      </c>
      <c r="F35" s="39">
        <f>SUM(B35:E35)</f>
        <v>0</v>
      </c>
    </row>
    <row r="36" spans="1:9" x14ac:dyDescent="0.25">
      <c r="B36" s="21"/>
      <c r="C36" s="21"/>
      <c r="D36" s="21"/>
      <c r="E36" s="21"/>
      <c r="F36" s="39"/>
    </row>
    <row r="37" spans="1:9" x14ac:dyDescent="0.25">
      <c r="A37" s="296" t="s">
        <v>134</v>
      </c>
      <c r="B37" s="30"/>
      <c r="C37" s="30"/>
      <c r="D37" s="30"/>
      <c r="E37" s="30"/>
      <c r="F37" s="31"/>
      <c r="G37" s="31"/>
      <c r="H37" s="31"/>
      <c r="I37" s="31"/>
    </row>
    <row r="38" spans="1:9" x14ac:dyDescent="0.25">
      <c r="A38" s="287" t="s">
        <v>29</v>
      </c>
      <c r="B38" s="21">
        <f>+VLOOKUP($B$5,'TOT381'!$D$29:$L$52,9,FALSE)</f>
        <v>3166350</v>
      </c>
      <c r="C38" s="21">
        <f>+VLOOKUP($C$5,'TOT381'!$D$29:$L$52,9,FALSE)</f>
        <v>3166350</v>
      </c>
      <c r="D38" s="21">
        <f>+VLOOKUP($D$5,'TOT381'!$D$29:$L$52,9,FALSE)</f>
        <v>3166350</v>
      </c>
      <c r="E38" s="21">
        <f>+VLOOKUP($E$5,'TOT381'!$D$29:$L$52,9,FALSE)</f>
        <v>3166350</v>
      </c>
      <c r="F38" s="39">
        <f>SUM(B38:E38)</f>
        <v>12665400</v>
      </c>
      <c r="G38" s="21">
        <f>+'TOT381'!C25</f>
        <v>63327000</v>
      </c>
      <c r="H38" s="21">
        <f>SUMPRODUCT(('TOT381'!$D$29:$D$52&lt;=$E$5)*1,'TOT381'!$L$29:$L$52*1)</f>
        <v>44328900</v>
      </c>
      <c r="I38" s="21">
        <f>G38-H38</f>
        <v>18998100</v>
      </c>
    </row>
    <row r="39" spans="1:9" x14ac:dyDescent="0.25">
      <c r="A39" s="287" t="s">
        <v>30</v>
      </c>
      <c r="B39" s="21">
        <f>+VLOOKUP($B$5,'TOT381'!$D$29:$L$52,8,FALSE)</f>
        <v>518689.30059171101</v>
      </c>
      <c r="C39" s="21">
        <f>+VLOOKUP($C$5,'TOT381'!$D$29:$L$52,8,FALSE)</f>
        <v>500923.01010042237</v>
      </c>
      <c r="D39" s="21">
        <f>+VLOOKUP($D$5,'TOT381'!$D$29:$L$52,8,FALSE)</f>
        <v>463720.78277033911</v>
      </c>
      <c r="E39" s="21">
        <f>+VLOOKUP($E$5,'TOT381'!$D$29:$L$52,8,FALSE)</f>
        <v>413808.65238634683</v>
      </c>
      <c r="F39" s="39">
        <f>SUM(B39:E39)</f>
        <v>1897141.7458488194</v>
      </c>
      <c r="G39" s="60"/>
      <c r="H39" s="61"/>
      <c r="I39" s="61"/>
    </row>
    <row r="40" spans="1:9" x14ac:dyDescent="0.25">
      <c r="A40" s="287" t="s">
        <v>31</v>
      </c>
      <c r="B40" s="21">
        <v>0</v>
      </c>
      <c r="C40" s="21">
        <v>0</v>
      </c>
      <c r="D40" s="21">
        <v>0</v>
      </c>
      <c r="E40" s="21">
        <v>0</v>
      </c>
      <c r="F40" s="39">
        <f>SUM(B40:E40)</f>
        <v>0</v>
      </c>
      <c r="G40" s="37"/>
    </row>
    <row r="41" spans="1:9" x14ac:dyDescent="0.25">
      <c r="A41" s="287" t="s">
        <v>32</v>
      </c>
      <c r="B41" s="21">
        <v>0</v>
      </c>
      <c r="C41" s="21">
        <v>0</v>
      </c>
      <c r="D41" s="21">
        <v>0</v>
      </c>
      <c r="E41" s="21">
        <v>0</v>
      </c>
      <c r="F41" s="39">
        <f>SUM(B41:E41)</f>
        <v>0</v>
      </c>
    </row>
    <row r="42" spans="1:9" x14ac:dyDescent="0.25">
      <c r="B42" s="21"/>
      <c r="C42" s="21"/>
      <c r="D42" s="21"/>
      <c r="E42" s="21"/>
      <c r="F42" s="39"/>
    </row>
    <row r="43" spans="1:9" x14ac:dyDescent="0.25">
      <c r="A43" s="296" t="s">
        <v>136</v>
      </c>
      <c r="B43" s="30"/>
      <c r="C43" s="30"/>
      <c r="D43" s="30"/>
      <c r="E43" s="30"/>
      <c r="F43" s="31"/>
      <c r="G43" s="31"/>
      <c r="H43" s="31"/>
      <c r="I43" s="31"/>
    </row>
    <row r="44" spans="1:9" x14ac:dyDescent="0.25">
      <c r="A44" s="287" t="s">
        <v>29</v>
      </c>
      <c r="B44" s="21">
        <f>+VLOOKUP($B$5,'TOT404'!$D$33:$L$60,9,FALSE)</f>
        <v>309050</v>
      </c>
      <c r="C44" s="21">
        <f>+VLOOKUP($C$5,'TOT404'!$D$33:$L$60,9,FALSE)</f>
        <v>309050</v>
      </c>
      <c r="D44" s="21">
        <f>+VLOOKUP($D$5,'TOT404'!$D$33:$L$60,9,FALSE)</f>
        <v>309050</v>
      </c>
      <c r="E44" s="21">
        <f>+VLOOKUP($E$5,'TOT404'!$D$33:$L$60,9,FALSE)</f>
        <v>309050</v>
      </c>
      <c r="F44" s="39">
        <f>SUM(B44:E44)</f>
        <v>1236200</v>
      </c>
      <c r="G44" s="21">
        <f>+'TOT404'!C29</f>
        <v>6181000</v>
      </c>
      <c r="H44" s="21">
        <f>SUMPRODUCT(('TOT404'!$D$33:$D$60&lt;=$E$5)*1,'TOT404'!$L$33:$L$60*1)</f>
        <v>5871950</v>
      </c>
      <c r="I44" s="21">
        <f>G44-H44</f>
        <v>309050</v>
      </c>
    </row>
    <row r="45" spans="1:9" x14ac:dyDescent="0.25">
      <c r="A45" s="287" t="s">
        <v>30</v>
      </c>
      <c r="B45" s="21">
        <f>+VLOOKUP($B$5,'TOT404'!$D$33:$L$60,8,FALSE)</f>
        <v>38906.571262938567</v>
      </c>
      <c r="C45" s="21">
        <f>+VLOOKUP($C$5,'TOT404'!$D$33:$L$60,8,FALSE)</f>
        <v>35795.383769891982</v>
      </c>
      <c r="D45" s="21">
        <f>+VLOOKUP($D$5,'TOT404'!$D$33:$L$60,8,FALSE)</f>
        <v>31621.446171213691</v>
      </c>
      <c r="E45" s="21">
        <f>+VLOOKUP($E$5,'TOT404'!$D$33:$L$60,8,FALSE)</f>
        <v>26955.381795121459</v>
      </c>
      <c r="F45" s="39">
        <f>SUM(B45:E45)</f>
        <v>133278.78299916571</v>
      </c>
      <c r="G45" s="60"/>
      <c r="H45" s="61"/>
      <c r="I45" s="61"/>
    </row>
    <row r="46" spans="1:9" x14ac:dyDescent="0.25">
      <c r="A46" s="287" t="s">
        <v>31</v>
      </c>
      <c r="B46" s="21">
        <v>0</v>
      </c>
      <c r="C46" s="21">
        <v>0</v>
      </c>
      <c r="D46" s="21">
        <v>0</v>
      </c>
      <c r="E46" s="21">
        <v>0</v>
      </c>
      <c r="F46" s="39">
        <f>SUM(B46:E46)</f>
        <v>0</v>
      </c>
      <c r="G46" s="37"/>
    </row>
    <row r="47" spans="1:9" x14ac:dyDescent="0.25">
      <c r="A47" s="287" t="s">
        <v>32</v>
      </c>
      <c r="B47" s="21">
        <v>0</v>
      </c>
      <c r="C47" s="21">
        <v>0</v>
      </c>
      <c r="D47" s="21">
        <v>0</v>
      </c>
      <c r="E47" s="21">
        <v>0</v>
      </c>
      <c r="F47" s="39">
        <f>SUM(B47:E47)</f>
        <v>0</v>
      </c>
    </row>
    <row r="48" spans="1:9" x14ac:dyDescent="0.25">
      <c r="A48" s="288"/>
      <c r="B48" s="21"/>
      <c r="C48" s="21"/>
      <c r="D48" s="21"/>
      <c r="E48" s="21"/>
      <c r="F48" s="39"/>
      <c r="G48" s="21"/>
      <c r="H48" s="21"/>
      <c r="I48" s="21"/>
    </row>
    <row r="49" spans="1:9" x14ac:dyDescent="0.25">
      <c r="A49" s="296" t="s">
        <v>144</v>
      </c>
      <c r="B49" s="30"/>
      <c r="C49" s="30"/>
      <c r="D49" s="30"/>
      <c r="E49" s="30"/>
      <c r="F49" s="31"/>
      <c r="G49" s="31"/>
      <c r="H49" s="31"/>
      <c r="I49" s="31"/>
    </row>
    <row r="50" spans="1:9" x14ac:dyDescent="0.25">
      <c r="A50" s="287" t="s">
        <v>29</v>
      </c>
      <c r="B50" s="21">
        <f>+VLOOKUP($B$5,'TOT411 (Phase 1&amp;2)'!$D$29:$L$49,9,FALSE)</f>
        <v>85863.758999999991</v>
      </c>
      <c r="C50" s="21">
        <f>+VLOOKUP($C$5,'TOT411 (Phase 1&amp;2)'!$D$29:$L$49,9,FALSE)</f>
        <v>85863.758999999991</v>
      </c>
      <c r="D50" s="21">
        <f>+VLOOKUP($D$5,'TOT411 (Phase 1&amp;2)'!$D$29:$L$49,9,FALSE)</f>
        <v>85863.758999999991</v>
      </c>
      <c r="E50" s="21">
        <f>+VLOOKUP($E$5,'TOT411 (Phase 1&amp;2)'!$D$29:$L$49,9,FALSE)</f>
        <v>85863.758999999991</v>
      </c>
      <c r="F50" s="39">
        <f>SUM(B50:E50)</f>
        <v>343455.03599999996</v>
      </c>
      <c r="G50" s="21">
        <f>+'TOT411 (Phase 1&amp;2)'!C25</f>
        <v>1717275.18</v>
      </c>
      <c r="H50" s="21">
        <f>SUMPRODUCT(('TOT411 (Phase 1&amp;2)'!$D$29:$D$49&lt;=$E$5)*1,'TOT411 (Phase 1&amp;2)'!$L$29:$L$49*1)</f>
        <v>1116228.8669999996</v>
      </c>
      <c r="I50" s="21">
        <f>G50-H50</f>
        <v>601046.31300000031</v>
      </c>
    </row>
    <row r="51" spans="1:9" x14ac:dyDescent="0.25">
      <c r="A51" s="287" t="s">
        <v>30</v>
      </c>
      <c r="B51" s="21">
        <f>+VLOOKUP(B$5,'TOT411 (Phase 1&amp;2)'!$D$29:$L$49,8,FALSE)</f>
        <v>12859.73590333798</v>
      </c>
      <c r="C51" s="21">
        <f>+VLOOKUP(C$5,'TOT411 (Phase 1&amp;2)'!$D$29:$L$49,8,FALSE)</f>
        <v>12459.65486235631</v>
      </c>
      <c r="D51" s="21">
        <f>+VLOOKUP(D$5,'TOT411 (Phase 1&amp;2)'!$D$29:$L$49,8,FALSE)</f>
        <v>11497.990000956983</v>
      </c>
      <c r="E51" s="21">
        <f>+VLOOKUP(E$5,'TOT411 (Phase 1&amp;2)'!$D$29:$L$49,8,FALSE)</f>
        <v>10158.346975291746</v>
      </c>
      <c r="F51" s="39">
        <f>SUM(B51:E51)</f>
        <v>46975.727741943017</v>
      </c>
      <c r="G51" s="37"/>
    </row>
    <row r="52" spans="1:9" x14ac:dyDescent="0.25">
      <c r="A52" s="287" t="s">
        <v>31</v>
      </c>
      <c r="B52" s="21">
        <v>0</v>
      </c>
      <c r="C52" s="21">
        <v>0</v>
      </c>
      <c r="D52" s="21">
        <v>0</v>
      </c>
      <c r="E52" s="21">
        <v>0</v>
      </c>
      <c r="F52" s="39">
        <f>SUM(B52:E52)</f>
        <v>0</v>
      </c>
      <c r="G52" s="37"/>
    </row>
    <row r="53" spans="1:9" x14ac:dyDescent="0.25">
      <c r="A53" s="287" t="s">
        <v>32</v>
      </c>
      <c r="B53" s="21">
        <v>0</v>
      </c>
      <c r="C53" s="21">
        <v>0</v>
      </c>
      <c r="D53" s="21">
        <v>0</v>
      </c>
      <c r="E53" s="21">
        <v>0</v>
      </c>
      <c r="F53" s="39">
        <f>SUM(B53:E53)</f>
        <v>0</v>
      </c>
    </row>
    <row r="54" spans="1:9" x14ac:dyDescent="0.25">
      <c r="A54" s="288"/>
      <c r="B54" s="21"/>
      <c r="C54" s="21"/>
      <c r="D54" s="21"/>
      <c r="E54" s="21"/>
      <c r="F54" s="39"/>
      <c r="G54" s="21"/>
      <c r="H54" s="21"/>
      <c r="I54" s="21"/>
    </row>
    <row r="55" spans="1:9" x14ac:dyDescent="0.25">
      <c r="A55" s="296" t="s">
        <v>42</v>
      </c>
      <c r="B55" s="30"/>
      <c r="C55" s="30"/>
      <c r="D55" s="30"/>
      <c r="E55" s="30"/>
      <c r="F55" s="31"/>
      <c r="G55" s="31"/>
      <c r="H55" s="31"/>
      <c r="I55" s="31"/>
    </row>
    <row r="56" spans="1:9" x14ac:dyDescent="0.25">
      <c r="A56" s="287" t="s">
        <v>29</v>
      </c>
      <c r="B56" s="21">
        <f>+VLOOKUP(B5,'TOT508'!$D$33:$L$53,9,FALSE)</f>
        <v>56750</v>
      </c>
      <c r="C56" s="21">
        <f>+VLOOKUP(C5,'TOT508'!$D$33:$L$53,9,FALSE)</f>
        <v>56750</v>
      </c>
      <c r="D56" s="21">
        <f>+VLOOKUP(D5,'TOT508'!$D$33:$L$53,9,FALSE)</f>
        <v>56750</v>
      </c>
      <c r="E56" s="21">
        <v>0</v>
      </c>
      <c r="F56" s="39">
        <f>SUM(B56:E56)</f>
        <v>170250</v>
      </c>
      <c r="G56" s="21">
        <f>'TOT508'!$C$26</f>
        <v>1135000</v>
      </c>
      <c r="H56" s="21">
        <f>SUMPRODUCT(('TOT508'!$D$33:$D$53&lt;=$E$5)*1,'TOT508'!$L$33:$L$53*1)</f>
        <v>1135000</v>
      </c>
      <c r="I56" s="21">
        <f>G56-H56</f>
        <v>0</v>
      </c>
    </row>
    <row r="57" spans="1:9" x14ac:dyDescent="0.25">
      <c r="A57" s="287" t="s">
        <v>30</v>
      </c>
      <c r="B57" s="21">
        <f>+VLOOKUP(B5,'TOT508'!$D$33:$L$53,8,FALSE)</f>
        <v>2463.1044038750188</v>
      </c>
      <c r="C57" s="21">
        <f>+VLOOKUP(C5,'TOT508'!$D$33:$L$53,8,FALSE)</f>
        <v>1827.6727636282558</v>
      </c>
      <c r="D57" s="21">
        <f>+VLOOKUP(D5,'TOT508'!$D$33:$L$53,8,FALSE)</f>
        <v>1068.4983500656733</v>
      </c>
      <c r="E57" s="21">
        <v>0</v>
      </c>
      <c r="F57" s="39">
        <f>SUM(B57:E57)</f>
        <v>5359.2755175689481</v>
      </c>
    </row>
    <row r="58" spans="1:9" x14ac:dyDescent="0.25">
      <c r="A58" s="287" t="s">
        <v>31</v>
      </c>
      <c r="B58" s="21">
        <v>0</v>
      </c>
      <c r="C58" s="21">
        <v>0</v>
      </c>
      <c r="D58" s="21">
        <v>0</v>
      </c>
      <c r="E58" s="21">
        <v>0</v>
      </c>
      <c r="F58" s="39">
        <f>SUM(B58:E58)</f>
        <v>0</v>
      </c>
    </row>
    <row r="59" spans="1:9" x14ac:dyDescent="0.25">
      <c r="A59" s="287" t="s">
        <v>32</v>
      </c>
      <c r="B59" s="21">
        <v>0</v>
      </c>
      <c r="C59" s="21">
        <v>0</v>
      </c>
      <c r="D59" s="21">
        <v>0</v>
      </c>
      <c r="E59" s="21">
        <v>0</v>
      </c>
      <c r="F59" s="39">
        <f>SUM(B59:E59)</f>
        <v>0</v>
      </c>
    </row>
    <row r="60" spans="1:9" x14ac:dyDescent="0.25">
      <c r="A60" s="288"/>
      <c r="B60" s="21"/>
      <c r="C60" s="21"/>
      <c r="D60" s="21"/>
      <c r="E60" s="21"/>
      <c r="F60" s="39"/>
      <c r="G60" s="21"/>
      <c r="H60" s="21"/>
      <c r="I60" s="21"/>
    </row>
    <row r="61" spans="1:9" x14ac:dyDescent="0.25">
      <c r="A61" s="296" t="s">
        <v>17</v>
      </c>
      <c r="B61" s="258"/>
      <c r="C61" s="30"/>
      <c r="D61" s="30"/>
      <c r="E61" s="30"/>
      <c r="F61" s="31"/>
      <c r="G61" s="31"/>
      <c r="H61" s="31"/>
      <c r="I61" s="31"/>
    </row>
    <row r="62" spans="1:9" x14ac:dyDescent="0.25">
      <c r="A62" s="287" t="s">
        <v>29</v>
      </c>
      <c r="B62" s="21">
        <f>+VLOOKUP(B5,'TOT522'!$D$33:$L$53,9,FALSE)</f>
        <v>29050</v>
      </c>
      <c r="C62" s="21">
        <f>+VLOOKUP(C5,'TOT522'!$D$33:$L$53,9,FALSE)</f>
        <v>29050</v>
      </c>
      <c r="D62" s="21">
        <f>+VLOOKUP(D5,'TOT522'!$D$33:$L$53,9,FALSE)</f>
        <v>29050</v>
      </c>
      <c r="E62" s="21">
        <v>0</v>
      </c>
      <c r="F62" s="39">
        <f>SUM(B62:E62)</f>
        <v>87150</v>
      </c>
      <c r="G62" s="21">
        <f>'TOT522'!$C$26</f>
        <v>581000</v>
      </c>
      <c r="H62" s="21">
        <f>SUMPRODUCT(('TOT522'!$D$33:$D$53&lt;=$E$5)*1,'TOT522'!$L$33:$L$53*1)</f>
        <v>581000</v>
      </c>
      <c r="I62" s="21">
        <f>G62-H62</f>
        <v>0</v>
      </c>
    </row>
    <row r="63" spans="1:9" x14ac:dyDescent="0.25">
      <c r="A63" s="287" t="s">
        <v>30</v>
      </c>
      <c r="B63" s="21">
        <f>+VLOOKUP(B5,'TOT522'!$D$33:$L$53,8,FALSE)</f>
        <v>1255.4775217432928</v>
      </c>
      <c r="C63" s="21">
        <f>+VLOOKUP(C5,'TOT522'!$D$33:$L$53,8,FALSE)</f>
        <v>930.26134731750949</v>
      </c>
      <c r="D63" s="21">
        <f>+VLOOKUP(D5,'TOT522'!$D$33:$L$53,8,FALSE)</f>
        <v>541.71318121598961</v>
      </c>
      <c r="E63" s="21">
        <v>0</v>
      </c>
      <c r="F63" s="39">
        <f>SUM(B63:E63)</f>
        <v>2727.4520502767919</v>
      </c>
      <c r="G63" s="60"/>
      <c r="H63" s="61"/>
      <c r="I63" s="61"/>
    </row>
    <row r="64" spans="1:9" x14ac:dyDescent="0.25">
      <c r="A64" s="287" t="s">
        <v>31</v>
      </c>
      <c r="B64" s="21">
        <v>0</v>
      </c>
      <c r="C64" s="21">
        <v>0</v>
      </c>
      <c r="D64" s="21">
        <v>0</v>
      </c>
      <c r="E64" s="21">
        <v>0</v>
      </c>
      <c r="F64" s="39">
        <f>SUM(B64:E64)</f>
        <v>0</v>
      </c>
      <c r="G64" s="37"/>
    </row>
    <row r="65" spans="1:9" x14ac:dyDescent="0.25">
      <c r="A65" s="287" t="s">
        <v>32</v>
      </c>
      <c r="B65" s="21">
        <v>0</v>
      </c>
      <c r="C65" s="21">
        <v>0</v>
      </c>
      <c r="D65" s="21">
        <v>0</v>
      </c>
      <c r="E65" s="21">
        <v>0</v>
      </c>
      <c r="F65" s="39">
        <f>SUM(B65:E65)</f>
        <v>0</v>
      </c>
    </row>
    <row r="66" spans="1:9" x14ac:dyDescent="0.25">
      <c r="A66" s="288"/>
      <c r="B66" s="21"/>
      <c r="C66" s="21"/>
      <c r="D66" s="21"/>
      <c r="E66" s="21"/>
      <c r="F66" s="21"/>
      <c r="G66" s="21"/>
      <c r="H66" s="21"/>
      <c r="I66" s="21"/>
    </row>
    <row r="67" spans="1:9" x14ac:dyDescent="0.25">
      <c r="A67" s="296" t="s">
        <v>107</v>
      </c>
      <c r="B67" s="30"/>
      <c r="C67" s="258"/>
      <c r="D67" s="30"/>
      <c r="E67" s="30"/>
      <c r="F67" s="31"/>
      <c r="G67" s="31"/>
      <c r="H67" s="31"/>
      <c r="I67" s="31"/>
    </row>
    <row r="68" spans="1:9" x14ac:dyDescent="0.25">
      <c r="A68" s="287" t="s">
        <v>29</v>
      </c>
      <c r="B68" s="21">
        <f>+VLOOKUP(B5,'TOT544'!$D$29:$L$49,9,FALSE)</f>
        <v>51443.731314192344</v>
      </c>
      <c r="C68" s="21">
        <f>+VLOOKUP(C5,'TOT544'!$D$29:$L$49,9,FALSE)</f>
        <v>51443.731314192344</v>
      </c>
      <c r="D68" s="21">
        <f>+VLOOKUP(D5,'TOT544'!$D$29:$L$49,9,FALSE)</f>
        <v>51443.731314192344</v>
      </c>
      <c r="E68" s="21">
        <f>+VLOOKUP(E5,'TOT544'!$D$29:$L$49,9,FALSE)</f>
        <v>51443.731314192344</v>
      </c>
      <c r="F68" s="39">
        <f>SUM(B68:E68)</f>
        <v>205774.92525676938</v>
      </c>
      <c r="G68" s="21">
        <f>'TOT544'!$C$22</f>
        <v>1021796</v>
      </c>
      <c r="H68" s="21">
        <f>SUMPRODUCT(('TOT544'!$D$29:$D$49&lt;=$E$5)*1,'TOT544'!$L$29:$L$49*1)</f>
        <v>764577.34342903818</v>
      </c>
      <c r="I68" s="21">
        <f>G68-H68</f>
        <v>257218.65657096182</v>
      </c>
    </row>
    <row r="69" spans="1:9" x14ac:dyDescent="0.25">
      <c r="A69" s="287" t="s">
        <v>30</v>
      </c>
      <c r="B69" s="21">
        <f>+VLOOKUP(B5,'TOT544'!$D$29:$L$49,8,FALSE)</f>
        <v>6799.1940981208609</v>
      </c>
      <c r="C69" s="21">
        <f>+VLOOKUP(C5,'TOT544'!$D$29:$L$49,8,FALSE)</f>
        <v>6472.5993247268034</v>
      </c>
      <c r="D69" s="21">
        <f>+VLOOKUP(D5,'TOT544'!$D$29:$L$49,8,FALSE)</f>
        <v>5863.4900541023053</v>
      </c>
      <c r="E69" s="21">
        <f>+VLOOKUP(E5,'TOT544'!$D$29:$L$49,8,FALSE)</f>
        <v>5076.1132770187178</v>
      </c>
      <c r="F69" s="39">
        <f>SUM(B69:E69)</f>
        <v>24211.396753968686</v>
      </c>
      <c r="G69" s="60"/>
      <c r="H69" s="61"/>
      <c r="I69" s="61"/>
    </row>
    <row r="70" spans="1:9" x14ac:dyDescent="0.25">
      <c r="A70" s="287" t="s">
        <v>31</v>
      </c>
      <c r="B70" s="21">
        <f>+VLOOKUP(B$5,'TOT544'!$R$29:$V$48,5,FALSE)</f>
        <v>914.8</v>
      </c>
      <c r="C70" s="21">
        <f>+VLOOKUP(C$5,'TOT544'!$R$29:$V$48,5,FALSE)</f>
        <v>914.8</v>
      </c>
      <c r="D70" s="21">
        <f>+VLOOKUP(D$5,'TOT544'!$R$29:$V$48,5,FALSE)</f>
        <v>914.8</v>
      </c>
      <c r="E70" s="21">
        <f>+VLOOKUP(E$5,'TOT544'!$R$29:$V$48,5,FALSE)</f>
        <v>914.8</v>
      </c>
      <c r="F70" s="39">
        <f>SUM(B70:E70)</f>
        <v>3659.2</v>
      </c>
      <c r="G70" s="37"/>
    </row>
    <row r="71" spans="1:9" x14ac:dyDescent="0.25">
      <c r="A71" s="287" t="s">
        <v>32</v>
      </c>
      <c r="B71" s="21">
        <f>+VLOOKUP(B$5,'TOT544'!$R$29:$V$48,4,FALSE)</f>
        <v>183.89142839278435</v>
      </c>
      <c r="C71" s="21">
        <f>+VLOOKUP(C$5,'TOT544'!$R$29:$V$48,4,FALSE)</f>
        <v>177.73056206359968</v>
      </c>
      <c r="D71" s="21">
        <f>+VLOOKUP(D$5,'TOT544'!$R$29:$V$48,4,FALSE)</f>
        <v>166.24035737604055</v>
      </c>
      <c r="E71" s="21">
        <f>+VLOOKUP(E$5,'TOT544'!$R$29:$V$48,4,FALSE)</f>
        <v>151.3873239857503</v>
      </c>
      <c r="F71" s="39">
        <f>SUM(B71:E71)</f>
        <v>679.24967181817487</v>
      </c>
    </row>
    <row r="72" spans="1:9" x14ac:dyDescent="0.25">
      <c r="A72" s="288"/>
      <c r="B72" s="21"/>
      <c r="C72" s="21"/>
      <c r="D72" s="21"/>
      <c r="E72" s="21"/>
      <c r="F72" s="21"/>
      <c r="G72" s="21"/>
      <c r="H72" s="21"/>
      <c r="I72" s="21"/>
    </row>
    <row r="73" spans="1:9" x14ac:dyDescent="0.25">
      <c r="A73" s="296" t="s">
        <v>108</v>
      </c>
      <c r="B73" s="30"/>
      <c r="C73" s="30"/>
      <c r="D73" s="30"/>
      <c r="E73" s="30"/>
      <c r="F73" s="31"/>
      <c r="G73" s="31"/>
      <c r="H73" s="31"/>
      <c r="I73" s="31"/>
    </row>
    <row r="74" spans="1:9" x14ac:dyDescent="0.25">
      <c r="A74" s="287" t="s">
        <v>29</v>
      </c>
      <c r="B74" s="21">
        <f>+VLOOKUP(B5,'TOT545'!$D$29:$L$49,9,FALSE)</f>
        <v>51438.226552287582</v>
      </c>
      <c r="C74" s="21">
        <f>+VLOOKUP(C5,'TOT545'!$D$29:$L$49,9,FALSE)</f>
        <v>51438.226552287582</v>
      </c>
      <c r="D74" s="21">
        <f>+VLOOKUP(D5,'TOT545'!$D$29:$L$49,9,FALSE)</f>
        <v>51438.226552287582</v>
      </c>
      <c r="E74" s="21">
        <f>+VLOOKUP(E5,'TOT545'!$D$29:$L$49,9,FALSE)</f>
        <v>51438.226552287582</v>
      </c>
      <c r="F74" s="39">
        <f>SUM(B74:E74)</f>
        <v>205752.90620915033</v>
      </c>
      <c r="G74" s="21">
        <f>'TOT545'!$C$22</f>
        <v>1021796</v>
      </c>
      <c r="H74" s="21">
        <f>SUMPRODUCT(('TOT545'!$D$29:$D$49&lt;=$E$5)*1,'TOT545'!$L$29:$L$49*1)</f>
        <v>764604.86723856209</v>
      </c>
      <c r="I74" s="21">
        <f>G74-H74</f>
        <v>257191.13276143791</v>
      </c>
    </row>
    <row r="75" spans="1:9" x14ac:dyDescent="0.25">
      <c r="A75" s="287" t="s">
        <v>30</v>
      </c>
      <c r="B75" s="21">
        <f>+VLOOKUP(B5,'TOT545'!$D$29:$L$49,8,FALSE)</f>
        <v>6798.5613068879829</v>
      </c>
      <c r="C75" s="21">
        <f>+VLOOKUP(C5,'TOT545'!$D$29:$L$49,8,FALSE)</f>
        <v>6472.0009495669856</v>
      </c>
      <c r="D75" s="21">
        <f>+VLOOKUP(D5,'TOT545'!$D$29:$L$49,8,FALSE)</f>
        <v>5862.9558659744507</v>
      </c>
      <c r="E75" s="21">
        <f>+VLOOKUP(E5,'TOT545'!$D$29:$L$49,8,FALSE)</f>
        <v>5075.6620614883832</v>
      </c>
      <c r="F75" s="39">
        <f>SUM(B75:E75)</f>
        <v>24209.180183917804</v>
      </c>
      <c r="G75" s="60"/>
      <c r="H75" s="61"/>
      <c r="I75" s="61"/>
    </row>
    <row r="76" spans="1:9" x14ac:dyDescent="0.25">
      <c r="A76" s="287" t="s">
        <v>31</v>
      </c>
      <c r="B76" s="21">
        <f>+VLOOKUP(B$5,'TOT545'!$R$29:$V$48,5,FALSE)</f>
        <v>914.8</v>
      </c>
      <c r="C76" s="21">
        <f>+VLOOKUP(C$5,'TOT545'!$R$29:$V$48,5,FALSE)</f>
        <v>914.8</v>
      </c>
      <c r="D76" s="21">
        <f>+VLOOKUP(D$5,'TOT545'!$R$29:$V$48,5,FALSE)</f>
        <v>914.8</v>
      </c>
      <c r="E76" s="21">
        <f>+VLOOKUP(E$5,'TOT545'!$R$29:$V$48,5,FALSE)</f>
        <v>914.8</v>
      </c>
      <c r="F76" s="39">
        <f>SUM(B76:E76)</f>
        <v>3659.2</v>
      </c>
      <c r="G76" s="37"/>
    </row>
    <row r="77" spans="1:9" x14ac:dyDescent="0.25">
      <c r="A77" s="287" t="s">
        <v>32</v>
      </c>
      <c r="B77" s="21">
        <f>+VLOOKUP(B$5,'TOT545'!$R$29:$V$48,4,FALSE)</f>
        <v>183.89142839278435</v>
      </c>
      <c r="C77" s="21">
        <f>+VLOOKUP(C$5,'TOT545'!$R$29:$V$48,4,FALSE)</f>
        <v>177.73056206359968</v>
      </c>
      <c r="D77" s="21">
        <f>+VLOOKUP(D$5,'TOT545'!$R$29:$V$48,4,FALSE)</f>
        <v>166.24035737604055</v>
      </c>
      <c r="E77" s="21">
        <f>+VLOOKUP(E$5,'TOT545'!$R$29:$V$48,4,FALSE)</f>
        <v>151.3873239857503</v>
      </c>
      <c r="F77" s="39">
        <f>SUM(B77:E77)</f>
        <v>679.24967181817487</v>
      </c>
    </row>
    <row r="78" spans="1:9" x14ac:dyDescent="0.25">
      <c r="A78" s="288"/>
      <c r="B78" s="21"/>
      <c r="C78" s="21"/>
      <c r="D78" s="21"/>
      <c r="E78" s="21"/>
      <c r="F78" s="39"/>
      <c r="G78" s="21"/>
      <c r="H78" s="21"/>
      <c r="I78" s="21"/>
    </row>
    <row r="79" spans="1:9" x14ac:dyDescent="0.25">
      <c r="A79" s="296" t="s">
        <v>49</v>
      </c>
      <c r="B79" s="30"/>
      <c r="C79" s="30"/>
      <c r="D79" s="30"/>
      <c r="E79" s="30"/>
      <c r="F79" s="31"/>
      <c r="G79" s="31"/>
      <c r="H79" s="31"/>
      <c r="I79" s="31"/>
    </row>
    <row r="80" spans="1:9" x14ac:dyDescent="0.25">
      <c r="A80" s="287" t="s">
        <v>29</v>
      </c>
      <c r="B80" s="21">
        <f>+VLOOKUP(B5,'TOT573'!$D$33:$L$53,9,FALSE)</f>
        <v>284132.8</v>
      </c>
      <c r="C80" s="21">
        <f>+VLOOKUP(C5,'TOT573'!$D$33:$L$53,9,FALSE)</f>
        <v>284132.8</v>
      </c>
      <c r="D80" s="21">
        <f>+VLOOKUP(D5,'TOT573'!$D$33:$L$53,9,FALSE)</f>
        <v>284132.8</v>
      </c>
      <c r="E80" s="21">
        <f>+VLOOKUP(E5,'TOT573'!$D$33:$L$53,9,FALSE)</f>
        <v>284132.8</v>
      </c>
      <c r="F80" s="39">
        <f>SUM(B80:E80)</f>
        <v>1136531.2</v>
      </c>
      <c r="G80" s="21">
        <f>'TOT573'!$C$26</f>
        <v>5682656</v>
      </c>
      <c r="H80" s="21">
        <f>SUMPRODUCT(('TOT573'!$D$33:$D$53&lt;=$E$5)*1,'TOT573'!$L$33:$L$53*1)</f>
        <v>3693726.399999999</v>
      </c>
      <c r="I80" s="21">
        <f>G80-H80</f>
        <v>1988929.600000001</v>
      </c>
    </row>
    <row r="81" spans="1:9" x14ac:dyDescent="0.25">
      <c r="A81" s="287" t="s">
        <v>30</v>
      </c>
      <c r="B81" s="21">
        <f>+VLOOKUP(B5,'TOT573'!$D$33:$L$53,8,FALSE)</f>
        <v>47549.00050391363</v>
      </c>
      <c r="C81" s="21">
        <f>+VLOOKUP(C5,'TOT573'!$D$33:$L$53,8,FALSE)</f>
        <v>46204.846306878688</v>
      </c>
      <c r="D81" s="21">
        <f>+VLOOKUP(D5,'TOT573'!$D$33:$L$53,8,FALSE)</f>
        <v>42973.93624820844</v>
      </c>
      <c r="E81" s="21">
        <f>+VLOOKUP(E5,'TOT573'!$D$33:$L$53,8,FALSE)</f>
        <v>38473.131133679082</v>
      </c>
      <c r="F81" s="39">
        <f>SUM(B81:E81)</f>
        <v>175200.9141926798</v>
      </c>
      <c r="G81" s="60"/>
      <c r="H81" s="61"/>
      <c r="I81" s="61"/>
    </row>
    <row r="82" spans="1:9" x14ac:dyDescent="0.25">
      <c r="A82" s="287" t="s">
        <v>31</v>
      </c>
      <c r="B82" s="21">
        <f>+VLOOKUP(B5,'TOT573'!$R$33:$V$55,5,FALSE)</f>
        <v>1824.7</v>
      </c>
      <c r="C82" s="21">
        <f>+VLOOKUP(C5,'TOT573'!$R$33:$V$55,5,FALSE)</f>
        <v>1824.7</v>
      </c>
      <c r="D82" s="21">
        <f>+VLOOKUP(D5,'TOT573'!$R$33:$V$55,5,FALSE)</f>
        <v>1824.7</v>
      </c>
      <c r="E82" s="21">
        <f>+VLOOKUP(E5,'TOT573'!$R$33:$V$55,5,FALSE)</f>
        <v>1824.7</v>
      </c>
      <c r="F82" s="39">
        <f>SUM(B82:E82)</f>
        <v>7298.8</v>
      </c>
      <c r="G82" s="37"/>
    </row>
    <row r="83" spans="1:9" x14ac:dyDescent="0.25">
      <c r="A83" s="287" t="s">
        <v>32</v>
      </c>
      <c r="B83" s="21">
        <f>+VLOOKUP(B5,'TOT573'!$R$33:$V$55,4,FALSE)</f>
        <v>388.62494030269136</v>
      </c>
      <c r="C83" s="21">
        <f>+VLOOKUP(C5,'TOT573'!$R$33:$V$55,4,FALSE)</f>
        <v>379.65534955821863</v>
      </c>
      <c r="D83" s="21">
        <f>+VLOOKUP(D5,'TOT573'!$R$33:$V$55,4,FALSE)</f>
        <v>358.09536706335354</v>
      </c>
      <c r="E83" s="21">
        <f>+VLOOKUP(E5,'TOT573'!$R$33:$V$55,4,FALSE)</f>
        <v>328.06132782365097</v>
      </c>
      <c r="F83" s="39">
        <f>SUM(B83:E83)</f>
        <v>1454.4369847479145</v>
      </c>
    </row>
    <row r="84" spans="1:9" x14ac:dyDescent="0.25">
      <c r="B84" s="21"/>
      <c r="C84" s="21"/>
      <c r="D84" s="21"/>
      <c r="E84" s="21"/>
      <c r="F84" s="39"/>
    </row>
    <row r="85" spans="1:9" x14ac:dyDescent="0.25">
      <c r="A85" s="296" t="s">
        <v>137</v>
      </c>
      <c r="B85" s="258"/>
      <c r="C85" s="30"/>
      <c r="D85" s="30"/>
      <c r="E85" s="30"/>
      <c r="F85" s="31"/>
      <c r="G85" s="31"/>
      <c r="H85" s="31"/>
      <c r="I85" s="31"/>
    </row>
    <row r="86" spans="1:9" x14ac:dyDescent="0.25">
      <c r="A86" s="287" t="s">
        <v>29</v>
      </c>
      <c r="B86" s="21">
        <f>+VLOOKUP($B$5,'TOT581'!$D$33:$L$66,9,FALSE)</f>
        <v>36261.35</v>
      </c>
      <c r="C86" s="21">
        <f>+VLOOKUP($C$5,'TOT581'!$D$33:$L$66,9,FALSE)</f>
        <v>36261.35</v>
      </c>
      <c r="D86" s="21">
        <f>+VLOOKUP($D$5,'TOT581'!$D$33:$L$66,9,FALSE)</f>
        <v>36261.35</v>
      </c>
      <c r="E86" s="21">
        <f>+VLOOKUP($E$5,'TOT581'!$D$33:$L$66,9,FALSE)</f>
        <v>36261.35</v>
      </c>
      <c r="F86" s="39">
        <f>SUM(B86:E86)</f>
        <v>145045.4</v>
      </c>
      <c r="G86" s="21">
        <f>+'TOT581'!C29</f>
        <v>725227</v>
      </c>
      <c r="H86" s="21">
        <f>SUMPRODUCT(('TOT581'!$D$33:$D$66&lt;=$E$5)*1,'TOT581'!$L$33:$L$66*1)</f>
        <v>471397.54999999987</v>
      </c>
      <c r="I86" s="21">
        <f>G86-H86</f>
        <v>253829.45000000013</v>
      </c>
    </row>
    <row r="87" spans="1:9" x14ac:dyDescent="0.25">
      <c r="A87" s="287" t="s">
        <v>30</v>
      </c>
      <c r="B87" s="21">
        <f>+VLOOKUP($B$5,'TOT581'!$D$33:$L$66,8,FALSE)</f>
        <v>9889.4438453766234</v>
      </c>
      <c r="C87" s="21">
        <f>+VLOOKUP($C$5,'TOT581'!$D$33:$L$66,8,FALSE)</f>
        <v>9702.4158470073689</v>
      </c>
      <c r="D87" s="21">
        <f>+VLOOKUP($D$5,'TOT581'!$D$33:$L$66,8,FALSE)</f>
        <v>9252.8612925394809</v>
      </c>
      <c r="E87" s="21">
        <f>+VLOOKUP($E$5,'TOT581'!$D$33:$L$66,8,FALSE)</f>
        <v>8626.6112882785128</v>
      </c>
      <c r="F87" s="39">
        <f>SUM(B87:E87)</f>
        <v>37471.332273201988</v>
      </c>
      <c r="G87" s="60"/>
      <c r="H87" s="61"/>
      <c r="I87" s="61"/>
    </row>
    <row r="88" spans="1:9" x14ac:dyDescent="0.25">
      <c r="A88" s="287" t="s">
        <v>31</v>
      </c>
      <c r="B88" s="21">
        <v>0</v>
      </c>
      <c r="C88" s="21">
        <v>0</v>
      </c>
      <c r="D88" s="21">
        <v>0</v>
      </c>
      <c r="E88" s="21">
        <v>0</v>
      </c>
      <c r="F88" s="39">
        <f>SUM(B88:E88)</f>
        <v>0</v>
      </c>
      <c r="G88" s="37"/>
    </row>
    <row r="89" spans="1:9" x14ac:dyDescent="0.25">
      <c r="A89" s="287" t="s">
        <v>32</v>
      </c>
      <c r="B89" s="21">
        <v>0</v>
      </c>
      <c r="C89" s="21">
        <v>0</v>
      </c>
      <c r="D89" s="21">
        <v>0</v>
      </c>
      <c r="E89" s="21">
        <v>0</v>
      </c>
      <c r="F89" s="39">
        <f>SUM(B89:E89)</f>
        <v>0</v>
      </c>
    </row>
    <row r="90" spans="1:9" x14ac:dyDescent="0.25">
      <c r="B90" s="21"/>
      <c r="C90" s="21"/>
      <c r="D90" s="21"/>
      <c r="E90" s="21"/>
      <c r="F90" s="39"/>
    </row>
    <row r="91" spans="1:9" x14ac:dyDescent="0.25">
      <c r="B91" s="21"/>
      <c r="C91" s="21"/>
      <c r="D91" s="21"/>
      <c r="E91" s="21"/>
      <c r="F91" s="39"/>
    </row>
    <row r="92" spans="1:9" x14ac:dyDescent="0.25">
      <c r="B92" s="21"/>
      <c r="C92" s="21"/>
      <c r="D92" s="21"/>
      <c r="E92" s="21"/>
      <c r="F92" s="39"/>
    </row>
    <row r="93" spans="1:9" x14ac:dyDescent="0.25">
      <c r="B93" s="21"/>
      <c r="C93" s="21"/>
      <c r="D93" s="21"/>
      <c r="E93" s="21"/>
      <c r="F93" s="39"/>
    </row>
    <row r="94" spans="1:9" x14ac:dyDescent="0.25">
      <c r="A94" s="296" t="s">
        <v>143</v>
      </c>
      <c r="B94" s="30"/>
      <c r="C94" s="30"/>
      <c r="D94" s="30"/>
      <c r="E94" s="30"/>
      <c r="F94" s="31"/>
      <c r="G94" s="31"/>
      <c r="H94" s="31"/>
      <c r="I94" s="31"/>
    </row>
    <row r="95" spans="1:9" x14ac:dyDescent="0.25">
      <c r="A95" s="287" t="s">
        <v>29</v>
      </c>
      <c r="B95" s="21">
        <f>+VLOOKUP(B$5,'TOT585 (Phase 1&amp;2)'!$D$36:$L$59,9,FALSE)</f>
        <v>123668.0365</v>
      </c>
      <c r="C95" s="21">
        <f>+VLOOKUP(C$5,'TOT585 (Phase 1&amp;2)'!$D$36:$L$59,9,FALSE)</f>
        <v>123668.0365</v>
      </c>
      <c r="D95" s="21">
        <f>+VLOOKUP(D$5,'TOT585 (Phase 1&amp;2)'!$D$36:$L$59,9,FALSE)</f>
        <v>123668.0365</v>
      </c>
      <c r="E95" s="21">
        <f>+VLOOKUP(E$5,'TOT585 (Phase 1&amp;2)'!$D$36:$L$59,9,FALSE)</f>
        <v>123668.0365</v>
      </c>
      <c r="F95" s="39">
        <f>SUM(B95:E95)</f>
        <v>494672.14600000001</v>
      </c>
      <c r="G95" s="21">
        <f>+'TOT585 (Phase 1&amp;2)'!$C$22</f>
        <v>2473360.73</v>
      </c>
      <c r="H95" s="21">
        <f>SUMPRODUCT(('TOT585 (Phase 1&amp;2)'!$D$36:$D$59&lt;=$E$5)*1,'TOT585 (Phase 1&amp;2)'!$L$36:$L$59*1)</f>
        <v>1484016.4379999998</v>
      </c>
      <c r="I95" s="21">
        <f>G95-H95</f>
        <v>989344.29200000013</v>
      </c>
    </row>
    <row r="96" spans="1:9" x14ac:dyDescent="0.25">
      <c r="A96" s="287" t="s">
        <v>30</v>
      </c>
      <c r="B96" s="21">
        <f>+VLOOKUP(B$5,'TOT585 (Phase 1&amp;2)'!$D$36:$L$59,8,FALSE)</f>
        <v>23060.087234028266</v>
      </c>
      <c r="C96" s="21">
        <f>+VLOOKUP(C$5,'TOT585 (Phase 1&amp;2)'!$D$36:$L$59,8,FALSE)</f>
        <v>22575.750296268303</v>
      </c>
      <c r="D96" s="21">
        <f>+VLOOKUP(D$5,'TOT585 (Phase 1&amp;2)'!$D$36:$L$59,8,FALSE)</f>
        <v>21197.333297080255</v>
      </c>
      <c r="E96" s="21">
        <f>+VLOOKUP(E$5,'TOT585 (Phase 1&amp;2)'!$D$36:$L$59,8,FALSE)</f>
        <v>19202.680765495046</v>
      </c>
      <c r="F96" s="39">
        <f>SUM(B96:E96)</f>
        <v>86035.851592871884</v>
      </c>
    </row>
    <row r="97" spans="1:9" x14ac:dyDescent="0.25">
      <c r="A97" s="287" t="s">
        <v>31</v>
      </c>
      <c r="B97" s="21">
        <f>+VLOOKUP(B$5,'TOT585 (Phase 1&amp;2)'!$R$36:$V$59,5,FALSE)</f>
        <v>557.70900000000006</v>
      </c>
      <c r="C97" s="21">
        <f>+VLOOKUP(C$5,'TOT585 (Phase 1&amp;2)'!$R$36:$V$59,5,FALSE)</f>
        <v>557.70900000000006</v>
      </c>
      <c r="D97" s="21">
        <f>+VLOOKUP(D$5,'TOT585 (Phase 1&amp;2)'!$R$36:$V$59,5,FALSE)</f>
        <v>557.70900000000006</v>
      </c>
      <c r="E97" s="21">
        <f>+VLOOKUP(E$5,'TOT585 (Phase 1&amp;2)'!$R$36:$V$59,5,FALSE)</f>
        <v>557.70900000000006</v>
      </c>
      <c r="F97" s="39">
        <f>SUM(B97:E97)</f>
        <v>2230.8360000000002</v>
      </c>
    </row>
    <row r="98" spans="1:9" x14ac:dyDescent="0.25">
      <c r="A98" s="287" t="s">
        <v>32</v>
      </c>
      <c r="B98" s="21">
        <f>+VLOOKUP(B$5,'TOT585 (Phase 1&amp;2)'!$R$36:$V$59,4,FALSE)</f>
        <v>128.09902283260215</v>
      </c>
      <c r="C98" s="21">
        <f>+VLOOKUP(C$5,'TOT585 (Phase 1&amp;2)'!$R$36:$V$59,4,FALSE)</f>
        <v>125.83522943555673</v>
      </c>
      <c r="D98" s="21">
        <f>+VLOOKUP(D$5,'TOT585 (Phase 1&amp;2)'!$R$36:$V$59,4,FALSE)</f>
        <v>119.39250112421001</v>
      </c>
      <c r="E98" s="21">
        <f>+VLOOKUP(E$5,'TOT585 (Phase 1&amp;2)'!$R$36:$V$59,4,FALSE)</f>
        <v>110.06948469005896</v>
      </c>
      <c r="F98" s="39">
        <f>SUM(B98:E98)</f>
        <v>483.39623808242789</v>
      </c>
    </row>
    <row r="99" spans="1:9" x14ac:dyDescent="0.25">
      <c r="B99" s="21"/>
      <c r="C99" s="21"/>
      <c r="D99" s="21"/>
      <c r="E99" s="21"/>
      <c r="F99" s="39"/>
    </row>
    <row r="100" spans="1:9" x14ac:dyDescent="0.25">
      <c r="A100" s="296" t="s">
        <v>48</v>
      </c>
      <c r="B100" s="30"/>
      <c r="C100" s="30"/>
      <c r="D100" s="30"/>
      <c r="E100" s="30"/>
      <c r="F100" s="31"/>
      <c r="G100" s="31"/>
      <c r="H100" s="31"/>
      <c r="I100" s="31"/>
    </row>
    <row r="101" spans="1:9" x14ac:dyDescent="0.25">
      <c r="A101" s="287" t="s">
        <v>29</v>
      </c>
      <c r="B101" s="21">
        <f>+VLOOKUP(B5,'TOT672 (part1)'!$D$29:$L$49,9,FALSE)</f>
        <v>25432.191700639516</v>
      </c>
      <c r="C101" s="21">
        <f>+VLOOKUP(C5,'TOT672 (part1)'!$D$29:$L$49,9,FALSE)</f>
        <v>25432.191700639516</v>
      </c>
      <c r="D101" s="21">
        <f>+VLOOKUP(D5,'TOT672 (part1)'!$D$29:$L$49,9,FALSE)</f>
        <v>25432.191700639516</v>
      </c>
      <c r="E101" s="21">
        <f>+VLOOKUP(E5,'TOT672 (part1)'!$D$29:$L$49,9,FALSE)</f>
        <v>25432.191700639516</v>
      </c>
      <c r="F101" s="39">
        <f>SUM(B101:E101)</f>
        <v>101728.76680255806</v>
      </c>
      <c r="G101" s="21">
        <f>'TOT672 (part1)'!$C$22</f>
        <v>508643.83401279029</v>
      </c>
      <c r="H101" s="21">
        <f>SUMPRODUCT(('TOT672 (part1)'!$D$29:$D$49&lt;=$E$5)*1,'TOT672 (part1)'!$L$29:$L$49*1)</f>
        <v>356050.68380895321</v>
      </c>
      <c r="I101" s="21">
        <f>G101-H101</f>
        <v>152593.15020383708</v>
      </c>
    </row>
    <row r="102" spans="1:9" x14ac:dyDescent="0.25">
      <c r="A102" s="287" t="s">
        <v>30</v>
      </c>
      <c r="B102" s="21">
        <f>+VLOOKUP(B5,'TOT672 (part1)'!$D$29:$L$49,8,FALSE)</f>
        <v>3667.525136497286</v>
      </c>
      <c r="C102" s="21">
        <f>+VLOOKUP(C5,'TOT672 (part1)'!$D$29:$L$49,8,FALSE)</f>
        <v>3527.2297473925341</v>
      </c>
      <c r="D102" s="21">
        <f>+VLOOKUP(D5,'TOT672 (part1)'!$D$29:$L$49,8,FALSE)</f>
        <v>3233.4542425173531</v>
      </c>
      <c r="E102" s="21">
        <f>+VLOOKUP(E5,'TOT672 (part1)'!$D$29:$L$49,8,FALSE)</f>
        <v>2839.3122151367465</v>
      </c>
      <c r="F102" s="39">
        <f>SUM(B102:E102)</f>
        <v>13267.521341543919</v>
      </c>
      <c r="G102" s="60"/>
      <c r="H102" s="61"/>
      <c r="I102" s="61"/>
    </row>
    <row r="103" spans="1:9" x14ac:dyDescent="0.25">
      <c r="A103" s="287" t="s">
        <v>31</v>
      </c>
      <c r="B103" s="21">
        <f>+VLOOKUP(B$5,'TOT672 (part1)'!$R$29:$V$49,5,FALSE)</f>
        <v>13301.308299360488</v>
      </c>
      <c r="C103" s="21">
        <f>+VLOOKUP(C$5,'TOT672 (part1)'!$R$29:$V$49,5,FALSE)</f>
        <v>13301.308299360488</v>
      </c>
      <c r="D103" s="21">
        <f>+VLOOKUP(D$5,'TOT672 (part1)'!$R$29:$V$49,5,FALSE)</f>
        <v>13301.308299360488</v>
      </c>
      <c r="E103" s="21">
        <f>+VLOOKUP(E$5,'TOT672 (part1)'!$R$29:$V$49,5,FALSE)</f>
        <v>13301.308299360488</v>
      </c>
      <c r="F103" s="39">
        <f>SUM(B103:E103)</f>
        <v>53205.23319744195</v>
      </c>
      <c r="G103" s="37"/>
    </row>
    <row r="104" spans="1:9" x14ac:dyDescent="0.25">
      <c r="A104" s="287" t="s">
        <v>32</v>
      </c>
      <c r="B104" s="21">
        <f>+VLOOKUP(B$5,'TOT672 (part1)'!$R$29:$V$49,4,FALSE)</f>
        <v>2267.3870213148812</v>
      </c>
      <c r="C104" s="21">
        <f>+VLOOKUP(C$5,'TOT672 (part1)'!$R$29:$V$49,4,FALSE)</f>
        <v>2192.3273160919075</v>
      </c>
      <c r="D104" s="21">
        <f>+VLOOKUP(D$5,'TOT672 (part1)'!$R$29:$V$49,4,FALSE)</f>
        <v>2035.1539197431723</v>
      </c>
      <c r="E104" s="21">
        <f>+VLOOKUP(E$5,'TOT672 (part1)'!$R$29:$V$49,4,FALSE)</f>
        <v>1824.2832376776037</v>
      </c>
      <c r="F104" s="39">
        <f>SUM(B104:E104)</f>
        <v>8319.1514948275653</v>
      </c>
    </row>
    <row r="105" spans="1:9" x14ac:dyDescent="0.25">
      <c r="B105" s="21"/>
      <c r="C105" s="21"/>
      <c r="D105" s="21"/>
      <c r="E105" s="21"/>
      <c r="F105" s="39"/>
    </row>
    <row r="106" spans="1:9" x14ac:dyDescent="0.25">
      <c r="A106" s="296" t="s">
        <v>45</v>
      </c>
      <c r="B106" s="30"/>
      <c r="C106" s="30"/>
      <c r="D106" s="30"/>
      <c r="E106" s="30"/>
      <c r="F106" s="31"/>
      <c r="G106" s="31"/>
      <c r="H106" s="31"/>
      <c r="I106" s="31"/>
    </row>
    <row r="107" spans="1:9" x14ac:dyDescent="0.25">
      <c r="A107" s="287" t="s">
        <v>29</v>
      </c>
      <c r="B107" s="21">
        <f>+VLOOKUP(B5,'WDT1099'!$D$33:$L$52,9,FALSE)</f>
        <v>752.65</v>
      </c>
      <c r="C107" s="21">
        <f>+VLOOKUP(C5,'WDT1099'!$D$33:$L$52,9,FALSE)</f>
        <v>752.65</v>
      </c>
      <c r="D107" s="21">
        <f>+VLOOKUP(D5,'WDT1099'!$D$33:$L$52,9,FALSE)</f>
        <v>752.65</v>
      </c>
      <c r="E107" s="21">
        <f>+VLOOKUP(E5,'WDT1099'!$D$33:$L$52,9,FALSE)</f>
        <v>752.65</v>
      </c>
      <c r="F107" s="39">
        <f>SUM(B107:E107)</f>
        <v>3010.6</v>
      </c>
      <c r="G107" s="21">
        <f>'WDT1099'!$C$26</f>
        <v>15053</v>
      </c>
      <c r="H107" s="21">
        <f>SUMPRODUCT(('WDT1099'!$D$33:$D$51&lt;=$E$5)*1,'WDT1099'!$L$33:$L$51*1)</f>
        <v>12795.049999999996</v>
      </c>
      <c r="I107" s="21">
        <f>G107-H107</f>
        <v>2257.9500000000044</v>
      </c>
    </row>
    <row r="108" spans="1:9" x14ac:dyDescent="0.25">
      <c r="A108" s="287" t="s">
        <v>30</v>
      </c>
      <c r="B108" s="21">
        <f>+VLOOKUP(B5,'WDT1099'!$D$33:$L$52,8,FALSE)</f>
        <v>70.359458702094273</v>
      </c>
      <c r="C108" s="21">
        <f>+VLOOKUP(C5,'WDT1099'!$D$33:$L$52,8,FALSE)</f>
        <v>64.404741015261862</v>
      </c>
      <c r="D108" s="21">
        <f>+VLOOKUP(D5,'WDT1099'!$D$33:$L$52,8,FALSE)</f>
        <v>55.179792551510687</v>
      </c>
      <c r="E108" s="21">
        <f>+VLOOKUP(E5,'WDT1099'!$D$33:$L$52,8,FALSE)</f>
        <v>44.097435797122245</v>
      </c>
      <c r="F108" s="39">
        <f>SUM(B108:E108)</f>
        <v>234.04142806598904</v>
      </c>
      <c r="G108" s="60"/>
      <c r="H108" s="61"/>
      <c r="I108" s="61"/>
    </row>
    <row r="109" spans="1:9" x14ac:dyDescent="0.25">
      <c r="A109" s="287" t="s">
        <v>31</v>
      </c>
      <c r="B109" s="21">
        <v>0</v>
      </c>
      <c r="C109" s="21">
        <v>0</v>
      </c>
      <c r="D109" s="21">
        <v>0</v>
      </c>
      <c r="E109" s="21">
        <v>0</v>
      </c>
      <c r="F109" s="39">
        <f>SUM(B109:E109)</f>
        <v>0</v>
      </c>
      <c r="G109" s="37"/>
    </row>
    <row r="110" spans="1:9" x14ac:dyDescent="0.25">
      <c r="A110" s="287" t="s">
        <v>32</v>
      </c>
      <c r="B110" s="21">
        <v>0</v>
      </c>
      <c r="C110" s="21">
        <v>0</v>
      </c>
      <c r="D110" s="21">
        <v>0</v>
      </c>
      <c r="E110" s="21">
        <v>0</v>
      </c>
      <c r="F110" s="39">
        <f>SUM(B110:E110)</f>
        <v>0</v>
      </c>
    </row>
    <row r="111" spans="1:9" x14ac:dyDescent="0.25">
      <c r="B111" s="21"/>
      <c r="C111" s="21"/>
      <c r="D111" s="21"/>
      <c r="E111" s="21"/>
      <c r="F111" s="39"/>
    </row>
    <row r="112" spans="1:9" x14ac:dyDescent="0.25">
      <c r="A112" s="296" t="s">
        <v>184</v>
      </c>
      <c r="B112" s="30"/>
      <c r="C112" s="30"/>
      <c r="D112" s="30"/>
      <c r="E112" s="30"/>
      <c r="F112" s="31"/>
      <c r="G112" s="31"/>
      <c r="H112" s="31"/>
      <c r="I112" s="31"/>
    </row>
    <row r="113" spans="1:9" s="298" customFormat="1" x14ac:dyDescent="0.25">
      <c r="A113" s="298" t="s">
        <v>29</v>
      </c>
      <c r="B113" s="39">
        <f t="shared" ref="B113:E114" si="0">SUMPRODUCT((($A$6:$A$111)=$A113)*1,B$6:B$111)</f>
        <v>7128346.2777887695</v>
      </c>
      <c r="C113" s="39">
        <f t="shared" si="0"/>
        <v>7128346.2777887695</v>
      </c>
      <c r="D113" s="39">
        <f t="shared" si="0"/>
        <v>7128346.2777887695</v>
      </c>
      <c r="E113" s="39">
        <f t="shared" si="0"/>
        <v>6412432.4357887693</v>
      </c>
      <c r="F113" s="39">
        <f>SUM(B113:E113)</f>
        <v>27797471.269155078</v>
      </c>
      <c r="G113" s="40">
        <f>SUM(G5:G111)</f>
        <v>142552878.39844579</v>
      </c>
      <c r="H113" s="40">
        <f>SUM(H5:H111)</f>
        <v>105790309.09102295</v>
      </c>
      <c r="I113" s="40">
        <f>SUM(I5:I111)</f>
        <v>36762569.307422847</v>
      </c>
    </row>
    <row r="114" spans="1:9" s="298" customFormat="1" x14ac:dyDescent="0.25">
      <c r="A114" s="298" t="s">
        <v>30</v>
      </c>
      <c r="B114" s="39">
        <f t="shared" si="0"/>
        <v>1129555.637052068</v>
      </c>
      <c r="C114" s="39">
        <f t="shared" si="0"/>
        <v>1083567.4779839998</v>
      </c>
      <c r="D114" s="39">
        <f t="shared" si="0"/>
        <v>997352.17198892392</v>
      </c>
      <c r="E114" s="39">
        <f t="shared" si="0"/>
        <v>853392.81908887287</v>
      </c>
      <c r="F114" s="39">
        <f>SUM(B114:E114)</f>
        <v>4063868.1061138646</v>
      </c>
      <c r="G114" s="40"/>
      <c r="H114" s="40"/>
      <c r="I114" s="40"/>
    </row>
    <row r="115" spans="1:9" s="298" customFormat="1" x14ac:dyDescent="0.25">
      <c r="A115" s="298" t="s">
        <v>31</v>
      </c>
      <c r="B115" s="39">
        <f>SUMPRODUCT((($A$6:$A$111)=$A115)*1,B$6:B$111)</f>
        <v>17513.317299360489</v>
      </c>
      <c r="C115" s="39">
        <f>SUMPRODUCT((($A$6:$A$110)=$A115)*1,C$6:C$110)</f>
        <v>17513.317299360489</v>
      </c>
      <c r="D115" s="39">
        <f>SUMPRODUCT((($A$6:$A$111)=$A115)*1,D$6:D$111)</f>
        <v>17513.317299360489</v>
      </c>
      <c r="E115" s="39">
        <f>SUMPRODUCT((($A$6:$A$111)=$A115)*1,E$6:E$111)</f>
        <v>17513.317299360489</v>
      </c>
      <c r="F115" s="39">
        <f>SUM(B115:E115)</f>
        <v>70053.269197441958</v>
      </c>
      <c r="G115" s="40"/>
      <c r="H115" s="40"/>
      <c r="I115" s="40">
        <f>F114+F116</f>
        <v>4075483.5901751588</v>
      </c>
    </row>
    <row r="116" spans="1:9" s="298" customFormat="1" x14ac:dyDescent="0.25">
      <c r="A116" s="298" t="s">
        <v>32</v>
      </c>
      <c r="B116" s="39">
        <f>SUMPRODUCT((($A$6:$A$111)=$A116)*1,B$6:B$111)</f>
        <v>3151.8938412357434</v>
      </c>
      <c r="C116" s="39">
        <f>SUMPRODUCT((($A$6:$A$111)=$A116)*1,C$6:C$111)</f>
        <v>3053.2790192128823</v>
      </c>
      <c r="D116" s="39">
        <f>SUMPRODUCT((($A$6:$A$111)=$A116)*1,D$6:D$111)</f>
        <v>2845.122502682817</v>
      </c>
      <c r="E116" s="39">
        <f>SUMPRODUCT((($A$6:$A$111)=$A116)*1,E$6:E$111)</f>
        <v>2565.188698162814</v>
      </c>
      <c r="F116" s="39">
        <f>SUM(B116:E116)</f>
        <v>11615.484061294255</v>
      </c>
      <c r="G116" s="40"/>
      <c r="H116" s="40"/>
      <c r="I116" s="40"/>
    </row>
    <row r="117" spans="1:9" x14ac:dyDescent="0.25">
      <c r="B117" s="39">
        <f>SUM(B114+B116)</f>
        <v>1132707.5308933037</v>
      </c>
      <c r="C117" s="39">
        <f>SUM(C114+C116)</f>
        <v>1086620.7570032126</v>
      </c>
      <c r="D117" s="39">
        <f>SUM(D114+D116)</f>
        <v>1000197.2944916068</v>
      </c>
      <c r="E117" s="39">
        <f>SUM(E114+E116)</f>
        <v>855958.00778703566</v>
      </c>
      <c r="F117" s="39">
        <f>SUM(F114+F116)</f>
        <v>4075483.5901751588</v>
      </c>
    </row>
    <row r="118" spans="1:9" x14ac:dyDescent="0.25">
      <c r="A118" s="298" t="s">
        <v>11</v>
      </c>
      <c r="I118" s="63"/>
    </row>
    <row r="119" spans="1:9" x14ac:dyDescent="0.25">
      <c r="A119" s="299" t="s">
        <v>38</v>
      </c>
      <c r="I119" s="63"/>
    </row>
    <row r="120" spans="1:9" x14ac:dyDescent="0.25">
      <c r="A120" s="338" t="s">
        <v>36</v>
      </c>
      <c r="B120" s="338"/>
      <c r="C120" s="338"/>
      <c r="D120" s="338"/>
      <c r="E120" s="338"/>
      <c r="F120" s="338"/>
      <c r="I120" s="61"/>
    </row>
    <row r="121" spans="1:9" x14ac:dyDescent="0.25">
      <c r="A121" s="338" t="s">
        <v>43</v>
      </c>
      <c r="B121" s="338"/>
      <c r="C121" s="338"/>
      <c r="D121" s="338"/>
      <c r="E121" s="338"/>
      <c r="F121" s="338"/>
      <c r="G121" s="338"/>
      <c r="H121" s="338"/>
    </row>
    <row r="122" spans="1:9" x14ac:dyDescent="0.25">
      <c r="A122" s="338" t="s">
        <v>37</v>
      </c>
      <c r="B122" s="338"/>
      <c r="C122" s="338"/>
      <c r="D122" s="338"/>
      <c r="E122" s="338"/>
      <c r="F122" s="338"/>
    </row>
    <row r="123" spans="1:9" x14ac:dyDescent="0.25">
      <c r="A123" s="333" t="s">
        <v>44</v>
      </c>
      <c r="B123" s="333"/>
      <c r="C123" s="333"/>
      <c r="D123" s="333"/>
      <c r="E123" s="333"/>
      <c r="F123" s="333"/>
    </row>
    <row r="124" spans="1:9" x14ac:dyDescent="0.25">
      <c r="A124" s="333"/>
      <c r="B124" s="333"/>
      <c r="C124" s="333"/>
      <c r="D124" s="333"/>
      <c r="E124" s="333"/>
      <c r="F124" s="333"/>
    </row>
    <row r="125" spans="1:9" s="22" customFormat="1" x14ac:dyDescent="0.25">
      <c r="A125" s="334" t="s">
        <v>39</v>
      </c>
      <c r="B125" s="334"/>
      <c r="C125" s="334"/>
      <c r="D125" s="334"/>
      <c r="E125" s="334"/>
      <c r="F125" s="334"/>
    </row>
    <row r="126" spans="1:9" s="22" customFormat="1" x14ac:dyDescent="0.25">
      <c r="A126" s="334"/>
      <c r="B126" s="334"/>
      <c r="C126" s="334"/>
      <c r="D126" s="334"/>
      <c r="E126" s="334"/>
      <c r="F126" s="334"/>
    </row>
    <row r="127" spans="1:9" s="22" customFormat="1" x14ac:dyDescent="0.25">
      <c r="A127" s="287"/>
    </row>
    <row r="128" spans="1:9" s="22" customFormat="1" x14ac:dyDescent="0.25">
      <c r="A128" s="287"/>
    </row>
    <row r="129" spans="1:1" s="22" customFormat="1" x14ac:dyDescent="0.25">
      <c r="A129" s="287"/>
    </row>
    <row r="130" spans="1:1" s="22" customFormat="1" x14ac:dyDescent="0.25">
      <c r="A130" s="287"/>
    </row>
    <row r="131" spans="1:1" s="22" customFormat="1" x14ac:dyDescent="0.25">
      <c r="A131" s="287"/>
    </row>
  </sheetData>
  <mergeCells count="8">
    <mergeCell ref="A123:F124"/>
    <mergeCell ref="A125:F126"/>
    <mergeCell ref="A1:I1"/>
    <mergeCell ref="A2:I2"/>
    <mergeCell ref="B4:E4"/>
    <mergeCell ref="A120:F120"/>
    <mergeCell ref="A121:H121"/>
    <mergeCell ref="A122:F122"/>
  </mergeCells>
  <printOptions horizontalCentered="1"/>
  <pageMargins left="0.7" right="0.7" top="0.75" bottom="0.75" header="0.3" footer="0.3"/>
  <pageSetup scale="66" fitToHeight="0" orientation="portrait" r:id="rId1"/>
  <headerFooter alignWithMargins="0">
    <oddHeader>&amp;RTO2021 Annual Update
Attachment 4
WP- Schedule 22 NUCs
Page &amp;P of &amp;N</oddHeader>
    <oddFooter>&amp;R&amp;A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62"/>
  <sheetViews>
    <sheetView view="pageLayout" zoomScale="50" zoomScaleNormal="5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7" width="16.1796875" style="47" customWidth="1"/>
    <col min="8" max="8" width="17.6328125" style="47" customWidth="1"/>
    <col min="9"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41852</v>
      </c>
      <c r="C2" s="43">
        <v>70903</v>
      </c>
      <c r="D2" s="43">
        <v>0</v>
      </c>
      <c r="E2" s="43">
        <v>0</v>
      </c>
      <c r="F2" s="7">
        <f>SUM(C2:E2)</f>
        <v>70903</v>
      </c>
      <c r="G2"/>
      <c r="H2"/>
      <c r="I2"/>
      <c r="J2"/>
      <c r="K2"/>
      <c r="L2"/>
      <c r="M2"/>
    </row>
    <row r="3" spans="1:13" ht="12.75" customHeight="1" outlineLevel="1" x14ac:dyDescent="0.25">
      <c r="A3" s="216" t="s">
        <v>53</v>
      </c>
      <c r="B3" s="49">
        <v>41883</v>
      </c>
      <c r="C3" s="43">
        <v>92672</v>
      </c>
      <c r="D3" s="43">
        <v>0</v>
      </c>
      <c r="E3" s="43">
        <v>0</v>
      </c>
      <c r="F3" s="7">
        <f t="shared" ref="F3:F25" si="0">SUM(C3:E3)</f>
        <v>92672</v>
      </c>
      <c r="G3"/>
      <c r="H3"/>
      <c r="I3"/>
      <c r="J3"/>
      <c r="K3"/>
      <c r="L3"/>
      <c r="M3"/>
    </row>
    <row r="4" spans="1:13" outlineLevel="1" collapsed="1" x14ac:dyDescent="0.25">
      <c r="A4" s="216" t="s">
        <v>54</v>
      </c>
      <c r="B4" s="49">
        <v>41913</v>
      </c>
      <c r="C4" s="43">
        <v>120116</v>
      </c>
      <c r="D4" s="43">
        <v>0</v>
      </c>
      <c r="E4" s="43">
        <v>0</v>
      </c>
      <c r="F4" s="7">
        <f t="shared" si="0"/>
        <v>120116</v>
      </c>
      <c r="G4"/>
      <c r="H4"/>
      <c r="I4"/>
      <c r="J4"/>
      <c r="K4"/>
      <c r="L4"/>
      <c r="M4"/>
    </row>
    <row r="5" spans="1:13" outlineLevel="1" x14ac:dyDescent="0.25">
      <c r="A5" s="216" t="s">
        <v>55</v>
      </c>
      <c r="B5" s="49">
        <v>41944</v>
      </c>
      <c r="C5" s="43">
        <v>154013</v>
      </c>
      <c r="D5" s="43">
        <v>0</v>
      </c>
      <c r="E5" s="43">
        <v>0</v>
      </c>
      <c r="F5" s="7">
        <f t="shared" si="0"/>
        <v>154013</v>
      </c>
      <c r="G5"/>
      <c r="H5"/>
      <c r="I5"/>
      <c r="J5"/>
      <c r="K5"/>
      <c r="L5"/>
      <c r="M5"/>
    </row>
    <row r="6" spans="1:13" ht="12.75" customHeight="1" outlineLevel="1" x14ac:dyDescent="0.25">
      <c r="A6" s="216" t="s">
        <v>56</v>
      </c>
      <c r="B6" s="49">
        <v>41974</v>
      </c>
      <c r="C6" s="43">
        <v>194760</v>
      </c>
      <c r="D6" s="43">
        <v>0</v>
      </c>
      <c r="E6" s="43">
        <v>0</v>
      </c>
      <c r="F6" s="7">
        <f t="shared" si="0"/>
        <v>194760</v>
      </c>
      <c r="G6"/>
      <c r="H6"/>
      <c r="I6"/>
      <c r="J6"/>
      <c r="K6"/>
      <c r="L6"/>
      <c r="M6"/>
    </row>
    <row r="7" spans="1:13" outlineLevel="1" x14ac:dyDescent="0.25">
      <c r="A7" s="216" t="s">
        <v>57</v>
      </c>
      <c r="B7" s="49">
        <v>42005</v>
      </c>
      <c r="C7" s="43">
        <v>242020</v>
      </c>
      <c r="D7" s="43">
        <v>0</v>
      </c>
      <c r="E7" s="43">
        <v>0</v>
      </c>
      <c r="F7" s="7">
        <f t="shared" si="0"/>
        <v>242020</v>
      </c>
      <c r="G7"/>
      <c r="H7"/>
      <c r="I7"/>
      <c r="J7"/>
      <c r="K7"/>
      <c r="L7"/>
      <c r="M7"/>
    </row>
    <row r="8" spans="1:13" outlineLevel="1" x14ac:dyDescent="0.25">
      <c r="A8" s="216" t="s">
        <v>58</v>
      </c>
      <c r="B8" s="49">
        <v>42036</v>
      </c>
      <c r="C8" s="43">
        <v>294302</v>
      </c>
      <c r="D8" s="43">
        <v>0</v>
      </c>
      <c r="E8" s="43">
        <v>0</v>
      </c>
      <c r="F8" s="7">
        <f t="shared" si="0"/>
        <v>294302</v>
      </c>
      <c r="G8"/>
      <c r="H8"/>
      <c r="I8"/>
      <c r="J8"/>
      <c r="K8"/>
      <c r="L8"/>
      <c r="M8"/>
    </row>
    <row r="9" spans="1:13" outlineLevel="1" x14ac:dyDescent="0.25">
      <c r="A9" s="216" t="s">
        <v>59</v>
      </c>
      <c r="B9" s="49">
        <v>42064</v>
      </c>
      <c r="C9" s="43">
        <v>348592</v>
      </c>
      <c r="D9" s="43">
        <v>0</v>
      </c>
      <c r="E9" s="43">
        <v>0</v>
      </c>
      <c r="F9" s="7">
        <f t="shared" si="0"/>
        <v>348592</v>
      </c>
      <c r="G9"/>
      <c r="H9"/>
      <c r="I9"/>
      <c r="J9"/>
      <c r="K9"/>
      <c r="L9"/>
      <c r="M9"/>
    </row>
    <row r="10" spans="1:13" outlineLevel="1" x14ac:dyDescent="0.25">
      <c r="A10" s="216" t="s">
        <v>60</v>
      </c>
      <c r="B10" s="49">
        <v>42095</v>
      </c>
      <c r="C10" s="43">
        <v>400263</v>
      </c>
      <c r="D10" s="43">
        <v>0</v>
      </c>
      <c r="E10" s="43">
        <v>0</v>
      </c>
      <c r="F10" s="7">
        <f t="shared" si="0"/>
        <v>400263</v>
      </c>
      <c r="G10"/>
      <c r="H10"/>
      <c r="I10"/>
      <c r="J10"/>
      <c r="K10"/>
      <c r="L10"/>
      <c r="M10"/>
    </row>
    <row r="11" spans="1:13" outlineLevel="1" x14ac:dyDescent="0.25">
      <c r="A11" s="216" t="s">
        <v>61</v>
      </c>
      <c r="B11" s="49">
        <v>42125</v>
      </c>
      <c r="C11" s="43">
        <v>456920</v>
      </c>
      <c r="D11" s="43">
        <v>0</v>
      </c>
      <c r="E11" s="43">
        <v>0</v>
      </c>
      <c r="F11" s="7">
        <f t="shared" si="0"/>
        <v>456920</v>
      </c>
      <c r="G11"/>
      <c r="H11"/>
      <c r="I11"/>
      <c r="J11"/>
      <c r="K11"/>
      <c r="L11"/>
      <c r="M11"/>
    </row>
    <row r="12" spans="1:13" outlineLevel="1" collapsed="1" x14ac:dyDescent="0.25">
      <c r="A12" s="216" t="s">
        <v>62</v>
      </c>
      <c r="B12" s="49">
        <v>42156</v>
      </c>
      <c r="C12" s="43">
        <v>486761</v>
      </c>
      <c r="D12" s="43">
        <v>0</v>
      </c>
      <c r="E12" s="43">
        <v>0</v>
      </c>
      <c r="F12" s="7">
        <f t="shared" si="0"/>
        <v>486761</v>
      </c>
      <c r="G12"/>
      <c r="H12"/>
      <c r="I12"/>
      <c r="J12"/>
      <c r="K12"/>
      <c r="L12"/>
      <c r="M12"/>
    </row>
    <row r="13" spans="1:13" outlineLevel="1" x14ac:dyDescent="0.25">
      <c r="A13" s="216" t="s">
        <v>63</v>
      </c>
      <c r="B13" s="49">
        <v>42186</v>
      </c>
      <c r="C13" s="43">
        <v>497283</v>
      </c>
      <c r="D13" s="43">
        <v>0</v>
      </c>
      <c r="E13" s="43">
        <v>0</v>
      </c>
      <c r="F13" s="7">
        <f t="shared" si="0"/>
        <v>497283</v>
      </c>
      <c r="G13"/>
      <c r="H13"/>
      <c r="I13"/>
      <c r="J13"/>
      <c r="K13"/>
      <c r="L13"/>
      <c r="M13"/>
    </row>
    <row r="14" spans="1:13" outlineLevel="1" x14ac:dyDescent="0.25">
      <c r="A14" s="216" t="s">
        <v>64</v>
      </c>
      <c r="B14" s="49">
        <v>42217</v>
      </c>
      <c r="C14" s="43">
        <v>486761</v>
      </c>
      <c r="D14" s="43">
        <v>0</v>
      </c>
      <c r="E14" s="43">
        <v>0</v>
      </c>
      <c r="F14" s="7">
        <f t="shared" si="0"/>
        <v>486761</v>
      </c>
      <c r="G14"/>
      <c r="H14"/>
      <c r="I14"/>
      <c r="J14"/>
      <c r="K14"/>
      <c r="L14"/>
      <c r="M14"/>
    </row>
    <row r="15" spans="1:13" outlineLevel="1" x14ac:dyDescent="0.25">
      <c r="A15" s="216" t="s">
        <v>65</v>
      </c>
      <c r="B15" s="49">
        <v>42248</v>
      </c>
      <c r="C15" s="43">
        <v>456920</v>
      </c>
      <c r="D15" s="43">
        <v>0</v>
      </c>
      <c r="E15" s="43">
        <v>0</v>
      </c>
      <c r="F15" s="7">
        <f t="shared" si="0"/>
        <v>456920</v>
      </c>
      <c r="G15"/>
      <c r="H15"/>
      <c r="I15"/>
      <c r="J15"/>
      <c r="K15"/>
      <c r="L15"/>
      <c r="M15"/>
    </row>
    <row r="16" spans="1:13" outlineLevel="1" x14ac:dyDescent="0.25">
      <c r="A16" s="216" t="s">
        <v>66</v>
      </c>
      <c r="B16" s="49">
        <v>42278</v>
      </c>
      <c r="C16" s="43">
        <v>412352</v>
      </c>
      <c r="D16" s="43">
        <v>0</v>
      </c>
      <c r="E16" s="43">
        <v>0</v>
      </c>
      <c r="F16" s="7">
        <f t="shared" si="0"/>
        <v>412352</v>
      </c>
      <c r="G16"/>
      <c r="H16"/>
      <c r="I16"/>
      <c r="J16"/>
      <c r="K16"/>
      <c r="L16"/>
      <c r="M16"/>
    </row>
    <row r="17" spans="1:18" outlineLevel="1" x14ac:dyDescent="0.25">
      <c r="A17" s="216" t="s">
        <v>67</v>
      </c>
      <c r="B17" s="49">
        <v>42309</v>
      </c>
      <c r="C17" s="43">
        <v>359119</v>
      </c>
      <c r="D17" s="43">
        <v>0</v>
      </c>
      <c r="E17" s="43">
        <v>0</v>
      </c>
      <c r="F17" s="7">
        <f t="shared" si="0"/>
        <v>359119</v>
      </c>
      <c r="G17"/>
      <c r="H17"/>
      <c r="I17"/>
      <c r="J17"/>
      <c r="K17"/>
      <c r="L17"/>
      <c r="M17"/>
    </row>
    <row r="18" spans="1:18" outlineLevel="1" x14ac:dyDescent="0.25">
      <c r="A18" s="216" t="s">
        <v>68</v>
      </c>
      <c r="B18" s="49">
        <v>42339</v>
      </c>
      <c r="C18" s="43">
        <v>303191</v>
      </c>
      <c r="D18" s="43">
        <v>0</v>
      </c>
      <c r="E18" s="43">
        <v>0</v>
      </c>
      <c r="F18" s="7">
        <f t="shared" si="0"/>
        <v>303191</v>
      </c>
      <c r="G18"/>
      <c r="H18"/>
      <c r="I18"/>
      <c r="J18"/>
      <c r="K18"/>
      <c r="L18"/>
      <c r="M18"/>
    </row>
    <row r="19" spans="1:18" outlineLevel="1" x14ac:dyDescent="0.25">
      <c r="A19" s="216" t="s">
        <v>69</v>
      </c>
      <c r="B19" s="49">
        <v>42370</v>
      </c>
      <c r="C19" s="43">
        <v>249330</v>
      </c>
      <c r="D19" s="43">
        <v>0</v>
      </c>
      <c r="E19" s="43">
        <v>0</v>
      </c>
      <c r="F19" s="7">
        <f t="shared" si="0"/>
        <v>249330</v>
      </c>
      <c r="G19"/>
      <c r="H19"/>
      <c r="I19"/>
      <c r="J19"/>
      <c r="K19"/>
      <c r="L19"/>
      <c r="M19"/>
    </row>
    <row r="20" spans="1:18" outlineLevel="1" x14ac:dyDescent="0.25">
      <c r="A20" s="216" t="s">
        <v>70</v>
      </c>
      <c r="B20" s="49">
        <v>42401</v>
      </c>
      <c r="C20" s="43">
        <v>200642</v>
      </c>
      <c r="D20" s="43">
        <v>0</v>
      </c>
      <c r="E20" s="43">
        <v>0</v>
      </c>
      <c r="F20" s="7">
        <f t="shared" si="0"/>
        <v>200642</v>
      </c>
      <c r="G20"/>
      <c r="H20"/>
      <c r="I20"/>
      <c r="J20"/>
      <c r="K20"/>
      <c r="L20"/>
      <c r="M20"/>
    </row>
    <row r="21" spans="1:18" outlineLevel="1" x14ac:dyDescent="0.25">
      <c r="A21" s="216" t="s">
        <v>71</v>
      </c>
      <c r="B21" s="49">
        <v>42430</v>
      </c>
      <c r="C21" s="43">
        <v>158664</v>
      </c>
      <c r="D21" s="43">
        <v>0</v>
      </c>
      <c r="E21" s="43">
        <v>0</v>
      </c>
      <c r="F21" s="7">
        <f>SUM(C21:E21)</f>
        <v>158664</v>
      </c>
      <c r="G21"/>
      <c r="H21"/>
      <c r="I21"/>
      <c r="J21"/>
      <c r="K21"/>
      <c r="L21"/>
      <c r="M21"/>
    </row>
    <row r="22" spans="1:18" outlineLevel="1" x14ac:dyDescent="0.25">
      <c r="A22" s="216" t="s">
        <v>74</v>
      </c>
      <c r="B22" s="49">
        <v>42461</v>
      </c>
      <c r="C22" s="43">
        <v>123744</v>
      </c>
      <c r="D22" s="43">
        <v>0</v>
      </c>
      <c r="E22" s="43">
        <v>0</v>
      </c>
      <c r="F22" s="7">
        <f t="shared" si="0"/>
        <v>123744</v>
      </c>
      <c r="G22"/>
      <c r="H22"/>
      <c r="I22"/>
      <c r="J22"/>
      <c r="K22"/>
      <c r="L22"/>
      <c r="M22"/>
    </row>
    <row r="23" spans="1:18" outlineLevel="1" x14ac:dyDescent="0.25">
      <c r="A23" s="216" t="s">
        <v>75</v>
      </c>
      <c r="B23" s="49">
        <v>42491</v>
      </c>
      <c r="C23" s="43">
        <v>23891</v>
      </c>
      <c r="D23" s="43">
        <v>0</v>
      </c>
      <c r="E23" s="43">
        <v>0</v>
      </c>
      <c r="F23" s="7">
        <f>SUM(C23:E23)</f>
        <v>23891</v>
      </c>
      <c r="G23"/>
      <c r="H23"/>
      <c r="I23"/>
      <c r="J23"/>
      <c r="K23"/>
      <c r="L23"/>
      <c r="M23"/>
    </row>
    <row r="24" spans="1:18" outlineLevel="1" x14ac:dyDescent="0.25">
      <c r="A24" s="216" t="s">
        <v>76</v>
      </c>
      <c r="B24" s="49">
        <v>42522</v>
      </c>
      <c r="C24" s="43">
        <v>23891</v>
      </c>
      <c r="D24" s="43">
        <v>0</v>
      </c>
      <c r="E24" s="43">
        <v>0</v>
      </c>
      <c r="F24" s="7">
        <f>SUM(C24:E24)</f>
        <v>23891</v>
      </c>
      <c r="G24"/>
      <c r="H24"/>
      <c r="I24"/>
      <c r="J24"/>
      <c r="K24"/>
      <c r="L24"/>
      <c r="M24"/>
    </row>
    <row r="25" spans="1:18" outlineLevel="1" x14ac:dyDescent="0.25">
      <c r="A25" s="216" t="s">
        <v>77</v>
      </c>
      <c r="B25" s="49">
        <v>42552</v>
      </c>
      <c r="C25" s="43">
        <v>23890</v>
      </c>
      <c r="D25" s="43">
        <v>0</v>
      </c>
      <c r="E25" s="43">
        <v>0</v>
      </c>
      <c r="F25" s="7">
        <f t="shared" si="0"/>
        <v>23890</v>
      </c>
      <c r="G25"/>
      <c r="H25"/>
      <c r="I25"/>
      <c r="J25"/>
      <c r="K25"/>
      <c r="L25"/>
      <c r="M25"/>
    </row>
    <row r="26" spans="1:18" ht="13.5" thickBot="1" x14ac:dyDescent="0.35">
      <c r="B26" s="46" t="s">
        <v>0</v>
      </c>
      <c r="C26" s="217">
        <f>SUM(C2:C25)</f>
        <v>6181000</v>
      </c>
      <c r="D26" s="217">
        <f>SUM(D2:D25)</f>
        <v>0</v>
      </c>
      <c r="E26" s="217">
        <f>SUM(E2:E25)</f>
        <v>0</v>
      </c>
      <c r="F26" s="217">
        <f>SUM(F2:F25)</f>
        <v>6181000</v>
      </c>
      <c r="G26"/>
      <c r="H26"/>
      <c r="I26"/>
      <c r="J26"/>
      <c r="K26"/>
      <c r="L26"/>
      <c r="M26"/>
    </row>
    <row r="27" spans="1:18" ht="13.5" thickTop="1" x14ac:dyDescent="0.3">
      <c r="A27" s="48" t="s">
        <v>18</v>
      </c>
      <c r="B27" s="50" t="s">
        <v>21</v>
      </c>
      <c r="C27" s="52">
        <v>0</v>
      </c>
      <c r="D27" s="52">
        <v>0</v>
      </c>
      <c r="E27" s="52">
        <v>0</v>
      </c>
      <c r="F27" s="52">
        <f>SUM(C27:E27)</f>
        <v>0</v>
      </c>
      <c r="H27" s="219"/>
      <c r="I27" s="220" t="s">
        <v>13</v>
      </c>
      <c r="J27" s="220" t="s">
        <v>12</v>
      </c>
      <c r="K27" s="221" t="s">
        <v>20</v>
      </c>
      <c r="L27" s="222"/>
      <c r="M27" s="223"/>
      <c r="Q27" s="224"/>
    </row>
    <row r="28" spans="1:18" ht="13" x14ac:dyDescent="0.3">
      <c r="A28" s="48" t="s">
        <v>19</v>
      </c>
      <c r="B28" s="50" t="s">
        <v>21</v>
      </c>
      <c r="C28" s="52">
        <v>0</v>
      </c>
      <c r="D28" s="52">
        <v>0</v>
      </c>
      <c r="E28" s="52">
        <v>0</v>
      </c>
      <c r="F28" s="52">
        <f>SUM(C28:E28)</f>
        <v>0</v>
      </c>
      <c r="H28" s="225" t="s">
        <v>10</v>
      </c>
      <c r="I28" s="226">
        <v>41547</v>
      </c>
      <c r="J28" s="227">
        <f>I28</f>
        <v>41547</v>
      </c>
      <c r="K28" s="228"/>
      <c r="L28" s="229"/>
      <c r="M28" s="230"/>
    </row>
    <row r="29" spans="1:18" ht="13.5" thickBot="1" x14ac:dyDescent="0.35">
      <c r="B29" s="46" t="s">
        <v>50</v>
      </c>
      <c r="C29" s="217">
        <f>+SUM(C26:C28)</f>
        <v>6181000</v>
      </c>
      <c r="D29" s="217">
        <f>+SUM(D26:D28)</f>
        <v>0</v>
      </c>
      <c r="E29" s="217">
        <f>+SUM(E26:E28)</f>
        <v>0</v>
      </c>
      <c r="F29" s="217">
        <f>+SUM(F26:F28)</f>
        <v>6181000</v>
      </c>
      <c r="H29" s="231" t="s">
        <v>16</v>
      </c>
      <c r="I29" s="232">
        <v>42735</v>
      </c>
      <c r="J29" s="233">
        <f>I29</f>
        <v>42735</v>
      </c>
      <c r="K29" s="234"/>
      <c r="L29" s="235"/>
      <c r="M29" s="236"/>
    </row>
    <row r="30" spans="1:18" ht="14" thickTop="1" thickBot="1" x14ac:dyDescent="0.35">
      <c r="B30" s="46"/>
      <c r="C30" s="51"/>
      <c r="D30" s="51"/>
      <c r="E30" s="51"/>
      <c r="F30" s="51"/>
      <c r="I30" s="52"/>
      <c r="J30" s="52"/>
      <c r="K30" s="52"/>
      <c r="L30" s="52"/>
      <c r="M30" s="52"/>
      <c r="N30" s="52"/>
      <c r="O30" s="52"/>
      <c r="P30" s="52"/>
      <c r="Q30" s="52"/>
      <c r="R30" s="52"/>
    </row>
    <row r="31" spans="1:18" ht="13" x14ac:dyDescent="0.3">
      <c r="B31" s="257"/>
      <c r="C31" s="53"/>
      <c r="D31" s="48"/>
      <c r="I31" s="237"/>
      <c r="J31" s="341" t="s">
        <v>2</v>
      </c>
      <c r="K31" s="341"/>
      <c r="L31" s="238" t="s">
        <v>52</v>
      </c>
      <c r="M31" s="239"/>
    </row>
    <row r="32" spans="1:18" ht="37" x14ac:dyDescent="0.3">
      <c r="A32" s="240" t="s">
        <v>51</v>
      </c>
      <c r="B32" s="240" t="s">
        <v>3</v>
      </c>
      <c r="C32" s="240" t="s">
        <v>4</v>
      </c>
      <c r="D32" s="240" t="s">
        <v>5</v>
      </c>
      <c r="E32" s="240" t="s">
        <v>6</v>
      </c>
      <c r="F32" s="240" t="s">
        <v>7</v>
      </c>
      <c r="G32" s="240" t="s">
        <v>78</v>
      </c>
      <c r="H32" s="240" t="s">
        <v>79</v>
      </c>
      <c r="I32" s="213" t="s">
        <v>80</v>
      </c>
      <c r="J32" s="214" t="s">
        <v>81</v>
      </c>
      <c r="K32" s="214" t="s">
        <v>82</v>
      </c>
      <c r="L32" s="214" t="s">
        <v>83</v>
      </c>
      <c r="M32" s="215" t="s">
        <v>73</v>
      </c>
      <c r="N32" s="240" t="s">
        <v>84</v>
      </c>
      <c r="O32" s="240" t="s">
        <v>85</v>
      </c>
    </row>
    <row r="33" spans="1:15" x14ac:dyDescent="0.25">
      <c r="A33" s="216" t="s">
        <v>21</v>
      </c>
      <c r="B33" s="241" t="str">
        <f t="shared" ref="B33:B56" si="1">+IF(MONTH(C33)&lt;4,"Q1",IF(MONTH(C33)&lt;7,"Q2",IF(MONTH(C33)&lt;10,"Q3","Q4")))&amp;"/"&amp;YEAR(C33)</f>
        <v>Q3/2013</v>
      </c>
      <c r="C33" s="242">
        <f>+J28</f>
        <v>41547</v>
      </c>
      <c r="D33" s="242">
        <f t="shared" ref="D33:D56" si="2">DATE(YEAR(C33),IF(MONTH(C33)&lt;=3,3,IF(MONTH(C33)&lt;=6,6,IF(MONTH(C33)&lt;=9,9,12))),IF(OR(MONTH(C33)&lt;=3,MONTH(C33)&gt;=10),31,30))</f>
        <v>41547</v>
      </c>
      <c r="E33" s="241">
        <f t="shared" ref="E33:E56" si="3">D33-C33+1</f>
        <v>1</v>
      </c>
      <c r="F33" s="74">
        <f>VLOOKUP(D33,'FERC Interest Rate'!$A:$B,2,TRUE)</f>
        <v>3.2500000000000001E-2</v>
      </c>
      <c r="G33" s="75">
        <f>+$C$29</f>
        <v>6181000</v>
      </c>
      <c r="H33" s="75">
        <f>G33*F33*(E33/(DATE(YEAR(D33),12,31)-DATE(YEAR(D33),1,1)+1))</f>
        <v>550.3630136986302</v>
      </c>
      <c r="I33" s="99">
        <v>0</v>
      </c>
      <c r="J33" s="57">
        <v>0</v>
      </c>
      <c r="K33" s="243">
        <f t="shared" ref="K33:K52" si="4">+SUM(I33:J33)</f>
        <v>0</v>
      </c>
      <c r="L33" s="57">
        <v>0</v>
      </c>
      <c r="M33" s="244">
        <v>0</v>
      </c>
      <c r="N33" s="52">
        <f t="shared" ref="N33:N56" si="5">+G33+H33+J33</f>
        <v>6181550.3630136987</v>
      </c>
      <c r="O33" s="75">
        <f>+N33-M33</f>
        <v>6181550.3630136987</v>
      </c>
    </row>
    <row r="34" spans="1:15" x14ac:dyDescent="0.25">
      <c r="A34" s="216" t="s">
        <v>21</v>
      </c>
      <c r="B34" s="241" t="str">
        <f t="shared" si="1"/>
        <v>Q4/2013</v>
      </c>
      <c r="C34" s="242">
        <f t="shared" ref="C34:C56" si="6">D33+1</f>
        <v>41548</v>
      </c>
      <c r="D34" s="242">
        <f t="shared" si="2"/>
        <v>41639</v>
      </c>
      <c r="E34" s="241">
        <f t="shared" si="3"/>
        <v>92</v>
      </c>
      <c r="F34" s="74">
        <f>VLOOKUP(D34,'FERC Interest Rate'!$A:$B,2,TRUE)</f>
        <v>3.2500000000000001E-2</v>
      </c>
      <c r="G34" s="75">
        <f>O33</f>
        <v>6181550.3630136987</v>
      </c>
      <c r="H34" s="75">
        <f t="shared" ref="H34:H40" si="7">G34*F34*(E34/(DATE(YEAR(D34),12,31)-DATE(YEAR(D34),1,1)+1))</f>
        <v>50637.905713454689</v>
      </c>
      <c r="I34" s="99">
        <v>0</v>
      </c>
      <c r="J34" s="57">
        <v>0</v>
      </c>
      <c r="K34" s="243">
        <f t="shared" si="4"/>
        <v>0</v>
      </c>
      <c r="L34" s="57">
        <v>0</v>
      </c>
      <c r="M34" s="244">
        <v>0</v>
      </c>
      <c r="N34" s="52">
        <f t="shared" si="5"/>
        <v>6232188.2687271535</v>
      </c>
      <c r="O34" s="75">
        <f t="shared" ref="O34:O56" si="8">+N34-M34</f>
        <v>6232188.2687271535</v>
      </c>
    </row>
    <row r="35" spans="1:15" x14ac:dyDescent="0.25">
      <c r="A35" s="216" t="s">
        <v>21</v>
      </c>
      <c r="B35" s="241" t="str">
        <f t="shared" si="1"/>
        <v>Q1/2014</v>
      </c>
      <c r="C35" s="242">
        <f t="shared" si="6"/>
        <v>41640</v>
      </c>
      <c r="D35" s="242">
        <f t="shared" si="2"/>
        <v>41729</v>
      </c>
      <c r="E35" s="241">
        <f t="shared" si="3"/>
        <v>90</v>
      </c>
      <c r="F35" s="74">
        <f>VLOOKUP(D35,'FERC Interest Rate'!$A:$B,2,TRUE)</f>
        <v>3.2500000000000001E-2</v>
      </c>
      <c r="G35" s="75">
        <f>O34</f>
        <v>6232188.2687271535</v>
      </c>
      <c r="H35" s="75">
        <f t="shared" si="7"/>
        <v>49942.878591854584</v>
      </c>
      <c r="I35" s="99">
        <v>0</v>
      </c>
      <c r="J35" s="57">
        <v>0</v>
      </c>
      <c r="K35" s="243">
        <f t="shared" si="4"/>
        <v>0</v>
      </c>
      <c r="L35" s="57">
        <v>0</v>
      </c>
      <c r="M35" s="244">
        <v>0</v>
      </c>
      <c r="N35" s="52">
        <f t="shared" si="5"/>
        <v>6282131.1473190077</v>
      </c>
      <c r="O35" s="75">
        <f t="shared" si="8"/>
        <v>6282131.1473190077</v>
      </c>
    </row>
    <row r="36" spans="1:15" x14ac:dyDescent="0.25">
      <c r="A36" s="216" t="s">
        <v>21</v>
      </c>
      <c r="B36" s="241" t="str">
        <f t="shared" si="1"/>
        <v>Q2/2014</v>
      </c>
      <c r="C36" s="242">
        <f t="shared" si="6"/>
        <v>41730</v>
      </c>
      <c r="D36" s="242">
        <f t="shared" si="2"/>
        <v>41820</v>
      </c>
      <c r="E36" s="241">
        <f t="shared" si="3"/>
        <v>91</v>
      </c>
      <c r="F36" s="74">
        <f>VLOOKUP(D36,'FERC Interest Rate'!$A:$B,2,TRUE)</f>
        <v>3.2500000000000001E-2</v>
      </c>
      <c r="G36" s="75">
        <f>O35</f>
        <v>6282131.1473190077</v>
      </c>
      <c r="H36" s="75">
        <f t="shared" si="7"/>
        <v>50902.473611495792</v>
      </c>
      <c r="I36" s="99">
        <v>0</v>
      </c>
      <c r="J36" s="57">
        <v>0</v>
      </c>
      <c r="K36" s="243">
        <f t="shared" si="4"/>
        <v>0</v>
      </c>
      <c r="L36" s="57">
        <v>0</v>
      </c>
      <c r="M36" s="244">
        <f t="shared" ref="M36:M52" si="9">+SUM(K36:L36)</f>
        <v>0</v>
      </c>
      <c r="N36" s="52">
        <f t="shared" si="5"/>
        <v>6333033.6209305031</v>
      </c>
      <c r="O36" s="75">
        <f t="shared" si="8"/>
        <v>6333033.6209305031</v>
      </c>
    </row>
    <row r="37" spans="1:15" x14ac:dyDescent="0.25">
      <c r="A37" s="216" t="s">
        <v>21</v>
      </c>
      <c r="B37" s="241" t="str">
        <f t="shared" si="1"/>
        <v>Q3/2014</v>
      </c>
      <c r="C37" s="242">
        <f t="shared" si="6"/>
        <v>41821</v>
      </c>
      <c r="D37" s="242">
        <f t="shared" si="2"/>
        <v>41912</v>
      </c>
      <c r="E37" s="241">
        <f t="shared" si="3"/>
        <v>92</v>
      </c>
      <c r="F37" s="74">
        <f>VLOOKUP(D37,'FERC Interest Rate'!$A:$B,2,TRUE)</f>
        <v>3.2500000000000001E-2</v>
      </c>
      <c r="G37" s="75">
        <f>O36</f>
        <v>6333033.6209305031</v>
      </c>
      <c r="H37" s="75">
        <f t="shared" si="7"/>
        <v>51878.823360499198</v>
      </c>
      <c r="I37" s="99">
        <v>0</v>
      </c>
      <c r="J37" s="57">
        <v>0</v>
      </c>
      <c r="K37" s="243">
        <f t="shared" si="4"/>
        <v>0</v>
      </c>
      <c r="L37" s="57">
        <v>0</v>
      </c>
      <c r="M37" s="244">
        <f t="shared" si="9"/>
        <v>0</v>
      </c>
      <c r="N37" s="52">
        <f t="shared" si="5"/>
        <v>6384912.4442910021</v>
      </c>
      <c r="O37" s="75">
        <f t="shared" si="8"/>
        <v>6384912.4442910021</v>
      </c>
    </row>
    <row r="38" spans="1:15" x14ac:dyDescent="0.25">
      <c r="A38" s="216" t="s">
        <v>21</v>
      </c>
      <c r="B38" s="241" t="str">
        <f t="shared" si="1"/>
        <v>Q4/2014</v>
      </c>
      <c r="C38" s="242">
        <f t="shared" si="6"/>
        <v>41913</v>
      </c>
      <c r="D38" s="242">
        <f t="shared" si="2"/>
        <v>42004</v>
      </c>
      <c r="E38" s="241">
        <f t="shared" si="3"/>
        <v>92</v>
      </c>
      <c r="F38" s="74">
        <f>VLOOKUP(D38,'FERC Interest Rate'!$A:$B,2,TRUE)</f>
        <v>3.2500000000000001E-2</v>
      </c>
      <c r="G38" s="75">
        <f t="shared" ref="G38:G56" si="10">O37</f>
        <v>6384912.4442910021</v>
      </c>
      <c r="H38" s="75">
        <f t="shared" si="7"/>
        <v>52303.803310767391</v>
      </c>
      <c r="I38" s="99">
        <v>0</v>
      </c>
      <c r="J38" s="57">
        <v>0</v>
      </c>
      <c r="K38" s="243">
        <f t="shared" si="4"/>
        <v>0</v>
      </c>
      <c r="L38" s="57">
        <v>0</v>
      </c>
      <c r="M38" s="244">
        <f t="shared" si="9"/>
        <v>0</v>
      </c>
      <c r="N38" s="52">
        <f t="shared" si="5"/>
        <v>6437216.2476017699</v>
      </c>
      <c r="O38" s="75">
        <f t="shared" si="8"/>
        <v>6437216.2476017699</v>
      </c>
    </row>
    <row r="39" spans="1:15" x14ac:dyDescent="0.25">
      <c r="A39" s="216" t="s">
        <v>21</v>
      </c>
      <c r="B39" s="241" t="str">
        <f t="shared" si="1"/>
        <v>Q1/2015</v>
      </c>
      <c r="C39" s="242">
        <f t="shared" si="6"/>
        <v>42005</v>
      </c>
      <c r="D39" s="242">
        <f t="shared" si="2"/>
        <v>42094</v>
      </c>
      <c r="E39" s="241">
        <f t="shared" si="3"/>
        <v>90</v>
      </c>
      <c r="F39" s="74">
        <f>VLOOKUP(D39,'FERC Interest Rate'!$A:$B,2,TRUE)</f>
        <v>3.2500000000000001E-2</v>
      </c>
      <c r="G39" s="75">
        <f t="shared" si="10"/>
        <v>6437216.2476017699</v>
      </c>
      <c r="H39" s="75">
        <f t="shared" si="7"/>
        <v>51585.911025301859</v>
      </c>
      <c r="I39" s="99">
        <v>0</v>
      </c>
      <c r="J39" s="57">
        <v>0</v>
      </c>
      <c r="K39" s="243">
        <f t="shared" si="4"/>
        <v>0</v>
      </c>
      <c r="L39" s="57">
        <v>0</v>
      </c>
      <c r="M39" s="244">
        <f t="shared" si="9"/>
        <v>0</v>
      </c>
      <c r="N39" s="52">
        <f t="shared" si="5"/>
        <v>6488802.1586270714</v>
      </c>
      <c r="O39" s="75">
        <f t="shared" si="8"/>
        <v>6488802.1586270714</v>
      </c>
    </row>
    <row r="40" spans="1:15" s="285" customFormat="1" ht="13" x14ac:dyDescent="0.3">
      <c r="A40" s="216" t="s">
        <v>21</v>
      </c>
      <c r="B40" s="241" t="str">
        <f t="shared" si="1"/>
        <v>Q2/2015</v>
      </c>
      <c r="C40" s="242">
        <f t="shared" si="6"/>
        <v>42095</v>
      </c>
      <c r="D40" s="242">
        <f t="shared" si="2"/>
        <v>42185</v>
      </c>
      <c r="E40" s="241">
        <f t="shared" si="3"/>
        <v>91</v>
      </c>
      <c r="F40" s="74">
        <f>VLOOKUP(D40,'FERC Interest Rate'!$A:$B,2,TRUE)</f>
        <v>3.2500000000000001E-2</v>
      </c>
      <c r="G40" s="75">
        <f t="shared" si="10"/>
        <v>6488802.1586270714</v>
      </c>
      <c r="H40" s="75">
        <f t="shared" si="7"/>
        <v>52577.0750250399</v>
      </c>
      <c r="I40" s="99">
        <v>0</v>
      </c>
      <c r="J40" s="57">
        <v>0</v>
      </c>
      <c r="K40" s="243">
        <f t="shared" si="4"/>
        <v>0</v>
      </c>
      <c r="L40" s="57">
        <v>0</v>
      </c>
      <c r="M40" s="244">
        <f t="shared" si="9"/>
        <v>0</v>
      </c>
      <c r="N40" s="52">
        <f t="shared" si="5"/>
        <v>6541379.2336521111</v>
      </c>
      <c r="O40" s="75">
        <f t="shared" si="8"/>
        <v>6541379.2336521111</v>
      </c>
    </row>
    <row r="41" spans="1:15" x14ac:dyDescent="0.25">
      <c r="A41" s="216" t="s">
        <v>21</v>
      </c>
      <c r="B41" s="241" t="str">
        <f t="shared" si="1"/>
        <v>Q3/2015</v>
      </c>
      <c r="C41" s="242">
        <f t="shared" si="6"/>
        <v>42186</v>
      </c>
      <c r="D41" s="242">
        <f t="shared" si="2"/>
        <v>42277</v>
      </c>
      <c r="E41" s="241">
        <f t="shared" si="3"/>
        <v>92</v>
      </c>
      <c r="F41" s="74">
        <f>VLOOKUP(D41,'FERC Interest Rate'!$A:$B,2,TRUE)</f>
        <v>3.2500000000000001E-2</v>
      </c>
      <c r="G41" s="75">
        <f t="shared" si="10"/>
        <v>6541379.2336521111</v>
      </c>
      <c r="H41" s="75">
        <v>0</v>
      </c>
      <c r="I41" s="99">
        <v>0</v>
      </c>
      <c r="J41" s="57">
        <v>0</v>
      </c>
      <c r="K41" s="243">
        <f t="shared" si="4"/>
        <v>0</v>
      </c>
      <c r="L41" s="57">
        <v>0</v>
      </c>
      <c r="M41" s="244">
        <f t="shared" si="9"/>
        <v>0</v>
      </c>
      <c r="N41" s="52">
        <f t="shared" si="5"/>
        <v>6541379.2336521111</v>
      </c>
      <c r="O41" s="75">
        <f t="shared" si="8"/>
        <v>6541379.2336521111</v>
      </c>
    </row>
    <row r="42" spans="1:15" x14ac:dyDescent="0.25">
      <c r="A42" s="216" t="s">
        <v>21</v>
      </c>
      <c r="B42" s="241" t="str">
        <f t="shared" si="1"/>
        <v>Q4/2015</v>
      </c>
      <c r="C42" s="242">
        <f t="shared" si="6"/>
        <v>42278</v>
      </c>
      <c r="D42" s="242">
        <f t="shared" si="2"/>
        <v>42369</v>
      </c>
      <c r="E42" s="241">
        <f t="shared" si="3"/>
        <v>92</v>
      </c>
      <c r="F42" s="74">
        <f>VLOOKUP(D42,'FERC Interest Rate'!$A:$B,2,TRUE)</f>
        <v>3.2500000000000001E-2</v>
      </c>
      <c r="G42" s="75">
        <f t="shared" si="10"/>
        <v>6541379.2336521111</v>
      </c>
      <c r="H42" s="75">
        <v>0</v>
      </c>
      <c r="I42" s="99">
        <v>0</v>
      </c>
      <c r="J42" s="57">
        <v>0</v>
      </c>
      <c r="K42" s="243">
        <f t="shared" si="4"/>
        <v>0</v>
      </c>
      <c r="L42" s="57">
        <v>0</v>
      </c>
      <c r="M42" s="244">
        <f t="shared" si="9"/>
        <v>0</v>
      </c>
      <c r="N42" s="52">
        <f t="shared" si="5"/>
        <v>6541379.2336521111</v>
      </c>
      <c r="O42" s="75">
        <f t="shared" si="8"/>
        <v>6541379.2336521111</v>
      </c>
    </row>
    <row r="43" spans="1:15" x14ac:dyDescent="0.25">
      <c r="A43" s="216" t="s">
        <v>21</v>
      </c>
      <c r="B43" s="241" t="str">
        <f t="shared" si="1"/>
        <v>Q1/2016</v>
      </c>
      <c r="C43" s="242">
        <f t="shared" si="6"/>
        <v>42370</v>
      </c>
      <c r="D43" s="242">
        <f t="shared" si="2"/>
        <v>42460</v>
      </c>
      <c r="E43" s="241">
        <f t="shared" si="3"/>
        <v>91</v>
      </c>
      <c r="F43" s="74">
        <f>VLOOKUP(D43,'FERC Interest Rate'!$A:$B,2,TRUE)</f>
        <v>3.2500000000000001E-2</v>
      </c>
      <c r="G43" s="75">
        <f t="shared" si="10"/>
        <v>6541379.2336521111</v>
      </c>
      <c r="H43" s="75">
        <v>0</v>
      </c>
      <c r="I43" s="99">
        <v>0</v>
      </c>
      <c r="J43" s="57">
        <v>0</v>
      </c>
      <c r="K43" s="243">
        <f t="shared" si="4"/>
        <v>0</v>
      </c>
      <c r="L43" s="57">
        <v>0</v>
      </c>
      <c r="M43" s="244">
        <f t="shared" si="9"/>
        <v>0</v>
      </c>
      <c r="N43" s="52">
        <f t="shared" si="5"/>
        <v>6541379.2336521111</v>
      </c>
      <c r="O43" s="75">
        <f t="shared" si="8"/>
        <v>6541379.2336521111</v>
      </c>
    </row>
    <row r="44" spans="1:15" x14ac:dyDescent="0.25">
      <c r="A44" s="216" t="s">
        <v>21</v>
      </c>
      <c r="B44" s="241" t="str">
        <f t="shared" si="1"/>
        <v>Q2/2016</v>
      </c>
      <c r="C44" s="242">
        <f t="shared" si="6"/>
        <v>42461</v>
      </c>
      <c r="D44" s="242">
        <f t="shared" si="2"/>
        <v>42551</v>
      </c>
      <c r="E44" s="241">
        <f t="shared" si="3"/>
        <v>91</v>
      </c>
      <c r="F44" s="74">
        <f>VLOOKUP(D44,'FERC Interest Rate'!$A:$B,2,TRUE)</f>
        <v>3.4599999999999999E-2</v>
      </c>
      <c r="G44" s="75">
        <f t="shared" si="10"/>
        <v>6541379.2336521111</v>
      </c>
      <c r="H44" s="75">
        <v>0</v>
      </c>
      <c r="I44" s="99">
        <v>0</v>
      </c>
      <c r="J44" s="57">
        <v>0</v>
      </c>
      <c r="K44" s="243">
        <f t="shared" si="4"/>
        <v>0</v>
      </c>
      <c r="L44" s="57">
        <v>0</v>
      </c>
      <c r="M44" s="244">
        <f t="shared" si="9"/>
        <v>0</v>
      </c>
      <c r="N44" s="52">
        <f t="shared" si="5"/>
        <v>6541379.2336521111</v>
      </c>
      <c r="O44" s="75">
        <f t="shared" si="8"/>
        <v>6541379.2336521111</v>
      </c>
    </row>
    <row r="45" spans="1:15" x14ac:dyDescent="0.25">
      <c r="A45" s="48" t="s">
        <v>21</v>
      </c>
      <c r="B45" s="241" t="str">
        <f t="shared" si="1"/>
        <v>Q3/2016</v>
      </c>
      <c r="C45" s="242">
        <f t="shared" si="6"/>
        <v>42552</v>
      </c>
      <c r="D45" s="242">
        <f t="shared" si="2"/>
        <v>42643</v>
      </c>
      <c r="E45" s="241">
        <f t="shared" si="3"/>
        <v>92</v>
      </c>
      <c r="F45" s="74">
        <f>VLOOKUP(D45,'FERC Interest Rate'!$A:$B,2,TRUE)</f>
        <v>3.5000000000000003E-2</v>
      </c>
      <c r="G45" s="75">
        <f t="shared" si="10"/>
        <v>6541379.2336521111</v>
      </c>
      <c r="H45" s="75">
        <v>0</v>
      </c>
      <c r="I45" s="99">
        <v>0</v>
      </c>
      <c r="J45" s="57">
        <v>0</v>
      </c>
      <c r="K45" s="243">
        <f t="shared" si="4"/>
        <v>0</v>
      </c>
      <c r="L45" s="57">
        <v>0</v>
      </c>
      <c r="M45" s="244">
        <f t="shared" si="9"/>
        <v>0</v>
      </c>
      <c r="N45" s="52">
        <f t="shared" si="5"/>
        <v>6541379.2336521111</v>
      </c>
      <c r="O45" s="75">
        <f t="shared" si="8"/>
        <v>6541379.2336521111</v>
      </c>
    </row>
    <row r="46" spans="1:15" x14ac:dyDescent="0.25">
      <c r="A46" s="48" t="s">
        <v>21</v>
      </c>
      <c r="B46" s="241" t="str">
        <f t="shared" si="1"/>
        <v>Q4/2016</v>
      </c>
      <c r="C46" s="242">
        <f t="shared" si="6"/>
        <v>42644</v>
      </c>
      <c r="D46" s="242">
        <f t="shared" si="2"/>
        <v>42735</v>
      </c>
      <c r="E46" s="241">
        <f t="shared" si="3"/>
        <v>92</v>
      </c>
      <c r="F46" s="74">
        <f>VLOOKUP(D46,'FERC Interest Rate'!$A:$B,2,TRUE)</f>
        <v>3.5000000000000003E-2</v>
      </c>
      <c r="G46" s="75">
        <f t="shared" si="10"/>
        <v>6541379.2336521111</v>
      </c>
      <c r="H46" s="75">
        <v>0</v>
      </c>
      <c r="I46" s="99">
        <v>0</v>
      </c>
      <c r="J46" s="57">
        <v>0</v>
      </c>
      <c r="K46" s="243">
        <f t="shared" si="4"/>
        <v>0</v>
      </c>
      <c r="L46" s="57">
        <v>0</v>
      </c>
      <c r="M46" s="244">
        <f t="shared" si="9"/>
        <v>0</v>
      </c>
      <c r="N46" s="52">
        <f t="shared" si="5"/>
        <v>6541379.2336521111</v>
      </c>
      <c r="O46" s="75">
        <f t="shared" si="8"/>
        <v>6541379.2336521111</v>
      </c>
    </row>
    <row r="47" spans="1:15" x14ac:dyDescent="0.25">
      <c r="A47" s="48" t="s">
        <v>21</v>
      </c>
      <c r="B47" s="241" t="str">
        <f t="shared" si="1"/>
        <v>Q1/2017</v>
      </c>
      <c r="C47" s="242">
        <f t="shared" si="6"/>
        <v>42736</v>
      </c>
      <c r="D47" s="242">
        <f t="shared" si="2"/>
        <v>42825</v>
      </c>
      <c r="E47" s="241">
        <f t="shared" si="3"/>
        <v>90</v>
      </c>
      <c r="F47" s="74">
        <f>VLOOKUP(D47,'FERC Interest Rate'!$A:$B,2,TRUE)</f>
        <v>3.5000000000000003E-2</v>
      </c>
      <c r="G47" s="75">
        <f t="shared" si="10"/>
        <v>6541379.2336521111</v>
      </c>
      <c r="H47" s="75">
        <v>0</v>
      </c>
      <c r="I47" s="99">
        <v>0</v>
      </c>
      <c r="J47" s="57">
        <v>0</v>
      </c>
      <c r="K47" s="243">
        <f t="shared" si="4"/>
        <v>0</v>
      </c>
      <c r="L47" s="57">
        <v>0</v>
      </c>
      <c r="M47" s="244">
        <f t="shared" si="9"/>
        <v>0</v>
      </c>
      <c r="N47" s="52">
        <f t="shared" si="5"/>
        <v>6541379.2336521111</v>
      </c>
      <c r="O47" s="75">
        <f t="shared" si="8"/>
        <v>6541379.2336521111</v>
      </c>
    </row>
    <row r="48" spans="1:15" x14ac:dyDescent="0.25">
      <c r="A48" s="48" t="s">
        <v>21</v>
      </c>
      <c r="B48" s="241" t="str">
        <f t="shared" si="1"/>
        <v>Q2/2017</v>
      </c>
      <c r="C48" s="242">
        <f t="shared" si="6"/>
        <v>42826</v>
      </c>
      <c r="D48" s="242">
        <f t="shared" si="2"/>
        <v>42916</v>
      </c>
      <c r="E48" s="241">
        <f t="shared" si="3"/>
        <v>91</v>
      </c>
      <c r="F48" s="74">
        <f>VLOOKUP(D48,'FERC Interest Rate'!$A:$B,2,TRUE)</f>
        <v>3.7100000000000001E-2</v>
      </c>
      <c r="G48" s="75">
        <f t="shared" si="10"/>
        <v>6541379.2336521111</v>
      </c>
      <c r="H48" s="75">
        <v>0</v>
      </c>
      <c r="I48" s="99">
        <v>0</v>
      </c>
      <c r="J48" s="57">
        <v>0</v>
      </c>
      <c r="K48" s="243">
        <f>+SUM(I48:J48)</f>
        <v>0</v>
      </c>
      <c r="L48" s="57">
        <v>0</v>
      </c>
      <c r="M48" s="244">
        <f>+SUM(K48:L48)</f>
        <v>0</v>
      </c>
      <c r="N48" s="52">
        <f t="shared" si="5"/>
        <v>6541379.2336521111</v>
      </c>
      <c r="O48" s="75">
        <f t="shared" si="8"/>
        <v>6541379.2336521111</v>
      </c>
    </row>
    <row r="49" spans="1:15" x14ac:dyDescent="0.25">
      <c r="A49" s="216" t="s">
        <v>150</v>
      </c>
      <c r="B49" s="241" t="str">
        <f t="shared" si="1"/>
        <v>Q3/2017</v>
      </c>
      <c r="C49" s="242">
        <f>D48+1</f>
        <v>42917</v>
      </c>
      <c r="D49" s="242">
        <f t="shared" si="2"/>
        <v>43008</v>
      </c>
      <c r="E49" s="241">
        <f t="shared" si="3"/>
        <v>92</v>
      </c>
      <c r="F49" s="74">
        <f>VLOOKUP(D49,'FERC Interest Rate'!$A:$B,2,TRUE)</f>
        <v>3.9600000000000003E-2</v>
      </c>
      <c r="G49" s="75">
        <f>O48</f>
        <v>6541379.2336521111</v>
      </c>
      <c r="H49" s="75">
        <v>0</v>
      </c>
      <c r="I49" s="99">
        <f>(SUM($H$33:$H$60)/20)*10</f>
        <v>180189.61682605604</v>
      </c>
      <c r="J49" s="57">
        <f t="shared" ref="J49:J56" si="11">G49*F49*(E49/(DATE(YEAR(D49),12,31)-DATE(YEAR(D49),1,1)+1))</f>
        <v>65291.925545318838</v>
      </c>
      <c r="K49" s="243">
        <f t="shared" si="4"/>
        <v>245481.54237137488</v>
      </c>
      <c r="L49" s="57">
        <f>+$G$33/20*10</f>
        <v>3090500</v>
      </c>
      <c r="M49" s="244">
        <f t="shared" si="9"/>
        <v>3335981.542371375</v>
      </c>
      <c r="N49" s="52">
        <f t="shared" si="5"/>
        <v>6606671.1591974301</v>
      </c>
      <c r="O49" s="75">
        <f t="shared" si="8"/>
        <v>3270689.6168260551</v>
      </c>
    </row>
    <row r="50" spans="1:15" x14ac:dyDescent="0.25">
      <c r="A50" s="17" t="s">
        <v>62</v>
      </c>
      <c r="B50" s="241" t="str">
        <f t="shared" si="1"/>
        <v>Q4/2017</v>
      </c>
      <c r="C50" s="242">
        <f t="shared" si="6"/>
        <v>43009</v>
      </c>
      <c r="D50" s="242">
        <f t="shared" si="2"/>
        <v>43100</v>
      </c>
      <c r="E50" s="241">
        <f t="shared" si="3"/>
        <v>92</v>
      </c>
      <c r="F50" s="74">
        <f>VLOOKUP(D50,'FERC Interest Rate'!$A:$B,2,TRUE)</f>
        <v>4.2099999999999999E-2</v>
      </c>
      <c r="G50" s="75">
        <f t="shared" si="10"/>
        <v>3270689.6168260551</v>
      </c>
      <c r="H50" s="75">
        <v>0</v>
      </c>
      <c r="I50" s="99">
        <f t="shared" ref="I50:I59" si="12">(SUM($H$33:$H$60)/20)</f>
        <v>18018.961682605604</v>
      </c>
      <c r="J50" s="57">
        <f t="shared" si="11"/>
        <v>34706.945270933356</v>
      </c>
      <c r="K50" s="243">
        <f t="shared" si="4"/>
        <v>52725.906953538957</v>
      </c>
      <c r="L50" s="57">
        <f t="shared" ref="L50:L59" si="13">+$G$33/20</f>
        <v>309050</v>
      </c>
      <c r="M50" s="244">
        <f t="shared" si="9"/>
        <v>361775.90695353894</v>
      </c>
      <c r="N50" s="52">
        <f t="shared" si="5"/>
        <v>3305396.5620969883</v>
      </c>
      <c r="O50" s="75">
        <f t="shared" si="8"/>
        <v>2943620.6551434495</v>
      </c>
    </row>
    <row r="51" spans="1:15" x14ac:dyDescent="0.25">
      <c r="A51" s="17" t="s">
        <v>63</v>
      </c>
      <c r="B51" s="241" t="str">
        <f t="shared" si="1"/>
        <v>Q1/2018</v>
      </c>
      <c r="C51" s="242">
        <f t="shared" si="6"/>
        <v>43101</v>
      </c>
      <c r="D51" s="242">
        <f t="shared" si="2"/>
        <v>43190</v>
      </c>
      <c r="E51" s="241">
        <f t="shared" si="3"/>
        <v>90</v>
      </c>
      <c r="F51" s="74">
        <f>VLOOKUP(D51,'FERC Interest Rate'!$A:$B,2,TRUE)</f>
        <v>4.2500000000000003E-2</v>
      </c>
      <c r="G51" s="75">
        <f t="shared" si="10"/>
        <v>2943620.6551434495</v>
      </c>
      <c r="H51" s="75">
        <v>0</v>
      </c>
      <c r="I51" s="99">
        <f t="shared" si="12"/>
        <v>18018.961682605604</v>
      </c>
      <c r="J51" s="57">
        <f t="shared" si="11"/>
        <v>30847.531523078615</v>
      </c>
      <c r="K51" s="243">
        <f t="shared" si="4"/>
        <v>48866.493205684223</v>
      </c>
      <c r="L51" s="57">
        <f t="shared" si="13"/>
        <v>309050</v>
      </c>
      <c r="M51" s="244">
        <f t="shared" si="9"/>
        <v>357916.49320568424</v>
      </c>
      <c r="N51" s="52">
        <f t="shared" si="5"/>
        <v>2974468.1866665282</v>
      </c>
      <c r="O51" s="75">
        <f t="shared" si="8"/>
        <v>2616551.693460844</v>
      </c>
    </row>
    <row r="52" spans="1:15" x14ac:dyDescent="0.25">
      <c r="A52" s="17" t="s">
        <v>64</v>
      </c>
      <c r="B52" s="241" t="str">
        <f t="shared" si="1"/>
        <v>Q2/2018</v>
      </c>
      <c r="C52" s="242">
        <f t="shared" si="6"/>
        <v>43191</v>
      </c>
      <c r="D52" s="242">
        <f t="shared" si="2"/>
        <v>43281</v>
      </c>
      <c r="E52" s="241">
        <f t="shared" si="3"/>
        <v>91</v>
      </c>
      <c r="F52" s="74">
        <f>VLOOKUP(D52,'FERC Interest Rate'!$A:$B,2,TRUE)</f>
        <v>4.4699999999999997E-2</v>
      </c>
      <c r="G52" s="75">
        <f t="shared" si="10"/>
        <v>2616551.693460844</v>
      </c>
      <c r="H52" s="75">
        <v>0</v>
      </c>
      <c r="I52" s="99">
        <f t="shared" si="12"/>
        <v>18018.961682605604</v>
      </c>
      <c r="J52" s="57">
        <f t="shared" si="11"/>
        <v>29159.855680796365</v>
      </c>
      <c r="K52" s="243">
        <f t="shared" si="4"/>
        <v>47178.817363401969</v>
      </c>
      <c r="L52" s="57">
        <f t="shared" si="13"/>
        <v>309050</v>
      </c>
      <c r="M52" s="244">
        <f t="shared" si="9"/>
        <v>356228.81736340199</v>
      </c>
      <c r="N52" s="52">
        <f t="shared" si="5"/>
        <v>2645711.5491416403</v>
      </c>
      <c r="O52" s="75">
        <f t="shared" si="8"/>
        <v>2289482.7317782384</v>
      </c>
    </row>
    <row r="53" spans="1:15" x14ac:dyDescent="0.25">
      <c r="A53" s="17" t="s">
        <v>65</v>
      </c>
      <c r="B53" s="241" t="str">
        <f t="shared" si="1"/>
        <v>Q3/2018</v>
      </c>
      <c r="C53" s="242">
        <f t="shared" si="6"/>
        <v>43282</v>
      </c>
      <c r="D53" s="242">
        <f t="shared" si="2"/>
        <v>43373</v>
      </c>
      <c r="E53" s="241">
        <f t="shared" si="3"/>
        <v>92</v>
      </c>
      <c r="F53" s="74">
        <f>VLOOKUP(D53,'FERC Interest Rate'!$A:$B,2,TRUE)</f>
        <v>4.6899999999999997E-2</v>
      </c>
      <c r="G53" s="75">
        <f t="shared" si="10"/>
        <v>2289482.7317782384</v>
      </c>
      <c r="H53" s="75">
        <v>0</v>
      </c>
      <c r="I53" s="99">
        <f t="shared" si="12"/>
        <v>18018.961682605604</v>
      </c>
      <c r="J53" s="57">
        <f t="shared" si="11"/>
        <v>27064.822167333543</v>
      </c>
      <c r="K53" s="243">
        <f t="shared" ref="K53:K59" si="14">+SUM(I53:J53)</f>
        <v>45083.783849939151</v>
      </c>
      <c r="L53" s="57">
        <f t="shared" si="13"/>
        <v>309050</v>
      </c>
      <c r="M53" s="244">
        <f t="shared" ref="M53:M59" si="15">+SUM(K53:L53)</f>
        <v>354133.78384993912</v>
      </c>
      <c r="N53" s="52">
        <f t="shared" si="5"/>
        <v>2316547.5539455721</v>
      </c>
      <c r="O53" s="75">
        <f t="shared" si="8"/>
        <v>1962413.7700956329</v>
      </c>
    </row>
    <row r="54" spans="1:15" x14ac:dyDescent="0.25">
      <c r="A54" s="17" t="s">
        <v>66</v>
      </c>
      <c r="B54" s="241" t="str">
        <f t="shared" si="1"/>
        <v>Q4/2018</v>
      </c>
      <c r="C54" s="242">
        <f t="shared" si="6"/>
        <v>43374</v>
      </c>
      <c r="D54" s="242">
        <f t="shared" si="2"/>
        <v>43465</v>
      </c>
      <c r="E54" s="241">
        <f t="shared" si="3"/>
        <v>92</v>
      </c>
      <c r="F54" s="74">
        <f>VLOOKUP(D54,'FERC Interest Rate'!$A:$B,2,TRUE)</f>
        <v>4.9599999999999998E-2</v>
      </c>
      <c r="G54" s="75">
        <f t="shared" si="10"/>
        <v>1962413.7700956329</v>
      </c>
      <c r="H54" s="75">
        <v>0</v>
      </c>
      <c r="I54" s="99">
        <f t="shared" si="12"/>
        <v>18018.961682605604</v>
      </c>
      <c r="J54" s="57">
        <f t="shared" si="11"/>
        <v>24533.935659453127</v>
      </c>
      <c r="K54" s="243">
        <f t="shared" si="14"/>
        <v>42552.897342058728</v>
      </c>
      <c r="L54" s="57">
        <f t="shared" si="13"/>
        <v>309050</v>
      </c>
      <c r="M54" s="244">
        <f t="shared" si="15"/>
        <v>351602.89734205871</v>
      </c>
      <c r="N54" s="52">
        <f t="shared" si="5"/>
        <v>1986947.7057550859</v>
      </c>
      <c r="O54" s="75">
        <f t="shared" si="8"/>
        <v>1635344.8084130273</v>
      </c>
    </row>
    <row r="55" spans="1:15" x14ac:dyDescent="0.25">
      <c r="A55" s="17" t="s">
        <v>67</v>
      </c>
      <c r="B55" s="241" t="str">
        <f t="shared" si="1"/>
        <v>Q1/2019</v>
      </c>
      <c r="C55" s="242">
        <f t="shared" si="6"/>
        <v>43466</v>
      </c>
      <c r="D55" s="242">
        <f t="shared" si="2"/>
        <v>43555</v>
      </c>
      <c r="E55" s="241">
        <f t="shared" si="3"/>
        <v>90</v>
      </c>
      <c r="F55" s="74">
        <f>VLOOKUP(D55,'FERC Interest Rate'!$A:$B,2,TRUE)</f>
        <v>5.1799999999999999E-2</v>
      </c>
      <c r="G55" s="75">
        <f t="shared" si="10"/>
        <v>1635344.8084130273</v>
      </c>
      <c r="H55" s="75">
        <v>0</v>
      </c>
      <c r="I55" s="99">
        <f t="shared" si="12"/>
        <v>18018.961682605604</v>
      </c>
      <c r="J55" s="57">
        <f t="shared" si="11"/>
        <v>20887.609580332966</v>
      </c>
      <c r="K55" s="243">
        <f t="shared" si="14"/>
        <v>38906.571262938567</v>
      </c>
      <c r="L55" s="57">
        <f t="shared" si="13"/>
        <v>309050</v>
      </c>
      <c r="M55" s="244">
        <f t="shared" si="15"/>
        <v>347956.57126293855</v>
      </c>
      <c r="N55" s="52">
        <f t="shared" si="5"/>
        <v>1656232.4179933602</v>
      </c>
      <c r="O55" s="75">
        <f t="shared" si="8"/>
        <v>1308275.8467304218</v>
      </c>
    </row>
    <row r="56" spans="1:15" x14ac:dyDescent="0.25">
      <c r="A56" s="17" t="s">
        <v>68</v>
      </c>
      <c r="B56" s="241" t="str">
        <f t="shared" si="1"/>
        <v>Q2/2019</v>
      </c>
      <c r="C56" s="242">
        <f t="shared" si="6"/>
        <v>43556</v>
      </c>
      <c r="D56" s="242">
        <f t="shared" si="2"/>
        <v>43646</v>
      </c>
      <c r="E56" s="241">
        <f t="shared" si="3"/>
        <v>91</v>
      </c>
      <c r="F56" s="74">
        <f>VLOOKUP(D56,'FERC Interest Rate'!$A:$B,2,TRUE)</f>
        <v>5.45E-2</v>
      </c>
      <c r="G56" s="75">
        <f t="shared" si="10"/>
        <v>1308275.8467304218</v>
      </c>
      <c r="H56" s="75">
        <v>0</v>
      </c>
      <c r="I56" s="99">
        <f t="shared" si="12"/>
        <v>18018.961682605604</v>
      </c>
      <c r="J56" s="57">
        <f t="shared" si="11"/>
        <v>17776.422087286377</v>
      </c>
      <c r="K56" s="243">
        <f t="shared" si="14"/>
        <v>35795.383769891982</v>
      </c>
      <c r="L56" s="57">
        <f t="shared" si="13"/>
        <v>309050</v>
      </c>
      <c r="M56" s="244">
        <f t="shared" si="15"/>
        <v>344845.38376989198</v>
      </c>
      <c r="N56" s="52">
        <f t="shared" si="5"/>
        <v>1326052.2688177081</v>
      </c>
      <c r="O56" s="75">
        <f t="shared" si="8"/>
        <v>981206.88504781621</v>
      </c>
    </row>
    <row r="57" spans="1:15" x14ac:dyDescent="0.25">
      <c r="A57" s="17" t="s">
        <v>69</v>
      </c>
      <c r="B57" s="241" t="str">
        <f>+IF(MONTH(C57)&lt;4,"Q1",IF(MONTH(C57)&lt;7,"Q2",IF(MONTH(C57)&lt;10,"Q3","Q4")))&amp;"/"&amp;YEAR(C57)</f>
        <v>Q3/2019</v>
      </c>
      <c r="C57" s="242">
        <f>D56+1</f>
        <v>43647</v>
      </c>
      <c r="D57" s="242">
        <f>DATE(YEAR(C57),IF(MONTH(C57)&lt;=3,3,IF(MONTH(C57)&lt;=6,6,IF(MONTH(C57)&lt;=9,9,12))),IF(OR(MONTH(C57)&lt;=3,MONTH(C57)&gt;=10),31,30))</f>
        <v>43738</v>
      </c>
      <c r="E57" s="241">
        <f>D57-C57+1</f>
        <v>92</v>
      </c>
      <c r="F57" s="74">
        <f>VLOOKUP(D57,'FERC Interest Rate'!$A:$B,2,TRUE)</f>
        <v>5.5E-2</v>
      </c>
      <c r="G57" s="75">
        <f>O56</f>
        <v>981206.88504781621</v>
      </c>
      <c r="H57" s="75">
        <v>0</v>
      </c>
      <c r="I57" s="99">
        <f t="shared" si="12"/>
        <v>18018.961682605604</v>
      </c>
      <c r="J57" s="57">
        <f>G57*F57*(E57/(DATE(YEAR(D57),12,31)-DATE(YEAR(D57),1,1)+1))</f>
        <v>13602.484488608085</v>
      </c>
      <c r="K57" s="243">
        <f t="shared" si="14"/>
        <v>31621.446171213691</v>
      </c>
      <c r="L57" s="57">
        <f t="shared" si="13"/>
        <v>309050</v>
      </c>
      <c r="M57" s="244">
        <f t="shared" si="15"/>
        <v>340671.4461712137</v>
      </c>
      <c r="N57" s="52">
        <f>+G57+H57+J57</f>
        <v>994809.36953642429</v>
      </c>
      <c r="O57" s="75">
        <f>+N57-M57</f>
        <v>654137.92336521065</v>
      </c>
    </row>
    <row r="58" spans="1:15" x14ac:dyDescent="0.25">
      <c r="A58" s="17" t="s">
        <v>70</v>
      </c>
      <c r="B58" s="241" t="str">
        <f>+IF(MONTH(C58)&lt;4,"Q1",IF(MONTH(C58)&lt;7,"Q2",IF(MONTH(C58)&lt;10,"Q3","Q4")))&amp;"/"&amp;YEAR(C58)</f>
        <v>Q4/2019</v>
      </c>
      <c r="C58" s="242">
        <f>D57+1</f>
        <v>43739</v>
      </c>
      <c r="D58" s="242">
        <f>DATE(YEAR(C58),IF(MONTH(C58)&lt;=3,3,IF(MONTH(C58)&lt;=6,6,IF(MONTH(C58)&lt;=9,9,12))),IF(OR(MONTH(C58)&lt;=3,MONTH(C58)&gt;=10),31,30))</f>
        <v>43830</v>
      </c>
      <c r="E58" s="241">
        <f>D58-C58+1</f>
        <v>92</v>
      </c>
      <c r="F58" s="74">
        <f>VLOOKUP(D58,'FERC Interest Rate'!$A:$B,2,TRUE)</f>
        <v>5.4199999999999998E-2</v>
      </c>
      <c r="G58" s="75">
        <f>O57</f>
        <v>654137.92336521065</v>
      </c>
      <c r="H58" s="75">
        <v>0</v>
      </c>
      <c r="I58" s="99">
        <f t="shared" si="12"/>
        <v>18018.961682605604</v>
      </c>
      <c r="J58" s="57">
        <f>G58*F58*(E58/(DATE(YEAR(D58),12,31)-DATE(YEAR(D58),1,1)+1))</f>
        <v>8936.4201125158525</v>
      </c>
      <c r="K58" s="243">
        <f t="shared" si="14"/>
        <v>26955.381795121459</v>
      </c>
      <c r="L58" s="57">
        <f t="shared" si="13"/>
        <v>309050</v>
      </c>
      <c r="M58" s="244">
        <f t="shared" si="15"/>
        <v>336005.38179512147</v>
      </c>
      <c r="N58" s="52">
        <f>+G58+H58+J58</f>
        <v>663074.34347772645</v>
      </c>
      <c r="O58" s="75">
        <f>+N58-M58</f>
        <v>327068.96168260498</v>
      </c>
    </row>
    <row r="59" spans="1:15" x14ac:dyDescent="0.25">
      <c r="A59" s="17" t="s">
        <v>71</v>
      </c>
      <c r="B59" s="241" t="str">
        <f>+IF(MONTH(C59)&lt;4,"Q1",IF(MONTH(C59)&lt;7,"Q2",IF(MONTH(C59)&lt;10,"Q3","Q4")))&amp;"/"&amp;YEAR(C59)</f>
        <v>Q1/2020</v>
      </c>
      <c r="C59" s="242">
        <f>D58+1</f>
        <v>43831</v>
      </c>
      <c r="D59" s="242">
        <f>DATE(YEAR(C59),IF(MONTH(C59)&lt;=3,3,IF(MONTH(C59)&lt;=6,6,IF(MONTH(C59)&lt;=9,9,12))),IF(OR(MONTH(C59)&lt;=3,MONTH(C59)&gt;=10),31,30))</f>
        <v>43921</v>
      </c>
      <c r="E59" s="241">
        <f>D59-C59+1</f>
        <v>91</v>
      </c>
      <c r="F59" s="74">
        <f>VLOOKUP(D59,'FERC Interest Rate'!$A:$B,2,TRUE)</f>
        <v>4.9599999999999998E-2</v>
      </c>
      <c r="G59" s="75">
        <f>O58</f>
        <v>327068.96168260498</v>
      </c>
      <c r="H59" s="75">
        <v>0</v>
      </c>
      <c r="I59" s="99">
        <f t="shared" si="12"/>
        <v>18018.961682605604</v>
      </c>
      <c r="J59" s="57">
        <f>G59*F59*(E59/(DATE(YEAR(D59),12,31)-DATE(YEAR(D59),1,1)+1))</f>
        <v>4033.4930750016547</v>
      </c>
      <c r="K59" s="243">
        <f t="shared" si="14"/>
        <v>22052.454757607258</v>
      </c>
      <c r="L59" s="57">
        <f t="shared" si="13"/>
        <v>309050</v>
      </c>
      <c r="M59" s="244">
        <f t="shared" si="15"/>
        <v>331102.45475760725</v>
      </c>
      <c r="N59" s="52">
        <f>+G59+H59+J59</f>
        <v>331102.45475760661</v>
      </c>
      <c r="O59" s="75">
        <f>+N59-M59</f>
        <v>-6.4028427004814148E-10</v>
      </c>
    </row>
    <row r="60" spans="1:15" x14ac:dyDescent="0.25">
      <c r="B60" s="54"/>
      <c r="C60" s="55"/>
      <c r="D60" s="55"/>
      <c r="E60" s="56"/>
      <c r="F60" s="54"/>
      <c r="G60" s="57"/>
      <c r="H60" s="59"/>
      <c r="I60" s="245"/>
      <c r="J60" s="57"/>
      <c r="K60" s="246"/>
      <c r="L60" s="58"/>
      <c r="M60" s="247"/>
      <c r="O60" s="57"/>
    </row>
    <row r="61" spans="1:15" ht="13.5" thickBot="1" x14ac:dyDescent="0.35">
      <c r="A61" s="218"/>
      <c r="B61" s="248"/>
      <c r="C61" s="249"/>
      <c r="D61" s="249"/>
      <c r="E61" s="250"/>
      <c r="F61" s="248"/>
      <c r="G61" s="251">
        <f t="shared" ref="G61:O61" si="16">+SUM(G33:G60)</f>
        <v>127382040.24592254</v>
      </c>
      <c r="H61" s="251">
        <f t="shared" si="16"/>
        <v>360379.23365211207</v>
      </c>
      <c r="I61" s="252">
        <f t="shared" si="16"/>
        <v>360379.23365211219</v>
      </c>
      <c r="J61" s="251">
        <f t="shared" si="16"/>
        <v>276841.44519065879</v>
      </c>
      <c r="K61" s="251">
        <f t="shared" si="16"/>
        <v>637220.67884277098</v>
      </c>
      <c r="L61" s="251">
        <f t="shared" si="16"/>
        <v>6181000</v>
      </c>
      <c r="M61" s="253">
        <f t="shared" si="16"/>
        <v>6818220.6788427718</v>
      </c>
      <c r="N61" s="251">
        <f t="shared" si="16"/>
        <v>128019260.92476532</v>
      </c>
      <c r="O61" s="251">
        <f t="shared" si="16"/>
        <v>121201040.24592254</v>
      </c>
    </row>
    <row r="62" spans="1:15" ht="13.5" thickTop="1" thickBot="1" x14ac:dyDescent="0.3">
      <c r="H62" s="243"/>
      <c r="I62" s="254"/>
      <c r="J62" s="255"/>
      <c r="K62" s="255"/>
      <c r="L62" s="255"/>
      <c r="M62" s="256"/>
    </row>
  </sheetData>
  <mergeCells count="1">
    <mergeCell ref="J31:K31"/>
  </mergeCells>
  <pageMargins left="0.25" right="0.25" top="0.75" bottom="0.75" header="0.3" footer="0.3"/>
  <pageSetup scale="58" fitToHeight="0" orientation="landscape" r:id="rId1"/>
  <headerFooter alignWithMargins="0">
    <oddHeader>&amp;RTO2021 Annual Update
Attachment 4
WP- Schedule 22 NUCs
Page &amp;P of &amp;N</oddHeader>
    <oddFooter>&amp;R&amp;A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51"/>
  <sheetViews>
    <sheetView view="pageLayout" zoomScale="60" zoomScaleNormal="50" zoomScalePageLayoutView="6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7" width="16.1796875" style="47" customWidth="1"/>
    <col min="8" max="8" width="17.453125" style="47" customWidth="1"/>
    <col min="9"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262">
        <v>42063</v>
      </c>
      <c r="C2" s="263">
        <v>10601</v>
      </c>
      <c r="D2" s="43">
        <v>0</v>
      </c>
      <c r="E2" s="43">
        <v>0</v>
      </c>
      <c r="F2" s="7">
        <f>SUM(C2:E2)</f>
        <v>10601</v>
      </c>
      <c r="G2"/>
      <c r="H2"/>
      <c r="I2"/>
      <c r="J2"/>
      <c r="K2"/>
      <c r="L2"/>
      <c r="M2"/>
    </row>
    <row r="3" spans="1:13" ht="12.75" customHeight="1" outlineLevel="1" x14ac:dyDescent="0.25">
      <c r="A3" s="216" t="s">
        <v>53</v>
      </c>
      <c r="B3" s="262">
        <v>42058</v>
      </c>
      <c r="C3" s="263">
        <v>131296</v>
      </c>
      <c r="D3" s="43">
        <v>0</v>
      </c>
      <c r="E3" s="43">
        <v>0</v>
      </c>
      <c r="F3" s="7">
        <f t="shared" ref="F3:F21" si="0">SUM(C3:E3)</f>
        <v>131296</v>
      </c>
      <c r="G3"/>
      <c r="H3"/>
      <c r="I3"/>
      <c r="J3"/>
      <c r="K3"/>
      <c r="L3"/>
      <c r="M3"/>
    </row>
    <row r="4" spans="1:13" outlineLevel="1" collapsed="1" x14ac:dyDescent="0.25">
      <c r="A4" s="216" t="s">
        <v>54</v>
      </c>
      <c r="B4" s="262">
        <v>42089</v>
      </c>
      <c r="C4" s="263">
        <v>60168</v>
      </c>
      <c r="D4" s="43">
        <v>0</v>
      </c>
      <c r="E4" s="43">
        <v>0</v>
      </c>
      <c r="F4" s="7">
        <f t="shared" si="0"/>
        <v>60168</v>
      </c>
      <c r="G4"/>
      <c r="H4"/>
      <c r="I4"/>
      <c r="J4"/>
      <c r="K4"/>
      <c r="L4"/>
      <c r="M4"/>
    </row>
    <row r="5" spans="1:13" outlineLevel="1" x14ac:dyDescent="0.25">
      <c r="A5" s="216" t="s">
        <v>55</v>
      </c>
      <c r="B5" s="262">
        <v>42160</v>
      </c>
      <c r="C5" s="263">
        <v>71049</v>
      </c>
      <c r="D5" s="43">
        <v>0</v>
      </c>
      <c r="E5" s="43">
        <v>0</v>
      </c>
      <c r="F5" s="7">
        <f t="shared" si="0"/>
        <v>71049</v>
      </c>
      <c r="G5"/>
      <c r="H5"/>
      <c r="I5"/>
      <c r="J5"/>
      <c r="K5"/>
      <c r="L5"/>
      <c r="M5"/>
    </row>
    <row r="6" spans="1:13" ht="12.75" customHeight="1" outlineLevel="1" x14ac:dyDescent="0.25">
      <c r="A6" s="216" t="s">
        <v>56</v>
      </c>
      <c r="B6" s="262">
        <v>42167</v>
      </c>
      <c r="C6" s="263">
        <v>81291</v>
      </c>
      <c r="D6" s="43">
        <v>0</v>
      </c>
      <c r="E6" s="43">
        <v>0</v>
      </c>
      <c r="F6" s="7">
        <f t="shared" si="0"/>
        <v>81291</v>
      </c>
      <c r="G6"/>
      <c r="H6"/>
      <c r="I6"/>
      <c r="J6"/>
      <c r="K6"/>
      <c r="L6"/>
      <c r="M6"/>
    </row>
    <row r="7" spans="1:13" outlineLevel="1" x14ac:dyDescent="0.25">
      <c r="A7" s="216" t="s">
        <v>57</v>
      </c>
      <c r="B7" s="262">
        <v>42230</v>
      </c>
      <c r="C7" s="263">
        <v>92852</v>
      </c>
      <c r="D7" s="43">
        <v>0</v>
      </c>
      <c r="E7" s="43">
        <v>0</v>
      </c>
      <c r="F7" s="7">
        <f t="shared" si="0"/>
        <v>92852</v>
      </c>
      <c r="G7"/>
      <c r="H7"/>
      <c r="I7"/>
      <c r="J7"/>
      <c r="K7"/>
      <c r="L7"/>
      <c r="M7"/>
    </row>
    <row r="8" spans="1:13" outlineLevel="1" x14ac:dyDescent="0.25">
      <c r="A8" s="216" t="s">
        <v>58</v>
      </c>
      <c r="B8" s="262">
        <v>42202</v>
      </c>
      <c r="C8" s="263">
        <v>111655</v>
      </c>
      <c r="D8" s="43">
        <v>0</v>
      </c>
      <c r="E8" s="43">
        <v>0</v>
      </c>
      <c r="F8" s="7">
        <f t="shared" si="0"/>
        <v>111655</v>
      </c>
      <c r="G8"/>
      <c r="H8"/>
      <c r="I8"/>
      <c r="J8"/>
      <c r="K8"/>
      <c r="L8"/>
      <c r="M8"/>
    </row>
    <row r="9" spans="1:13" outlineLevel="1" x14ac:dyDescent="0.25">
      <c r="A9" s="216" t="s">
        <v>59</v>
      </c>
      <c r="B9" s="262">
        <v>42247</v>
      </c>
      <c r="C9" s="263">
        <v>144862</v>
      </c>
      <c r="D9" s="43">
        <v>0</v>
      </c>
      <c r="E9" s="43">
        <v>0</v>
      </c>
      <c r="F9" s="7">
        <f t="shared" si="0"/>
        <v>144862</v>
      </c>
      <c r="G9"/>
      <c r="H9"/>
      <c r="I9"/>
      <c r="J9"/>
      <c r="K9"/>
      <c r="L9"/>
      <c r="M9"/>
    </row>
    <row r="10" spans="1:13" outlineLevel="1" x14ac:dyDescent="0.25">
      <c r="A10" s="216" t="s">
        <v>60</v>
      </c>
      <c r="B10" s="262">
        <v>42321</v>
      </c>
      <c r="C10" s="263">
        <v>290405</v>
      </c>
      <c r="D10" s="43">
        <v>0</v>
      </c>
      <c r="E10" s="43">
        <v>0</v>
      </c>
      <c r="F10" s="7">
        <f t="shared" si="0"/>
        <v>290405</v>
      </c>
      <c r="G10"/>
      <c r="H10"/>
      <c r="I10"/>
      <c r="J10"/>
      <c r="K10"/>
      <c r="L10"/>
      <c r="M10"/>
    </row>
    <row r="11" spans="1:13" outlineLevel="1" x14ac:dyDescent="0.25">
      <c r="A11" s="216" t="s">
        <v>61</v>
      </c>
      <c r="B11" s="18">
        <v>42293</v>
      </c>
      <c r="C11" s="263">
        <f>431779</f>
        <v>431779</v>
      </c>
      <c r="D11" s="43">
        <v>0</v>
      </c>
      <c r="E11" s="43">
        <v>0</v>
      </c>
      <c r="F11" s="7">
        <f t="shared" si="0"/>
        <v>431779</v>
      </c>
      <c r="G11"/>
      <c r="H11"/>
      <c r="I11"/>
      <c r="J11"/>
      <c r="K11"/>
      <c r="L11"/>
      <c r="M11"/>
    </row>
    <row r="12" spans="1:13" outlineLevel="1" collapsed="1" x14ac:dyDescent="0.25">
      <c r="A12" s="216" t="s">
        <v>62</v>
      </c>
      <c r="B12" s="18">
        <v>42352</v>
      </c>
      <c r="C12" s="43">
        <f>381662-90344.82</f>
        <v>291317.18</v>
      </c>
      <c r="D12" s="43">
        <v>0</v>
      </c>
      <c r="E12" s="43">
        <v>0</v>
      </c>
      <c r="F12" s="7">
        <f t="shared" si="0"/>
        <v>291317.18</v>
      </c>
      <c r="G12"/>
      <c r="H12"/>
      <c r="I12"/>
      <c r="J12"/>
      <c r="K12"/>
      <c r="L12"/>
      <c r="M12"/>
    </row>
    <row r="13" spans="1:13" outlineLevel="1" x14ac:dyDescent="0.25">
      <c r="A13" s="216" t="s">
        <v>63</v>
      </c>
      <c r="B13" s="18" t="s">
        <v>21</v>
      </c>
      <c r="C13" s="43">
        <v>0</v>
      </c>
      <c r="D13" s="43">
        <v>0</v>
      </c>
      <c r="E13" s="43">
        <v>0</v>
      </c>
      <c r="F13" s="7">
        <f t="shared" si="0"/>
        <v>0</v>
      </c>
      <c r="G13"/>
      <c r="H13"/>
      <c r="I13"/>
      <c r="J13"/>
      <c r="K13"/>
      <c r="L13"/>
      <c r="M13"/>
    </row>
    <row r="14" spans="1:13" outlineLevel="1" x14ac:dyDescent="0.25">
      <c r="A14" s="216" t="s">
        <v>64</v>
      </c>
      <c r="B14" s="18" t="s">
        <v>21</v>
      </c>
      <c r="C14" s="43">
        <v>0</v>
      </c>
      <c r="D14" s="43">
        <v>0</v>
      </c>
      <c r="E14" s="43">
        <v>0</v>
      </c>
      <c r="F14" s="7">
        <f t="shared" si="0"/>
        <v>0</v>
      </c>
      <c r="G14"/>
      <c r="H14"/>
      <c r="I14"/>
      <c r="J14"/>
      <c r="K14"/>
      <c r="L14"/>
      <c r="M14"/>
    </row>
    <row r="15" spans="1:13" outlineLevel="1" x14ac:dyDescent="0.25">
      <c r="A15" s="216" t="s">
        <v>65</v>
      </c>
      <c r="B15" s="18" t="s">
        <v>21</v>
      </c>
      <c r="C15" s="43">
        <v>0</v>
      </c>
      <c r="D15" s="43">
        <v>0</v>
      </c>
      <c r="E15" s="43">
        <v>0</v>
      </c>
      <c r="F15" s="7">
        <f t="shared" si="0"/>
        <v>0</v>
      </c>
      <c r="G15"/>
      <c r="H15"/>
      <c r="I15"/>
      <c r="J15"/>
      <c r="K15"/>
      <c r="L15"/>
      <c r="M15"/>
    </row>
    <row r="16" spans="1:13" outlineLevel="1" x14ac:dyDescent="0.25">
      <c r="A16" s="216" t="s">
        <v>66</v>
      </c>
      <c r="B16" s="18" t="s">
        <v>21</v>
      </c>
      <c r="C16" s="43">
        <v>0</v>
      </c>
      <c r="D16" s="43">
        <v>0</v>
      </c>
      <c r="E16" s="43">
        <v>0</v>
      </c>
      <c r="F16" s="7">
        <f t="shared" si="0"/>
        <v>0</v>
      </c>
      <c r="G16"/>
      <c r="H16"/>
      <c r="I16"/>
      <c r="J16"/>
      <c r="K16"/>
      <c r="L16"/>
      <c r="M16"/>
    </row>
    <row r="17" spans="1:18" outlineLevel="1" x14ac:dyDescent="0.25">
      <c r="A17" s="216" t="s">
        <v>67</v>
      </c>
      <c r="B17" s="18" t="s">
        <v>21</v>
      </c>
      <c r="C17" s="43">
        <v>0</v>
      </c>
      <c r="D17" s="43">
        <v>0</v>
      </c>
      <c r="E17" s="43">
        <v>0</v>
      </c>
      <c r="F17" s="7">
        <f t="shared" si="0"/>
        <v>0</v>
      </c>
      <c r="G17"/>
      <c r="H17"/>
      <c r="I17"/>
      <c r="J17"/>
      <c r="K17"/>
      <c r="L17"/>
      <c r="M17"/>
    </row>
    <row r="18" spans="1:18" outlineLevel="1" x14ac:dyDescent="0.25">
      <c r="A18" s="216" t="s">
        <v>68</v>
      </c>
      <c r="B18" s="18" t="s">
        <v>21</v>
      </c>
      <c r="C18" s="43">
        <v>0</v>
      </c>
      <c r="D18" s="43">
        <v>0</v>
      </c>
      <c r="E18" s="43">
        <v>0</v>
      </c>
      <c r="F18" s="7">
        <f t="shared" si="0"/>
        <v>0</v>
      </c>
      <c r="G18"/>
      <c r="H18"/>
      <c r="I18"/>
      <c r="J18"/>
      <c r="K18"/>
      <c r="L18"/>
      <c r="M18"/>
    </row>
    <row r="19" spans="1:18" outlineLevel="1" x14ac:dyDescent="0.25">
      <c r="A19" s="216" t="s">
        <v>69</v>
      </c>
      <c r="B19" s="18" t="s">
        <v>21</v>
      </c>
      <c r="C19" s="43">
        <v>0</v>
      </c>
      <c r="D19" s="43">
        <v>0</v>
      </c>
      <c r="E19" s="43">
        <v>0</v>
      </c>
      <c r="F19" s="7">
        <f t="shared" si="0"/>
        <v>0</v>
      </c>
      <c r="G19"/>
      <c r="H19"/>
      <c r="I19"/>
      <c r="J19"/>
      <c r="K19"/>
      <c r="L19"/>
      <c r="M19"/>
    </row>
    <row r="20" spans="1:18" outlineLevel="1" x14ac:dyDescent="0.25">
      <c r="A20" s="216" t="s">
        <v>70</v>
      </c>
      <c r="B20" s="18" t="s">
        <v>21</v>
      </c>
      <c r="C20" s="43">
        <v>0</v>
      </c>
      <c r="D20" s="43">
        <v>0</v>
      </c>
      <c r="E20" s="43">
        <v>0</v>
      </c>
      <c r="F20" s="7">
        <f t="shared" si="0"/>
        <v>0</v>
      </c>
      <c r="G20"/>
      <c r="H20"/>
      <c r="I20"/>
      <c r="J20"/>
      <c r="K20"/>
      <c r="L20"/>
      <c r="M20"/>
    </row>
    <row r="21" spans="1:18" outlineLevel="1" x14ac:dyDescent="0.25">
      <c r="A21" s="216" t="s">
        <v>71</v>
      </c>
      <c r="B21" s="18" t="s">
        <v>21</v>
      </c>
      <c r="C21" s="43">
        <v>0</v>
      </c>
      <c r="D21" s="43">
        <v>0</v>
      </c>
      <c r="E21" s="43">
        <v>0</v>
      </c>
      <c r="F21" s="7">
        <f t="shared" si="0"/>
        <v>0</v>
      </c>
      <c r="G21"/>
      <c r="H21"/>
      <c r="I21"/>
      <c r="J21"/>
      <c r="K21"/>
      <c r="L21"/>
      <c r="M21"/>
    </row>
    <row r="22" spans="1:18" ht="13.5" thickBot="1" x14ac:dyDescent="0.35">
      <c r="B22" s="46" t="s">
        <v>0</v>
      </c>
      <c r="C22" s="217">
        <f>SUM(C2:C21)</f>
        <v>1717275.18</v>
      </c>
      <c r="D22" s="217">
        <f>SUM(D2:D21)</f>
        <v>0</v>
      </c>
      <c r="E22" s="217">
        <f>SUM(E2:E21)</f>
        <v>0</v>
      </c>
      <c r="F22" s="217">
        <f>SUM(F2:F21)</f>
        <v>1717275.18</v>
      </c>
      <c r="G22"/>
      <c r="H22"/>
      <c r="I22"/>
      <c r="J22"/>
      <c r="K22"/>
      <c r="L22"/>
      <c r="M22"/>
    </row>
    <row r="23" spans="1:18" ht="13.5" thickTop="1" x14ac:dyDescent="0.3">
      <c r="A23" s="48" t="s">
        <v>18</v>
      </c>
      <c r="B23" s="50" t="s">
        <v>21</v>
      </c>
      <c r="C23" s="52">
        <v>0</v>
      </c>
      <c r="D23" s="52">
        <v>0</v>
      </c>
      <c r="E23" s="52">
        <v>0</v>
      </c>
      <c r="F23" s="52">
        <f>SUM(C23:E23)</f>
        <v>0</v>
      </c>
      <c r="H23" s="219"/>
      <c r="I23" s="220" t="s">
        <v>13</v>
      </c>
      <c r="J23" s="220" t="s">
        <v>12</v>
      </c>
      <c r="K23" s="221" t="s">
        <v>20</v>
      </c>
      <c r="L23" s="222"/>
      <c r="M23" s="223"/>
      <c r="Q23" s="224"/>
    </row>
    <row r="24" spans="1:18" ht="13" x14ac:dyDescent="0.3">
      <c r="A24" s="48" t="s">
        <v>19</v>
      </c>
      <c r="B24" s="50" t="s">
        <v>21</v>
      </c>
      <c r="C24" s="52">
        <v>0</v>
      </c>
      <c r="D24" s="52">
        <v>0</v>
      </c>
      <c r="E24" s="52">
        <v>0</v>
      </c>
      <c r="F24" s="52">
        <f>SUM(C24:E24)</f>
        <v>0</v>
      </c>
      <c r="H24" s="225" t="s">
        <v>10</v>
      </c>
      <c r="I24" s="226">
        <v>42651</v>
      </c>
      <c r="J24" s="227">
        <f>I24</f>
        <v>42651</v>
      </c>
      <c r="K24" s="228"/>
      <c r="L24" s="229"/>
      <c r="M24" s="230"/>
    </row>
    <row r="25" spans="1:18" ht="13.5" thickBot="1" x14ac:dyDescent="0.35">
      <c r="B25" s="46" t="s">
        <v>50</v>
      </c>
      <c r="C25" s="217">
        <f>+SUM(C22:C24)</f>
        <v>1717275.18</v>
      </c>
      <c r="D25" s="217">
        <f>+SUM(D22:D24)</f>
        <v>0</v>
      </c>
      <c r="E25" s="217">
        <f>+SUM(E22:E24)</f>
        <v>0</v>
      </c>
      <c r="F25" s="217">
        <f>+SUM(F22:F24)</f>
        <v>1717275.18</v>
      </c>
      <c r="H25" s="231" t="s">
        <v>16</v>
      </c>
      <c r="I25" s="232">
        <v>42705</v>
      </c>
      <c r="J25" s="233">
        <v>42726</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57"/>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318" t="s">
        <v>52</v>
      </c>
      <c r="B29" s="241" t="str">
        <f t="shared" ref="B29:B48" si="1">+IF(MONTH(C29)&lt;4,"Q1",IF(MONTH(C29)&lt;7,"Q2",IF(MONTH(C29)&lt;10,"Q3","Q4")))&amp;"/"&amp;YEAR(C29)</f>
        <v>Q4/2016</v>
      </c>
      <c r="C29" s="242">
        <f>+J24</f>
        <v>42651</v>
      </c>
      <c r="D29" s="242">
        <f t="shared" ref="D29:D48" si="2">DATE(YEAR(C29),IF(MONTH(C29)&lt;=3,3,IF(MONTH(C29)&lt;=6,6,IF(MONTH(C29)&lt;=9,9,12))),IF(OR(MONTH(C29)&lt;=3,MONTH(C29)&gt;=10),31,30))</f>
        <v>42735</v>
      </c>
      <c r="E29" s="241">
        <f t="shared" ref="E29:E48" si="3">D29-C29+1</f>
        <v>85</v>
      </c>
      <c r="F29" s="74">
        <f>VLOOKUP(D29,'FERC Interest Rate'!$A:$B,2,TRUE)</f>
        <v>3.5000000000000003E-2</v>
      </c>
      <c r="G29" s="75">
        <f>+$C$25</f>
        <v>1717275.18</v>
      </c>
      <c r="H29" s="75">
        <f>G29*F29*(E29/(DATE(YEAR(D29),12,31)-DATE(YEAR(D29),1,1)+1))</f>
        <v>13958.725848360657</v>
      </c>
      <c r="I29" s="99">
        <v>0</v>
      </c>
      <c r="J29" s="57">
        <v>0</v>
      </c>
      <c r="K29" s="243">
        <f t="shared" ref="K29:K48" si="4">+SUM(I29:J29)</f>
        <v>0</v>
      </c>
      <c r="L29" s="57">
        <v>0</v>
      </c>
      <c r="M29" s="244">
        <f>+SUM(K29:L29)</f>
        <v>0</v>
      </c>
      <c r="N29" s="52">
        <f t="shared" ref="N29:N48" si="5">+G29+H29+J29</f>
        <v>1731233.9058483606</v>
      </c>
      <c r="O29" s="75">
        <f>+N29-M29</f>
        <v>1731233.9058483606</v>
      </c>
    </row>
    <row r="30" spans="1:18" x14ac:dyDescent="0.25">
      <c r="A30" s="216" t="s">
        <v>53</v>
      </c>
      <c r="B30" s="241" t="str">
        <f t="shared" si="1"/>
        <v>Q1/2017</v>
      </c>
      <c r="C30" s="242">
        <f t="shared" ref="C30:C48" si="6">D29+1</f>
        <v>42736</v>
      </c>
      <c r="D30" s="242">
        <f t="shared" si="2"/>
        <v>42825</v>
      </c>
      <c r="E30" s="241">
        <f t="shared" si="3"/>
        <v>90</v>
      </c>
      <c r="F30" s="74">
        <f>VLOOKUP(D30,'FERC Interest Rate'!$A:$B,2,TRUE)</f>
        <v>3.5000000000000003E-2</v>
      </c>
      <c r="G30" s="75">
        <f>O29</f>
        <v>1731233.9058483606</v>
      </c>
      <c r="H30" s="75">
        <v>0</v>
      </c>
      <c r="I30" s="99">
        <v>0</v>
      </c>
      <c r="J30" s="57">
        <f t="shared" ref="J30:J41" si="7">G30*F30*(E30/(DATE(YEAR(D30),12,31)-DATE(YEAR(D30),1,1)+1))</f>
        <v>14940.785762800921</v>
      </c>
      <c r="K30" s="243">
        <f t="shared" si="4"/>
        <v>14940.785762800921</v>
      </c>
      <c r="L30" s="57">
        <v>0</v>
      </c>
      <c r="M30" s="244">
        <v>0</v>
      </c>
      <c r="N30" s="52">
        <f t="shared" si="5"/>
        <v>1746174.6916111615</v>
      </c>
      <c r="O30" s="75">
        <f t="shared" ref="O30:O48" si="8">+N30-M30</f>
        <v>1746174.6916111615</v>
      </c>
    </row>
    <row r="31" spans="1:18" x14ac:dyDescent="0.25">
      <c r="A31" s="48" t="s">
        <v>54</v>
      </c>
      <c r="B31" s="241" t="str">
        <f t="shared" si="1"/>
        <v>Q2/2017</v>
      </c>
      <c r="C31" s="242">
        <f t="shared" si="6"/>
        <v>42826</v>
      </c>
      <c r="D31" s="242">
        <f t="shared" si="2"/>
        <v>42916</v>
      </c>
      <c r="E31" s="241">
        <f t="shared" si="3"/>
        <v>91</v>
      </c>
      <c r="F31" s="74">
        <f>VLOOKUP(D31,'FERC Interest Rate'!$A:$B,2,TRUE)</f>
        <v>3.7100000000000001E-2</v>
      </c>
      <c r="G31" s="75">
        <f>O30</f>
        <v>1746174.6916111615</v>
      </c>
      <c r="H31" s="75">
        <v>0</v>
      </c>
      <c r="I31" s="99">
        <f>(SUM($H$29:$H$49)/20)*3</f>
        <v>2093.8088772540987</v>
      </c>
      <c r="J31" s="57">
        <f t="shared" si="7"/>
        <v>16151.398291365596</v>
      </c>
      <c r="K31" s="243">
        <f>+SUM(I30:J31)</f>
        <v>33185.992931420617</v>
      </c>
      <c r="L31" s="57">
        <f>+$G$29/20*3</f>
        <v>257591.27699999997</v>
      </c>
      <c r="M31" s="244">
        <f>+SUM(K31:L31)</f>
        <v>290777.26993142057</v>
      </c>
      <c r="N31" s="52">
        <f t="shared" si="5"/>
        <v>1762326.0899025272</v>
      </c>
      <c r="O31" s="75">
        <f t="shared" si="8"/>
        <v>1471548.8199711065</v>
      </c>
    </row>
    <row r="32" spans="1:18" x14ac:dyDescent="0.25">
      <c r="A32" s="48" t="s">
        <v>55</v>
      </c>
      <c r="B32" s="241" t="str">
        <f t="shared" si="1"/>
        <v>Q3/2017</v>
      </c>
      <c r="C32" s="242">
        <f t="shared" si="6"/>
        <v>42917</v>
      </c>
      <c r="D32" s="242">
        <f t="shared" si="2"/>
        <v>43008</v>
      </c>
      <c r="E32" s="241">
        <f t="shared" si="3"/>
        <v>92</v>
      </c>
      <c r="F32" s="74">
        <f>VLOOKUP(D32,'FERC Interest Rate'!$A:$B,2,TRUE)</f>
        <v>3.9600000000000003E-2</v>
      </c>
      <c r="G32" s="75">
        <f>O31</f>
        <v>1471548.8199711065</v>
      </c>
      <c r="H32" s="75">
        <v>0</v>
      </c>
      <c r="I32" s="99">
        <f t="shared" ref="I32:I48" si="9">(SUM($H$29:$H$49)/20)</f>
        <v>697.93629241803285</v>
      </c>
      <c r="J32" s="57">
        <f t="shared" si="7"/>
        <v>14688.073043612976</v>
      </c>
      <c r="K32" s="243">
        <f t="shared" si="4"/>
        <v>15386.009336031009</v>
      </c>
      <c r="L32" s="57">
        <f t="shared" ref="L32:L40" si="10">+$G$29/20</f>
        <v>85863.758999999991</v>
      </c>
      <c r="M32" s="244">
        <f t="shared" ref="M32:M48" si="11">+SUM(K32:L32)</f>
        <v>101249.768336031</v>
      </c>
      <c r="N32" s="52">
        <f t="shared" si="5"/>
        <v>1486236.8930147195</v>
      </c>
      <c r="O32" s="75">
        <f t="shared" si="8"/>
        <v>1384987.1246786886</v>
      </c>
    </row>
    <row r="33" spans="1:15" x14ac:dyDescent="0.25">
      <c r="A33" s="48" t="s">
        <v>56</v>
      </c>
      <c r="B33" s="241" t="str">
        <f t="shared" si="1"/>
        <v>Q4/2017</v>
      </c>
      <c r="C33" s="242">
        <f t="shared" si="6"/>
        <v>43009</v>
      </c>
      <c r="D33" s="242">
        <f t="shared" si="2"/>
        <v>43100</v>
      </c>
      <c r="E33" s="241">
        <f t="shared" si="3"/>
        <v>92</v>
      </c>
      <c r="F33" s="74">
        <f>VLOOKUP(D33,'FERC Interest Rate'!$A:$B,2,TRUE)</f>
        <v>4.2099999999999999E-2</v>
      </c>
      <c r="G33" s="75">
        <f>O32</f>
        <v>1384987.1246786886</v>
      </c>
      <c r="H33" s="75">
        <v>0</v>
      </c>
      <c r="I33" s="99">
        <f t="shared" si="9"/>
        <v>697.93629241803285</v>
      </c>
      <c r="J33" s="57">
        <f t="shared" si="7"/>
        <v>14696.800359741088</v>
      </c>
      <c r="K33" s="243">
        <f t="shared" si="4"/>
        <v>15394.736652159121</v>
      </c>
      <c r="L33" s="57">
        <f t="shared" si="10"/>
        <v>85863.758999999991</v>
      </c>
      <c r="M33" s="244">
        <f t="shared" si="11"/>
        <v>101258.49565215911</v>
      </c>
      <c r="N33" s="52">
        <f t="shared" si="5"/>
        <v>1399683.9250384297</v>
      </c>
      <c r="O33" s="75">
        <f t="shared" si="8"/>
        <v>1298425.4293862705</v>
      </c>
    </row>
    <row r="34" spans="1:15" x14ac:dyDescent="0.25">
      <c r="A34" s="48" t="s">
        <v>57</v>
      </c>
      <c r="B34" s="241" t="str">
        <f t="shared" si="1"/>
        <v>Q1/2018</v>
      </c>
      <c r="C34" s="242">
        <f t="shared" si="6"/>
        <v>43101</v>
      </c>
      <c r="D34" s="242">
        <f t="shared" si="2"/>
        <v>43190</v>
      </c>
      <c r="E34" s="241">
        <f t="shared" si="3"/>
        <v>90</v>
      </c>
      <c r="F34" s="74">
        <f>VLOOKUP(D34,'FERC Interest Rate'!$A:$B,2,TRUE)</f>
        <v>4.2500000000000003E-2</v>
      </c>
      <c r="G34" s="75">
        <f t="shared" ref="G34:G48" si="12">O33</f>
        <v>1298425.4293862705</v>
      </c>
      <c r="H34" s="75">
        <v>0</v>
      </c>
      <c r="I34" s="99">
        <f t="shared" si="9"/>
        <v>697.93629241803285</v>
      </c>
      <c r="J34" s="57">
        <f t="shared" si="7"/>
        <v>13606.78703397941</v>
      </c>
      <c r="K34" s="243">
        <f t="shared" si="4"/>
        <v>14304.723326397443</v>
      </c>
      <c r="L34" s="57">
        <f t="shared" si="10"/>
        <v>85863.758999999991</v>
      </c>
      <c r="M34" s="244">
        <f t="shared" si="11"/>
        <v>100168.48232639744</v>
      </c>
      <c r="N34" s="52">
        <f t="shared" si="5"/>
        <v>1312032.2164202498</v>
      </c>
      <c r="O34" s="75">
        <f t="shared" si="8"/>
        <v>1211863.7340938523</v>
      </c>
    </row>
    <row r="35" spans="1:15" x14ac:dyDescent="0.25">
      <c r="A35" s="48" t="s">
        <v>58</v>
      </c>
      <c r="B35" s="241" t="str">
        <f t="shared" si="1"/>
        <v>Q2/2018</v>
      </c>
      <c r="C35" s="242">
        <f t="shared" si="6"/>
        <v>43191</v>
      </c>
      <c r="D35" s="242">
        <f t="shared" si="2"/>
        <v>43281</v>
      </c>
      <c r="E35" s="241">
        <f t="shared" si="3"/>
        <v>91</v>
      </c>
      <c r="F35" s="74">
        <f>VLOOKUP(D35,'FERC Interest Rate'!$A:$B,2,TRUE)</f>
        <v>4.4699999999999997E-2</v>
      </c>
      <c r="G35" s="75">
        <f t="shared" si="12"/>
        <v>1211863.7340938523</v>
      </c>
      <c r="H35" s="75">
        <v>0</v>
      </c>
      <c r="I35" s="99">
        <f t="shared" si="9"/>
        <v>697.93629241803285</v>
      </c>
      <c r="J35" s="57">
        <f t="shared" si="7"/>
        <v>13505.474277187845</v>
      </c>
      <c r="K35" s="243">
        <f t="shared" si="4"/>
        <v>14203.410569605878</v>
      </c>
      <c r="L35" s="57">
        <f t="shared" si="10"/>
        <v>85863.758999999991</v>
      </c>
      <c r="M35" s="244">
        <f t="shared" si="11"/>
        <v>100067.16956960587</v>
      </c>
      <c r="N35" s="52">
        <f t="shared" si="5"/>
        <v>1225369.2083710402</v>
      </c>
      <c r="O35" s="75">
        <f t="shared" si="8"/>
        <v>1125302.0388014342</v>
      </c>
    </row>
    <row r="36" spans="1:15" x14ac:dyDescent="0.25">
      <c r="A36" s="48" t="s">
        <v>59</v>
      </c>
      <c r="B36" s="241" t="str">
        <f t="shared" si="1"/>
        <v>Q3/2018</v>
      </c>
      <c r="C36" s="242">
        <f t="shared" si="6"/>
        <v>43282</v>
      </c>
      <c r="D36" s="242">
        <f t="shared" si="2"/>
        <v>43373</v>
      </c>
      <c r="E36" s="241">
        <f t="shared" si="3"/>
        <v>92</v>
      </c>
      <c r="F36" s="74">
        <f>VLOOKUP(D36,'FERC Interest Rate'!$A:$B,2,TRUE)</f>
        <v>4.6899999999999997E-2</v>
      </c>
      <c r="G36" s="75">
        <f t="shared" si="12"/>
        <v>1125302.0388014342</v>
      </c>
      <c r="H36" s="75">
        <v>0</v>
      </c>
      <c r="I36" s="99">
        <f t="shared" si="9"/>
        <v>697.93629241803285</v>
      </c>
      <c r="J36" s="57">
        <f t="shared" si="7"/>
        <v>13302.611608275147</v>
      </c>
      <c r="K36" s="243">
        <f t="shared" si="4"/>
        <v>14000.54790069318</v>
      </c>
      <c r="L36" s="57">
        <f t="shared" si="10"/>
        <v>85863.758999999991</v>
      </c>
      <c r="M36" s="244">
        <f t="shared" si="11"/>
        <v>99864.306900693176</v>
      </c>
      <c r="N36" s="52">
        <f t="shared" si="5"/>
        <v>1138604.6504097094</v>
      </c>
      <c r="O36" s="75">
        <f t="shared" si="8"/>
        <v>1038740.3435090162</v>
      </c>
    </row>
    <row r="37" spans="1:15" x14ac:dyDescent="0.25">
      <c r="A37" s="48" t="s">
        <v>60</v>
      </c>
      <c r="B37" s="241" t="str">
        <f t="shared" si="1"/>
        <v>Q4/2018</v>
      </c>
      <c r="C37" s="242">
        <f t="shared" si="6"/>
        <v>43374</v>
      </c>
      <c r="D37" s="242">
        <f t="shared" si="2"/>
        <v>43465</v>
      </c>
      <c r="E37" s="241">
        <f t="shared" si="3"/>
        <v>92</v>
      </c>
      <c r="F37" s="74">
        <f>VLOOKUP(D37,'FERC Interest Rate'!$A:$B,2,TRUE)</f>
        <v>4.9599999999999998E-2</v>
      </c>
      <c r="G37" s="75">
        <f t="shared" si="12"/>
        <v>1038740.3435090162</v>
      </c>
      <c r="H37" s="75">
        <v>0</v>
      </c>
      <c r="I37" s="99">
        <f t="shared" si="9"/>
        <v>697.93629241803285</v>
      </c>
      <c r="J37" s="57">
        <f t="shared" si="7"/>
        <v>12986.246398631078</v>
      </c>
      <c r="K37" s="243">
        <f t="shared" si="4"/>
        <v>13684.182691049111</v>
      </c>
      <c r="L37" s="57">
        <f t="shared" si="10"/>
        <v>85863.758999999991</v>
      </c>
      <c r="M37" s="244">
        <f t="shared" si="11"/>
        <v>99547.941691049098</v>
      </c>
      <c r="N37" s="52">
        <f t="shared" si="5"/>
        <v>1051726.5899076473</v>
      </c>
      <c r="O37" s="75">
        <f t="shared" si="8"/>
        <v>952178.6482165982</v>
      </c>
    </row>
    <row r="38" spans="1:15" x14ac:dyDescent="0.25">
      <c r="A38" s="48" t="s">
        <v>61</v>
      </c>
      <c r="B38" s="241" t="str">
        <f t="shared" si="1"/>
        <v>Q1/2019</v>
      </c>
      <c r="C38" s="242">
        <f t="shared" si="6"/>
        <v>43466</v>
      </c>
      <c r="D38" s="242">
        <f t="shared" si="2"/>
        <v>43555</v>
      </c>
      <c r="E38" s="241">
        <f t="shared" si="3"/>
        <v>90</v>
      </c>
      <c r="F38" s="74">
        <f>VLOOKUP(D38,'FERC Interest Rate'!$A:$B,2,TRUE)</f>
        <v>5.1799999999999999E-2</v>
      </c>
      <c r="G38" s="75">
        <f t="shared" si="12"/>
        <v>952178.6482165982</v>
      </c>
      <c r="H38" s="75">
        <v>0</v>
      </c>
      <c r="I38" s="99">
        <f t="shared" si="9"/>
        <v>697.93629241803285</v>
      </c>
      <c r="J38" s="57">
        <f t="shared" si="7"/>
        <v>12161.799610919947</v>
      </c>
      <c r="K38" s="243">
        <f t="shared" si="4"/>
        <v>12859.73590333798</v>
      </c>
      <c r="L38" s="57">
        <f t="shared" si="10"/>
        <v>85863.758999999991</v>
      </c>
      <c r="M38" s="244">
        <f t="shared" si="11"/>
        <v>98723.494903337967</v>
      </c>
      <c r="N38" s="52">
        <f t="shared" si="5"/>
        <v>964340.4478275181</v>
      </c>
      <c r="O38" s="75">
        <f t="shared" si="8"/>
        <v>865616.95292418008</v>
      </c>
    </row>
    <row r="39" spans="1:15" x14ac:dyDescent="0.25">
      <c r="A39" s="48" t="s">
        <v>62</v>
      </c>
      <c r="B39" s="241" t="str">
        <f t="shared" si="1"/>
        <v>Q2/2019</v>
      </c>
      <c r="C39" s="242">
        <f t="shared" si="6"/>
        <v>43556</v>
      </c>
      <c r="D39" s="242">
        <f t="shared" si="2"/>
        <v>43646</v>
      </c>
      <c r="E39" s="241">
        <f t="shared" si="3"/>
        <v>91</v>
      </c>
      <c r="F39" s="74">
        <f>VLOOKUP(D39,'FERC Interest Rate'!$A:$B,2,TRUE)</f>
        <v>5.45E-2</v>
      </c>
      <c r="G39" s="75">
        <f t="shared" si="12"/>
        <v>865616.95292418008</v>
      </c>
      <c r="H39" s="75">
        <v>0</v>
      </c>
      <c r="I39" s="99">
        <f t="shared" si="9"/>
        <v>697.93629241803285</v>
      </c>
      <c r="J39" s="57">
        <f t="shared" si="7"/>
        <v>11761.718569938277</v>
      </c>
      <c r="K39" s="243">
        <f t="shared" si="4"/>
        <v>12459.65486235631</v>
      </c>
      <c r="L39" s="57">
        <f t="shared" si="10"/>
        <v>85863.758999999991</v>
      </c>
      <c r="M39" s="244">
        <f t="shared" si="11"/>
        <v>98323.413862356305</v>
      </c>
      <c r="N39" s="52">
        <f t="shared" si="5"/>
        <v>877378.6714941184</v>
      </c>
      <c r="O39" s="75">
        <f t="shared" si="8"/>
        <v>779055.25763176207</v>
      </c>
    </row>
    <row r="40" spans="1:15" x14ac:dyDescent="0.25">
      <c r="A40" s="48" t="s">
        <v>63</v>
      </c>
      <c r="B40" s="241" t="str">
        <f t="shared" si="1"/>
        <v>Q3/2019</v>
      </c>
      <c r="C40" s="242">
        <f t="shared" si="6"/>
        <v>43647</v>
      </c>
      <c r="D40" s="242">
        <f t="shared" si="2"/>
        <v>43738</v>
      </c>
      <c r="E40" s="241">
        <f t="shared" si="3"/>
        <v>92</v>
      </c>
      <c r="F40" s="74">
        <f>VLOOKUP(D40,'FERC Interest Rate'!$A:$B,2,TRUE)</f>
        <v>5.5E-2</v>
      </c>
      <c r="G40" s="75">
        <f t="shared" si="12"/>
        <v>779055.25763176207</v>
      </c>
      <c r="H40" s="75">
        <v>0</v>
      </c>
      <c r="I40" s="99">
        <f t="shared" si="9"/>
        <v>697.93629241803285</v>
      </c>
      <c r="J40" s="57">
        <f t="shared" si="7"/>
        <v>10800.05370853895</v>
      </c>
      <c r="K40" s="243">
        <f t="shared" si="4"/>
        <v>11497.990000956983</v>
      </c>
      <c r="L40" s="57">
        <f t="shared" si="10"/>
        <v>85863.758999999991</v>
      </c>
      <c r="M40" s="244">
        <f t="shared" si="11"/>
        <v>97361.749000956974</v>
      </c>
      <c r="N40" s="52">
        <f t="shared" si="5"/>
        <v>789855.31134030106</v>
      </c>
      <c r="O40" s="75">
        <f t="shared" si="8"/>
        <v>692493.56233934406</v>
      </c>
    </row>
    <row r="41" spans="1:15" x14ac:dyDescent="0.25">
      <c r="A41" s="48" t="s">
        <v>64</v>
      </c>
      <c r="B41" s="241" t="str">
        <f t="shared" si="1"/>
        <v>Q4/2019</v>
      </c>
      <c r="C41" s="242">
        <f t="shared" si="6"/>
        <v>43739</v>
      </c>
      <c r="D41" s="242">
        <f t="shared" si="2"/>
        <v>43830</v>
      </c>
      <c r="E41" s="241">
        <f t="shared" si="3"/>
        <v>92</v>
      </c>
      <c r="F41" s="74">
        <f>VLOOKUP(D41,'FERC Interest Rate'!$A:$B,2,TRUE)</f>
        <v>5.4199999999999998E-2</v>
      </c>
      <c r="G41" s="75">
        <f t="shared" si="12"/>
        <v>692493.56233934406</v>
      </c>
      <c r="H41" s="75">
        <v>0</v>
      </c>
      <c r="I41" s="99">
        <f t="shared" si="9"/>
        <v>697.93629241803285</v>
      </c>
      <c r="J41" s="57">
        <f t="shared" si="7"/>
        <v>9460.4106828737131</v>
      </c>
      <c r="K41" s="243">
        <f t="shared" si="4"/>
        <v>10158.346975291746</v>
      </c>
      <c r="L41" s="57">
        <f t="shared" ref="L41:L48" si="13">+$G$29/20</f>
        <v>85863.758999999991</v>
      </c>
      <c r="M41" s="244">
        <f t="shared" si="11"/>
        <v>96022.105975291735</v>
      </c>
      <c r="N41" s="52">
        <f t="shared" si="5"/>
        <v>701953.97302221775</v>
      </c>
      <c r="O41" s="75">
        <f t="shared" si="8"/>
        <v>605931.86704692605</v>
      </c>
    </row>
    <row r="42" spans="1:15" x14ac:dyDescent="0.25">
      <c r="A42" s="48" t="s">
        <v>65</v>
      </c>
      <c r="B42" s="241" t="str">
        <f t="shared" si="1"/>
        <v>Q1/2020</v>
      </c>
      <c r="C42" s="242">
        <f t="shared" si="6"/>
        <v>43831</v>
      </c>
      <c r="D42" s="242">
        <f t="shared" si="2"/>
        <v>43921</v>
      </c>
      <c r="E42" s="241">
        <f t="shared" si="3"/>
        <v>91</v>
      </c>
      <c r="F42" s="74">
        <f>VLOOKUP(D42,'FERC Interest Rate'!$A:$B,2,TRUE)</f>
        <v>4.9599999999999998E-2</v>
      </c>
      <c r="G42" s="75">
        <f t="shared" si="12"/>
        <v>605931.86704692605</v>
      </c>
      <c r="H42" s="75">
        <v>0</v>
      </c>
      <c r="I42" s="99">
        <f t="shared" si="9"/>
        <v>697.93629241803285</v>
      </c>
      <c r="J42" s="57">
        <f t="shared" ref="J42:J48" si="14">G42*F42*(E42/(DATE(YEAR(D42),12,31)-DATE(YEAR(D42),1,1)+1))</f>
        <v>7472.4974729590313</v>
      </c>
      <c r="K42" s="243">
        <f t="shared" si="4"/>
        <v>8170.4337653770644</v>
      </c>
      <c r="L42" s="57">
        <f t="shared" si="13"/>
        <v>85863.758999999991</v>
      </c>
      <c r="M42" s="244">
        <f t="shared" si="11"/>
        <v>94034.192765377054</v>
      </c>
      <c r="N42" s="52">
        <f t="shared" si="5"/>
        <v>613404.36451988504</v>
      </c>
      <c r="O42" s="75">
        <f t="shared" si="8"/>
        <v>519370.17175450799</v>
      </c>
    </row>
    <row r="43" spans="1:15" x14ac:dyDescent="0.25">
      <c r="A43" s="48" t="s">
        <v>66</v>
      </c>
      <c r="B43" s="241" t="str">
        <f t="shared" si="1"/>
        <v>Q2/2020</v>
      </c>
      <c r="C43" s="242">
        <f t="shared" si="6"/>
        <v>43922</v>
      </c>
      <c r="D43" s="242">
        <f t="shared" si="2"/>
        <v>44012</v>
      </c>
      <c r="E43" s="241">
        <f t="shared" si="3"/>
        <v>91</v>
      </c>
      <c r="F43" s="74">
        <f>VLOOKUP(D43,'FERC Interest Rate'!$A:$B,2,TRUE)</f>
        <v>4.7503500000000004E-2</v>
      </c>
      <c r="G43" s="75">
        <f t="shared" si="12"/>
        <v>519370.17175450799</v>
      </c>
      <c r="H43" s="75">
        <v>0</v>
      </c>
      <c r="I43" s="99">
        <f t="shared" si="9"/>
        <v>697.93629241803285</v>
      </c>
      <c r="J43" s="57">
        <f t="shared" si="14"/>
        <v>6134.2704557611059</v>
      </c>
      <c r="K43" s="243">
        <f t="shared" si="4"/>
        <v>6832.2067481791391</v>
      </c>
      <c r="L43" s="57">
        <f t="shared" si="13"/>
        <v>85863.758999999991</v>
      </c>
      <c r="M43" s="244">
        <f t="shared" si="11"/>
        <v>92695.965748179136</v>
      </c>
      <c r="N43" s="52">
        <f t="shared" si="5"/>
        <v>525504.44221026904</v>
      </c>
      <c r="O43" s="75">
        <f t="shared" si="8"/>
        <v>432808.47646208992</v>
      </c>
    </row>
    <row r="44" spans="1:15" x14ac:dyDescent="0.25">
      <c r="A44" s="48" t="s">
        <v>67</v>
      </c>
      <c r="B44" s="241" t="str">
        <f t="shared" si="1"/>
        <v>Q3/2020</v>
      </c>
      <c r="C44" s="242">
        <f t="shared" si="6"/>
        <v>44013</v>
      </c>
      <c r="D44" s="242">
        <f t="shared" si="2"/>
        <v>44104</v>
      </c>
      <c r="E44" s="241">
        <f t="shared" si="3"/>
        <v>92</v>
      </c>
      <c r="F44" s="74">
        <f>VLOOKUP(D44,'FERC Interest Rate'!$A:$B,2,TRUE)</f>
        <v>4.7507929999999997E-2</v>
      </c>
      <c r="G44" s="75">
        <f t="shared" si="12"/>
        <v>432808.47646208992</v>
      </c>
      <c r="H44" s="75">
        <v>0</v>
      </c>
      <c r="I44" s="99">
        <f t="shared" si="9"/>
        <v>697.93629241803285</v>
      </c>
      <c r="J44" s="57">
        <f t="shared" si="14"/>
        <v>5168.5486390475971</v>
      </c>
      <c r="K44" s="243">
        <f t="shared" si="4"/>
        <v>5866.4849314656303</v>
      </c>
      <c r="L44" s="57">
        <f t="shared" si="13"/>
        <v>85863.758999999991</v>
      </c>
      <c r="M44" s="244">
        <f t="shared" si="11"/>
        <v>91730.243931465622</v>
      </c>
      <c r="N44" s="52">
        <f t="shared" si="5"/>
        <v>437977.02510113752</v>
      </c>
      <c r="O44" s="75">
        <f t="shared" si="8"/>
        <v>346246.78116967191</v>
      </c>
    </row>
    <row r="45" spans="1:15" x14ac:dyDescent="0.25">
      <c r="A45" s="48" t="s">
        <v>68</v>
      </c>
      <c r="B45" s="241" t="str">
        <f t="shared" si="1"/>
        <v>Q4/2020</v>
      </c>
      <c r="C45" s="242">
        <f>D44+1</f>
        <v>44105</v>
      </c>
      <c r="D45" s="242">
        <f t="shared" si="2"/>
        <v>44196</v>
      </c>
      <c r="E45" s="241">
        <f t="shared" si="3"/>
        <v>92</v>
      </c>
      <c r="F45" s="74">
        <f>VLOOKUP(D45,'FERC Interest Rate'!$A:$B,2,TRUE)</f>
        <v>4.7922320000000004E-2</v>
      </c>
      <c r="G45" s="75">
        <f>O44</f>
        <v>346246.78116967191</v>
      </c>
      <c r="H45" s="75">
        <v>0</v>
      </c>
      <c r="I45" s="99">
        <f t="shared" si="9"/>
        <v>697.93629241803285</v>
      </c>
      <c r="J45" s="57">
        <f t="shared" si="14"/>
        <v>4170.9052247235932</v>
      </c>
      <c r="K45" s="243">
        <f t="shared" si="4"/>
        <v>4868.8415171416264</v>
      </c>
      <c r="L45" s="57">
        <f t="shared" si="13"/>
        <v>85863.758999999991</v>
      </c>
      <c r="M45" s="244">
        <f t="shared" si="11"/>
        <v>90732.600517141618</v>
      </c>
      <c r="N45" s="52">
        <f t="shared" si="5"/>
        <v>350417.68639439548</v>
      </c>
      <c r="O45" s="75">
        <f t="shared" si="8"/>
        <v>259685.08587725385</v>
      </c>
    </row>
    <row r="46" spans="1:15" x14ac:dyDescent="0.25">
      <c r="A46" s="48" t="s">
        <v>69</v>
      </c>
      <c r="B46" s="241" t="str">
        <f t="shared" si="1"/>
        <v>Q1/2021</v>
      </c>
      <c r="C46" s="242">
        <f t="shared" si="6"/>
        <v>44197</v>
      </c>
      <c r="D46" s="242">
        <f t="shared" si="2"/>
        <v>44286</v>
      </c>
      <c r="E46" s="241">
        <f t="shared" si="3"/>
        <v>90</v>
      </c>
      <c r="F46" s="74">
        <f>VLOOKUP(D46,'FERC Interest Rate'!$A:$B,2,TRUE)</f>
        <v>5.0023470000000007E-2</v>
      </c>
      <c r="G46" s="75">
        <f t="shared" si="12"/>
        <v>259685.08587725385</v>
      </c>
      <c r="H46" s="75">
        <v>0</v>
      </c>
      <c r="I46" s="99">
        <f t="shared" si="9"/>
        <v>697.93629241803285</v>
      </c>
      <c r="J46" s="57">
        <f t="shared" si="14"/>
        <v>3203.0997787795641</v>
      </c>
      <c r="K46" s="243">
        <f t="shared" si="4"/>
        <v>3901.0360711975968</v>
      </c>
      <c r="L46" s="57">
        <f t="shared" si="13"/>
        <v>85863.758999999991</v>
      </c>
      <c r="M46" s="244">
        <f t="shared" si="11"/>
        <v>89764.795071197586</v>
      </c>
      <c r="N46" s="52">
        <f t="shared" si="5"/>
        <v>262888.1856560334</v>
      </c>
      <c r="O46" s="75">
        <f t="shared" si="8"/>
        <v>173123.39058483581</v>
      </c>
    </row>
    <row r="47" spans="1:15" x14ac:dyDescent="0.25">
      <c r="A47" s="48" t="s">
        <v>70</v>
      </c>
      <c r="B47" s="241" t="str">
        <f t="shared" si="1"/>
        <v>Q2/2021</v>
      </c>
      <c r="C47" s="242">
        <f t="shared" si="6"/>
        <v>44287</v>
      </c>
      <c r="D47" s="242">
        <f t="shared" si="2"/>
        <v>44377</v>
      </c>
      <c r="E47" s="241">
        <f t="shared" si="3"/>
        <v>91</v>
      </c>
      <c r="F47" s="74">
        <f>VLOOKUP(D47,'FERC Interest Rate'!$A:$B,2,TRUE)</f>
        <v>5.0403730000000001E-2</v>
      </c>
      <c r="G47" s="75">
        <f t="shared" si="12"/>
        <v>173123.39058483581</v>
      </c>
      <c r="H47" s="75">
        <v>0</v>
      </c>
      <c r="I47" s="99">
        <f t="shared" si="9"/>
        <v>697.93629241803285</v>
      </c>
      <c r="J47" s="57">
        <f t="shared" si="14"/>
        <v>2175.5394023308418</v>
      </c>
      <c r="K47" s="243">
        <f t="shared" si="4"/>
        <v>2873.4756947488745</v>
      </c>
      <c r="L47" s="57">
        <f t="shared" si="13"/>
        <v>85863.758999999991</v>
      </c>
      <c r="M47" s="244">
        <f t="shared" si="11"/>
        <v>88737.23469474887</v>
      </c>
      <c r="N47" s="52">
        <f t="shared" si="5"/>
        <v>175298.92998716666</v>
      </c>
      <c r="O47" s="75">
        <f t="shared" si="8"/>
        <v>86561.695292417789</v>
      </c>
    </row>
    <row r="48" spans="1:15" x14ac:dyDescent="0.25">
      <c r="A48" s="48" t="s">
        <v>71</v>
      </c>
      <c r="B48" s="241" t="str">
        <f t="shared" si="1"/>
        <v>Q3/2021</v>
      </c>
      <c r="C48" s="242">
        <f t="shared" si="6"/>
        <v>44378</v>
      </c>
      <c r="D48" s="242">
        <f t="shared" si="2"/>
        <v>44469</v>
      </c>
      <c r="E48" s="241">
        <f t="shared" si="3"/>
        <v>92</v>
      </c>
      <c r="F48" s="74">
        <f>VLOOKUP(D48,'FERC Interest Rate'!$A:$B,2,TRUE)</f>
        <v>5.2520850000000001E-2</v>
      </c>
      <c r="G48" s="75">
        <f t="shared" si="12"/>
        <v>86561.695292417789</v>
      </c>
      <c r="H48" s="75">
        <v>0</v>
      </c>
      <c r="I48" s="99">
        <f t="shared" si="9"/>
        <v>697.93629241803285</v>
      </c>
      <c r="J48" s="57">
        <f t="shared" si="14"/>
        <v>1145.915153167912</v>
      </c>
      <c r="K48" s="243">
        <f t="shared" si="4"/>
        <v>1843.8514455859449</v>
      </c>
      <c r="L48" s="57">
        <f t="shared" si="13"/>
        <v>85863.758999999991</v>
      </c>
      <c r="M48" s="244">
        <f t="shared" si="11"/>
        <v>87707.610445585931</v>
      </c>
      <c r="N48" s="52">
        <f t="shared" si="5"/>
        <v>87707.610445585698</v>
      </c>
      <c r="O48" s="75">
        <f t="shared" si="8"/>
        <v>-2.3283064365386963E-10</v>
      </c>
    </row>
    <row r="49" spans="1:15" x14ac:dyDescent="0.25">
      <c r="B49" s="54"/>
      <c r="C49" s="55"/>
      <c r="D49" s="55"/>
      <c r="E49" s="56"/>
      <c r="F49" s="54"/>
      <c r="G49" s="57"/>
      <c r="H49" s="59"/>
      <c r="I49" s="245"/>
      <c r="J49" s="57"/>
      <c r="K49" s="246"/>
      <c r="L49" s="58"/>
      <c r="M49" s="247"/>
      <c r="O49" s="57"/>
    </row>
    <row r="50" spans="1:15" ht="13.5" thickBot="1" x14ac:dyDescent="0.35">
      <c r="A50" s="218"/>
      <c r="B50" s="248"/>
      <c r="C50" s="249"/>
      <c r="D50" s="249"/>
      <c r="E50" s="250"/>
      <c r="F50" s="248"/>
      <c r="G50" s="251">
        <f t="shared" ref="G50:O50" si="15">+SUM(G29:G49)</f>
        <v>18438623.15719948</v>
      </c>
      <c r="H50" s="251">
        <f t="shared" si="15"/>
        <v>13958.725848360657</v>
      </c>
      <c r="I50" s="252">
        <f t="shared" si="15"/>
        <v>13958.725848360662</v>
      </c>
      <c r="J50" s="251">
        <f t="shared" si="15"/>
        <v>187532.93547463461</v>
      </c>
      <c r="K50" s="251">
        <f t="shared" si="15"/>
        <v>216432.44708579616</v>
      </c>
      <c r="L50" s="251">
        <f t="shared" si="15"/>
        <v>1717275.1800000002</v>
      </c>
      <c r="M50" s="253">
        <f t="shared" si="15"/>
        <v>1918766.8413229953</v>
      </c>
      <c r="N50" s="251">
        <f t="shared" si="15"/>
        <v>18640114.818522472</v>
      </c>
      <c r="O50" s="251">
        <f t="shared" si="15"/>
        <v>16721347.977199478</v>
      </c>
    </row>
    <row r="51" spans="1:15" ht="13.5" thickTop="1" thickBot="1" x14ac:dyDescent="0.3">
      <c r="H51" s="243"/>
      <c r="I51" s="254"/>
      <c r="J51" s="255"/>
      <c r="K51" s="255"/>
      <c r="L51" s="255"/>
      <c r="M51" s="256"/>
    </row>
  </sheetData>
  <mergeCells count="1">
    <mergeCell ref="J27:K27"/>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R87"/>
  <sheetViews>
    <sheetView view="pageLayout" zoomScale="60" zoomScaleNormal="40" zoomScalePageLayoutView="60" workbookViewId="0"/>
  </sheetViews>
  <sheetFormatPr defaultColWidth="9.1796875" defaultRowHeight="12.5" outlineLevelRow="1" x14ac:dyDescent="0.25"/>
  <cols>
    <col min="1" max="1" width="10.26953125" style="6" bestFit="1" customWidth="1"/>
    <col min="2" max="2" width="13.26953125" style="6" bestFit="1" customWidth="1"/>
    <col min="3" max="3" width="15.26953125" style="6" bestFit="1" customWidth="1"/>
    <col min="4" max="4" width="16.26953125" style="6" customWidth="1"/>
    <col min="5" max="5" width="9.7265625" style="6" bestFit="1" customWidth="1"/>
    <col min="6" max="6" width="14.81640625" style="6" customWidth="1"/>
    <col min="7" max="9" width="16.26953125" style="6" customWidth="1"/>
    <col min="10" max="10" width="17.26953125" style="6" customWidth="1"/>
    <col min="11" max="17" width="16.26953125" style="6" customWidth="1"/>
    <col min="18" max="16384" width="9.1796875" style="6"/>
  </cols>
  <sheetData>
    <row r="1" spans="1:11" ht="39" x14ac:dyDescent="0.3">
      <c r="A1" s="81" t="s">
        <v>8</v>
      </c>
      <c r="B1" s="82" t="s">
        <v>86</v>
      </c>
      <c r="C1" s="81" t="s">
        <v>2</v>
      </c>
      <c r="D1" s="81" t="s">
        <v>1</v>
      </c>
      <c r="E1" s="82" t="s">
        <v>72</v>
      </c>
      <c r="F1" s="82" t="s">
        <v>47</v>
      </c>
    </row>
    <row r="2" spans="1:11" ht="12.75" customHeight="1" x14ac:dyDescent="0.25">
      <c r="A2" s="78" t="s">
        <v>52</v>
      </c>
      <c r="B2" s="3">
        <v>41913</v>
      </c>
      <c r="C2" s="4">
        <v>1135000</v>
      </c>
      <c r="D2" s="4">
        <v>0</v>
      </c>
      <c r="E2" s="4">
        <v>0</v>
      </c>
      <c r="F2" s="7">
        <f>SUM(C2:E2)</f>
        <v>1135000</v>
      </c>
    </row>
    <row r="3" spans="1:11" ht="12.75" customHeight="1" outlineLevel="1" x14ac:dyDescent="0.25">
      <c r="A3" s="78" t="s">
        <v>53</v>
      </c>
      <c r="B3" s="18" t="s">
        <v>21</v>
      </c>
      <c r="C3" s="4">
        <v>0</v>
      </c>
      <c r="D3" s="4">
        <v>0</v>
      </c>
      <c r="E3" s="4">
        <v>0</v>
      </c>
      <c r="F3" s="7">
        <f t="shared" ref="F3:F25" si="0">SUM(C3:E3)</f>
        <v>0</v>
      </c>
      <c r="H3" s="45"/>
      <c r="I3" s="45"/>
      <c r="J3" s="45"/>
      <c r="K3" s="45"/>
    </row>
    <row r="4" spans="1:1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7" outlineLevel="1" x14ac:dyDescent="0.25">
      <c r="A17" s="78" t="s">
        <v>67</v>
      </c>
      <c r="B17" s="18" t="s">
        <v>21</v>
      </c>
      <c r="C17" s="4">
        <v>0</v>
      </c>
      <c r="D17" s="4">
        <v>0</v>
      </c>
      <c r="E17" s="4">
        <v>0</v>
      </c>
      <c r="F17" s="7">
        <f t="shared" si="0"/>
        <v>0</v>
      </c>
      <c r="H17" s="15"/>
    </row>
    <row r="18" spans="1:17" outlineLevel="1" x14ac:dyDescent="0.25">
      <c r="A18" s="78" t="s">
        <v>68</v>
      </c>
      <c r="B18" s="18" t="s">
        <v>21</v>
      </c>
      <c r="C18" s="4">
        <v>0</v>
      </c>
      <c r="D18" s="4">
        <v>0</v>
      </c>
      <c r="E18" s="4">
        <v>0</v>
      </c>
      <c r="F18" s="7">
        <f t="shared" si="0"/>
        <v>0</v>
      </c>
      <c r="H18" s="15"/>
    </row>
    <row r="19" spans="1:17" outlineLevel="1" x14ac:dyDescent="0.25">
      <c r="A19" s="78" t="s">
        <v>69</v>
      </c>
      <c r="B19" s="18" t="s">
        <v>21</v>
      </c>
      <c r="C19" s="4">
        <v>0</v>
      </c>
      <c r="D19" s="4">
        <v>0</v>
      </c>
      <c r="E19" s="4">
        <v>0</v>
      </c>
      <c r="F19" s="7">
        <f t="shared" si="0"/>
        <v>0</v>
      </c>
    </row>
    <row r="20" spans="1:17" outlineLevel="1" x14ac:dyDescent="0.25">
      <c r="A20" s="78" t="s">
        <v>70</v>
      </c>
      <c r="B20" s="18" t="s">
        <v>21</v>
      </c>
      <c r="C20" s="4">
        <v>0</v>
      </c>
      <c r="D20" s="4">
        <v>0</v>
      </c>
      <c r="E20" s="4">
        <v>0</v>
      </c>
      <c r="F20" s="7">
        <f t="shared" si="0"/>
        <v>0</v>
      </c>
    </row>
    <row r="21" spans="1:17" outlineLevel="1" x14ac:dyDescent="0.25">
      <c r="A21" s="78" t="s">
        <v>71</v>
      </c>
      <c r="B21" s="18" t="s">
        <v>21</v>
      </c>
      <c r="C21" s="4">
        <v>0</v>
      </c>
      <c r="D21" s="4">
        <v>0</v>
      </c>
      <c r="E21" s="4">
        <v>0</v>
      </c>
      <c r="F21" s="7">
        <f t="shared" si="0"/>
        <v>0</v>
      </c>
    </row>
    <row r="22" spans="1:17" outlineLevel="1" x14ac:dyDescent="0.25">
      <c r="A22" s="83" t="s">
        <v>74</v>
      </c>
      <c r="B22" s="18" t="s">
        <v>21</v>
      </c>
      <c r="C22" s="4">
        <v>0</v>
      </c>
      <c r="D22" s="4">
        <v>0</v>
      </c>
      <c r="E22" s="4">
        <v>0</v>
      </c>
      <c r="F22" s="7">
        <f t="shared" si="0"/>
        <v>0</v>
      </c>
    </row>
    <row r="23" spans="1:17" outlineLevel="1" x14ac:dyDescent="0.25">
      <c r="A23" s="83" t="s">
        <v>75</v>
      </c>
      <c r="B23" s="18" t="s">
        <v>21</v>
      </c>
      <c r="C23" s="4">
        <v>0</v>
      </c>
      <c r="D23" s="4">
        <v>0</v>
      </c>
      <c r="E23" s="4">
        <v>0</v>
      </c>
      <c r="F23" s="7">
        <f t="shared" si="0"/>
        <v>0</v>
      </c>
    </row>
    <row r="24" spans="1:17" outlineLevel="1" x14ac:dyDescent="0.25">
      <c r="A24" s="83" t="s">
        <v>76</v>
      </c>
      <c r="B24" s="18" t="s">
        <v>21</v>
      </c>
      <c r="C24" s="4">
        <v>0</v>
      </c>
      <c r="D24" s="4">
        <v>0</v>
      </c>
      <c r="E24" s="4">
        <v>0</v>
      </c>
      <c r="F24" s="7">
        <f t="shared" si="0"/>
        <v>0</v>
      </c>
    </row>
    <row r="25" spans="1:17" ht="13" outlineLevel="1" thickBot="1" x14ac:dyDescent="0.3">
      <c r="A25" s="83" t="s">
        <v>77</v>
      </c>
      <c r="B25" s="18" t="s">
        <v>21</v>
      </c>
      <c r="C25" s="4">
        <v>0</v>
      </c>
      <c r="D25" s="4">
        <v>0</v>
      </c>
      <c r="E25" s="4">
        <v>0</v>
      </c>
      <c r="F25" s="7">
        <f t="shared" si="0"/>
        <v>0</v>
      </c>
    </row>
    <row r="26" spans="1:17" ht="13" x14ac:dyDescent="0.3">
      <c r="B26" s="34" t="s">
        <v>0</v>
      </c>
      <c r="C26" s="109">
        <f>SUM(C2:C25)</f>
        <v>1135000</v>
      </c>
      <c r="D26" s="109">
        <f>SUM(D2:D25)</f>
        <v>0</v>
      </c>
      <c r="E26" s="109">
        <f>SUM(E2:E25)</f>
        <v>0</v>
      </c>
      <c r="F26" s="109">
        <f>SUM(F2:F25)</f>
        <v>1135000</v>
      </c>
      <c r="H26" s="153"/>
      <c r="I26" s="149" t="s">
        <v>13</v>
      </c>
      <c r="J26" s="149" t="s">
        <v>12</v>
      </c>
      <c r="K26" s="150" t="s">
        <v>20</v>
      </c>
      <c r="L26" s="151"/>
      <c r="M26" s="152"/>
    </row>
    <row r="27" spans="1:17" ht="13" x14ac:dyDescent="0.3">
      <c r="A27" s="17" t="s">
        <v>18</v>
      </c>
      <c r="B27" s="18" t="s">
        <v>21</v>
      </c>
      <c r="C27" s="8">
        <v>0</v>
      </c>
      <c r="D27" s="8">
        <v>0</v>
      </c>
      <c r="E27" s="8">
        <v>0</v>
      </c>
      <c r="F27" s="8">
        <f>SUM(C27:E27)</f>
        <v>0</v>
      </c>
      <c r="H27" s="147" t="s">
        <v>10</v>
      </c>
      <c r="I27" s="84">
        <v>41950</v>
      </c>
      <c r="J27" s="85">
        <v>41950</v>
      </c>
      <c r="K27" s="86"/>
      <c r="L27" s="87"/>
      <c r="M27" s="88"/>
    </row>
    <row r="28" spans="1:17" ht="13.5" thickBot="1" x14ac:dyDescent="0.35">
      <c r="A28" s="17" t="s">
        <v>19</v>
      </c>
      <c r="B28" s="18" t="s">
        <v>21</v>
      </c>
      <c r="C28" s="8">
        <v>0</v>
      </c>
      <c r="D28" s="8">
        <v>0</v>
      </c>
      <c r="E28" s="8">
        <v>0</v>
      </c>
      <c r="F28" s="8">
        <f>SUM(C28:E28)</f>
        <v>0</v>
      </c>
      <c r="H28" s="148" t="s">
        <v>16</v>
      </c>
      <c r="I28" s="89">
        <v>41968</v>
      </c>
      <c r="J28" s="90">
        <v>41956</v>
      </c>
      <c r="K28" s="91"/>
      <c r="L28" s="92"/>
      <c r="M28" s="93"/>
    </row>
    <row r="29" spans="1:17" ht="13.5" thickBot="1" x14ac:dyDescent="0.35">
      <c r="A29" s="34"/>
      <c r="B29" s="66" t="s">
        <v>50</v>
      </c>
      <c r="C29" s="65">
        <f>+SUM(C26:C28)</f>
        <v>1135000</v>
      </c>
      <c r="D29" s="65">
        <f>+SUM(D26:D28)</f>
        <v>0</v>
      </c>
      <c r="E29" s="65">
        <f>+SUM(E26:E28)</f>
        <v>0</v>
      </c>
      <c r="F29" s="65">
        <f>+SUM(F26:F28)</f>
        <v>1135000</v>
      </c>
    </row>
    <row r="30" spans="1:17" ht="14" thickTop="1" thickBot="1" x14ac:dyDescent="0.35">
      <c r="B30" s="34"/>
      <c r="C30" s="13"/>
      <c r="D30" s="13"/>
      <c r="E30" s="13"/>
      <c r="F30" s="13"/>
    </row>
    <row r="31" spans="1:17" ht="13" x14ac:dyDescent="0.3">
      <c r="B31" s="140"/>
      <c r="C31" s="5"/>
      <c r="D31" s="17"/>
      <c r="I31" s="130"/>
      <c r="J31" s="113"/>
      <c r="K31" s="113"/>
      <c r="L31" s="113"/>
      <c r="M31" s="97"/>
    </row>
    <row r="32" spans="1:17"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106</v>
      </c>
      <c r="P32" s="77" t="s">
        <v>85</v>
      </c>
      <c r="Q32" s="77" t="s">
        <v>105</v>
      </c>
    </row>
    <row r="33" spans="1:18" x14ac:dyDescent="0.25">
      <c r="A33" s="339" t="s">
        <v>2</v>
      </c>
      <c r="B33" s="339"/>
      <c r="C33" s="73">
        <f>$J$27</f>
        <v>41950</v>
      </c>
      <c r="D33" s="73">
        <f>DATE(YEAR(C33),IF(MONTH(C33)&lt;=3,3,IF(MONTH(C33)&lt;=6,6,IF(MONTH(C33)&lt;=9,9,12))),IF(OR(MONTH(C33)&lt;=3,MONTH(C33)&gt;=10),31,30))</f>
        <v>42004</v>
      </c>
      <c r="E33" s="72">
        <f>D33-C33+1</f>
        <v>55</v>
      </c>
      <c r="F33" s="74">
        <f>VLOOKUP(D33,'FERC Interest Rate'!$A:$B,2,TRUE)</f>
        <v>3.2500000000000001E-2</v>
      </c>
      <c r="G33" s="75">
        <f>$C$26</f>
        <v>1135000</v>
      </c>
      <c r="H33" s="75">
        <f>G33*F33*(E33/(DATE(YEAR(D33),12,31)-DATE(YEAR(D33),1,1)+1))</f>
        <v>5558.3904109589039</v>
      </c>
      <c r="I33" s="99">
        <v>0</v>
      </c>
      <c r="J33" s="75">
        <v>0</v>
      </c>
      <c r="K33" s="75">
        <f>+SUM(I33:J33)</f>
        <v>0</v>
      </c>
      <c r="L33" s="75">
        <v>0</v>
      </c>
      <c r="M33" s="317">
        <f>+SUM(K33:L33)</f>
        <v>0</v>
      </c>
      <c r="N33" s="75">
        <f>+G33+H33+J33</f>
        <v>1140558.3904109588</v>
      </c>
      <c r="O33" s="75">
        <f t="shared" ref="O33:O52" si="1">G33+H33-L33-I33</f>
        <v>1140558.3904109588</v>
      </c>
      <c r="P33" s="75">
        <f>+N33-M33</f>
        <v>1140558.3904109588</v>
      </c>
      <c r="Q33" s="75">
        <f>+P33-O33</f>
        <v>0</v>
      </c>
      <c r="R33" s="103"/>
    </row>
    <row r="34" spans="1:18" x14ac:dyDescent="0.25">
      <c r="A34" s="340"/>
      <c r="B34" s="340"/>
      <c r="C34" s="73">
        <f>D33+1</f>
        <v>42005</v>
      </c>
      <c r="D34" s="73">
        <f t="shared" ref="D34:D52" si="2">EOMONTH(D33,3)</f>
        <v>42094</v>
      </c>
      <c r="E34" s="72">
        <f>D34-C34+1</f>
        <v>90</v>
      </c>
      <c r="F34" s="74">
        <f>VLOOKUP(D34,'FERC Interest Rate'!$A:$B,2,TRUE)</f>
        <v>3.2500000000000001E-2</v>
      </c>
      <c r="G34" s="75">
        <f t="shared" ref="G34:G52" si="3">O33</f>
        <v>1140558.3904109588</v>
      </c>
      <c r="H34" s="75">
        <v>0</v>
      </c>
      <c r="I34" s="99">
        <v>0</v>
      </c>
      <c r="J34" s="75">
        <f>G34*F34*(E34/(DATE(YEAR(D34),12,31)-DATE(YEAR(D34),1,1)+1))</f>
        <v>9140.0912108275461</v>
      </c>
      <c r="K34" s="75">
        <f t="shared" ref="K34:K52" si="4">+SUM(I34:J34)</f>
        <v>9140.0912108275461</v>
      </c>
      <c r="L34" s="75">
        <v>0</v>
      </c>
      <c r="M34" s="317">
        <v>0</v>
      </c>
      <c r="N34" s="75">
        <f t="shared" ref="N34:N52" si="5">+G34+H34+J34</f>
        <v>1149698.4816217863</v>
      </c>
      <c r="O34" s="75">
        <f t="shared" si="1"/>
        <v>1140558.3904109588</v>
      </c>
      <c r="P34" s="75">
        <f>+N34-M34</f>
        <v>1149698.4816217863</v>
      </c>
      <c r="Q34" s="75">
        <f t="shared" ref="Q34:Q52" si="6">+P34-O34</f>
        <v>9140.0912108274642</v>
      </c>
      <c r="R34" s="103"/>
    </row>
    <row r="35" spans="1:18" x14ac:dyDescent="0.25">
      <c r="A35" s="78" t="s">
        <v>102</v>
      </c>
      <c r="B35" s="72" t="str">
        <f t="shared" ref="B35:B52" si="7">+IF(MONTH(C35)&lt;4,"Q1",IF(MONTH(C35)&lt;7,"Q2",IF(MONTH(C35)&lt;10,"Q3","Q4")))&amp;"/"&amp;YEAR(C35)</f>
        <v>Q2/2015</v>
      </c>
      <c r="C35" s="73">
        <f>D34+1</f>
        <v>42095</v>
      </c>
      <c r="D35" s="73">
        <f t="shared" si="2"/>
        <v>42185</v>
      </c>
      <c r="E35" s="72">
        <f>D35-C35+1</f>
        <v>91</v>
      </c>
      <c r="F35" s="74">
        <f>VLOOKUP(D35,'FERC Interest Rate'!$A:$B,2,TRUE)</f>
        <v>3.2500000000000001E-2</v>
      </c>
      <c r="G35" s="75">
        <f t="shared" si="3"/>
        <v>1140558.3904109588</v>
      </c>
      <c r="H35" s="75">
        <v>0</v>
      </c>
      <c r="I35" s="99">
        <f>(SUM($H$33:$H$52)/20)*3</f>
        <v>833.75856164383549</v>
      </c>
      <c r="J35" s="76">
        <f>G35*F35*(E35/(DATE(YEAR(D35),12,31)-DATE(YEAR(D35),1,1)+1))</f>
        <v>9241.6477798367414</v>
      </c>
      <c r="K35" s="76">
        <f t="shared" si="4"/>
        <v>10075.406341480577</v>
      </c>
      <c r="L35" s="76">
        <f>($C$26/20)*3</f>
        <v>170250</v>
      </c>
      <c r="M35" s="100">
        <f t="shared" ref="M35:M52" si="8">+SUM(K35:L35)</f>
        <v>180325.40634148059</v>
      </c>
      <c r="N35" s="76">
        <f t="shared" si="5"/>
        <v>1149800.0381907956</v>
      </c>
      <c r="O35" s="75">
        <f t="shared" si="1"/>
        <v>969474.6318493149</v>
      </c>
      <c r="P35" s="75">
        <f>+N35-M35</f>
        <v>969474.63184931502</v>
      </c>
      <c r="Q35" s="75">
        <f t="shared" si="6"/>
        <v>0</v>
      </c>
      <c r="R35" s="103"/>
    </row>
    <row r="36" spans="1:18" x14ac:dyDescent="0.25">
      <c r="A36" s="78" t="s">
        <v>55</v>
      </c>
      <c r="B36" s="72" t="str">
        <f t="shared" si="7"/>
        <v>Q3/2015</v>
      </c>
      <c r="C36" s="73">
        <f>D35+1</f>
        <v>42186</v>
      </c>
      <c r="D36" s="73">
        <f t="shared" si="2"/>
        <v>42277</v>
      </c>
      <c r="E36" s="72">
        <f>D36-C36+1</f>
        <v>92</v>
      </c>
      <c r="F36" s="74">
        <f>VLOOKUP(D36,'FERC Interest Rate'!$A:$B,2,TRUE)</f>
        <v>3.2500000000000001E-2</v>
      </c>
      <c r="G36" s="75">
        <f t="shared" si="3"/>
        <v>969474.6318493149</v>
      </c>
      <c r="H36" s="75">
        <v>0</v>
      </c>
      <c r="I36" s="99">
        <f t="shared" ref="I36:I52" si="9">SUM($H$33:$H$52)/20</f>
        <v>277.91952054794518</v>
      </c>
      <c r="J36" s="76">
        <f>G36*F36*(E36/(DATE(YEAR(D36),12,31)-DATE(YEAR(D36),1,1)+1))</f>
        <v>7941.7236965190459</v>
      </c>
      <c r="K36" s="116">
        <f t="shared" si="4"/>
        <v>8219.6432170669905</v>
      </c>
      <c r="L36" s="76">
        <f>$C$26/20</f>
        <v>56750</v>
      </c>
      <c r="M36" s="117">
        <f t="shared" si="8"/>
        <v>64969.643217066987</v>
      </c>
      <c r="N36" s="116">
        <f t="shared" si="5"/>
        <v>977416.35554583394</v>
      </c>
      <c r="O36" s="75">
        <f t="shared" si="1"/>
        <v>912446.71232876694</v>
      </c>
      <c r="P36" s="75">
        <f t="shared" ref="P36:P52" si="10">+N36-M36</f>
        <v>912446.71232876694</v>
      </c>
      <c r="Q36" s="75">
        <f t="shared" si="6"/>
        <v>0</v>
      </c>
      <c r="R36" s="103"/>
    </row>
    <row r="37" spans="1:18" x14ac:dyDescent="0.25">
      <c r="A37" s="78" t="s">
        <v>56</v>
      </c>
      <c r="B37" s="72" t="str">
        <f t="shared" si="7"/>
        <v>Q4/2015</v>
      </c>
      <c r="C37" s="73">
        <f>D36+1</f>
        <v>42278</v>
      </c>
      <c r="D37" s="73">
        <f t="shared" si="2"/>
        <v>42369</v>
      </c>
      <c r="E37" s="72">
        <f>D37-C37+1</f>
        <v>92</v>
      </c>
      <c r="F37" s="74">
        <f>VLOOKUP(D37,'FERC Interest Rate'!$A:$B,2,TRUE)</f>
        <v>3.2500000000000001E-2</v>
      </c>
      <c r="G37" s="75">
        <f t="shared" si="3"/>
        <v>912446.71232876694</v>
      </c>
      <c r="H37" s="75">
        <v>0</v>
      </c>
      <c r="I37" s="99">
        <f t="shared" si="9"/>
        <v>277.91952054794518</v>
      </c>
      <c r="J37" s="76">
        <f>G37*F37*(E37/(DATE(YEAR(D37),12,31)-DATE(YEAR(D37),1,1)+1))</f>
        <v>7474.563479076749</v>
      </c>
      <c r="K37" s="116">
        <f t="shared" si="4"/>
        <v>7752.4829996246945</v>
      </c>
      <c r="L37" s="76">
        <f>$C$26/20</f>
        <v>56750</v>
      </c>
      <c r="M37" s="117">
        <f t="shared" si="8"/>
        <v>64502.482999624692</v>
      </c>
      <c r="N37" s="116">
        <f t="shared" si="5"/>
        <v>919921.27580784366</v>
      </c>
      <c r="O37" s="75">
        <f t="shared" si="1"/>
        <v>855418.79280821898</v>
      </c>
      <c r="P37" s="75">
        <f t="shared" si="10"/>
        <v>855418.79280821898</v>
      </c>
      <c r="Q37" s="75">
        <f t="shared" si="6"/>
        <v>0</v>
      </c>
    </row>
    <row r="38" spans="1:18" x14ac:dyDescent="0.25">
      <c r="A38" s="78" t="s">
        <v>57</v>
      </c>
      <c r="B38" s="72" t="str">
        <f t="shared" si="7"/>
        <v>Q1/2016</v>
      </c>
      <c r="C38" s="73">
        <f t="shared" ref="C38:C52" si="11">D37+1</f>
        <v>42370</v>
      </c>
      <c r="D38" s="73">
        <f t="shared" si="2"/>
        <v>42460</v>
      </c>
      <c r="E38" s="72">
        <f t="shared" ref="E38:E52" si="12">D38-C38+1</f>
        <v>91</v>
      </c>
      <c r="F38" s="74">
        <f>VLOOKUP(D38,'FERC Interest Rate'!$A:$B,2,TRUE)</f>
        <v>3.2500000000000001E-2</v>
      </c>
      <c r="G38" s="75">
        <f t="shared" si="3"/>
        <v>855418.79280821898</v>
      </c>
      <c r="H38" s="75">
        <v>0</v>
      </c>
      <c r="I38" s="99">
        <f t="shared" si="9"/>
        <v>277.91952054794518</v>
      </c>
      <c r="J38" s="76">
        <f t="shared" ref="J38:J52" si="13">G38*F38*(E38/(DATE(YEAR(D38),12,31)-DATE(YEAR(D38),1,1)+1))</f>
        <v>6912.298032050021</v>
      </c>
      <c r="K38" s="116">
        <f t="shared" si="4"/>
        <v>7190.2175525979665</v>
      </c>
      <c r="L38" s="76">
        <f t="shared" ref="L38:L52" si="14">$C$26/20</f>
        <v>56750</v>
      </c>
      <c r="M38" s="117">
        <f t="shared" si="8"/>
        <v>63940.217552597969</v>
      </c>
      <c r="N38" s="116">
        <f t="shared" si="5"/>
        <v>862331.090840269</v>
      </c>
      <c r="O38" s="75">
        <f t="shared" si="1"/>
        <v>798390.87328767101</v>
      </c>
      <c r="P38" s="75">
        <f t="shared" si="10"/>
        <v>798390.87328767101</v>
      </c>
      <c r="Q38" s="75">
        <f t="shared" si="6"/>
        <v>0</v>
      </c>
    </row>
    <row r="39" spans="1:18" x14ac:dyDescent="0.25">
      <c r="A39" s="78" t="s">
        <v>58</v>
      </c>
      <c r="B39" s="72" t="str">
        <f t="shared" si="7"/>
        <v>Q2/2016</v>
      </c>
      <c r="C39" s="73">
        <f t="shared" si="11"/>
        <v>42461</v>
      </c>
      <c r="D39" s="73">
        <f t="shared" si="2"/>
        <v>42551</v>
      </c>
      <c r="E39" s="72">
        <f t="shared" si="12"/>
        <v>91</v>
      </c>
      <c r="F39" s="74">
        <f>VLOOKUP(D39,'FERC Interest Rate'!$A:$B,2,TRUE)</f>
        <v>3.4599999999999999E-2</v>
      </c>
      <c r="G39" s="75">
        <f t="shared" si="3"/>
        <v>798390.87328767101</v>
      </c>
      <c r="H39" s="75">
        <v>0</v>
      </c>
      <c r="I39" s="99">
        <f t="shared" si="9"/>
        <v>277.91952054794518</v>
      </c>
      <c r="J39" s="76">
        <f t="shared" si="13"/>
        <v>6868.3429061026254</v>
      </c>
      <c r="K39" s="116">
        <f t="shared" si="4"/>
        <v>7146.2624266505709</v>
      </c>
      <c r="L39" s="76">
        <f t="shared" si="14"/>
        <v>56750</v>
      </c>
      <c r="M39" s="117">
        <f t="shared" si="8"/>
        <v>63896.262426650574</v>
      </c>
      <c r="N39" s="116">
        <f t="shared" si="5"/>
        <v>805259.21619377367</v>
      </c>
      <c r="O39" s="75">
        <f t="shared" si="1"/>
        <v>741362.95376712305</v>
      </c>
      <c r="P39" s="75">
        <f t="shared" si="10"/>
        <v>741362.95376712305</v>
      </c>
      <c r="Q39" s="75">
        <f t="shared" si="6"/>
        <v>0</v>
      </c>
    </row>
    <row r="40" spans="1:18" x14ac:dyDescent="0.25">
      <c r="A40" s="78" t="s">
        <v>59</v>
      </c>
      <c r="B40" s="72" t="str">
        <f t="shared" si="7"/>
        <v>Q3/2016</v>
      </c>
      <c r="C40" s="73">
        <f t="shared" si="11"/>
        <v>42552</v>
      </c>
      <c r="D40" s="73">
        <f t="shared" si="2"/>
        <v>42643</v>
      </c>
      <c r="E40" s="72">
        <f t="shared" si="12"/>
        <v>92</v>
      </c>
      <c r="F40" s="74">
        <f>VLOOKUP(D40,'FERC Interest Rate'!$A:$B,2,TRUE)</f>
        <v>3.5000000000000003E-2</v>
      </c>
      <c r="G40" s="75">
        <f t="shared" si="3"/>
        <v>741362.95376712305</v>
      </c>
      <c r="H40" s="75">
        <v>0</v>
      </c>
      <c r="I40" s="99">
        <f t="shared" si="9"/>
        <v>277.91952054794518</v>
      </c>
      <c r="J40" s="76">
        <f t="shared" si="13"/>
        <v>6522.3735276779689</v>
      </c>
      <c r="K40" s="116">
        <f t="shared" si="4"/>
        <v>6800.2930482259144</v>
      </c>
      <c r="L40" s="76">
        <f t="shared" si="14"/>
        <v>56750</v>
      </c>
      <c r="M40" s="117">
        <f t="shared" si="8"/>
        <v>63550.293048225911</v>
      </c>
      <c r="N40" s="116">
        <f t="shared" si="5"/>
        <v>747885.32729480101</v>
      </c>
      <c r="O40" s="75">
        <f t="shared" si="1"/>
        <v>684335.03424657509</v>
      </c>
      <c r="P40" s="75">
        <f t="shared" si="10"/>
        <v>684335.03424657509</v>
      </c>
      <c r="Q40" s="75">
        <f t="shared" si="6"/>
        <v>0</v>
      </c>
    </row>
    <row r="41" spans="1:18" x14ac:dyDescent="0.25">
      <c r="A41" s="78" t="s">
        <v>60</v>
      </c>
      <c r="B41" s="72" t="str">
        <f t="shared" si="7"/>
        <v>Q4/2016</v>
      </c>
      <c r="C41" s="73">
        <f t="shared" si="11"/>
        <v>42644</v>
      </c>
      <c r="D41" s="73">
        <f t="shared" si="2"/>
        <v>42735</v>
      </c>
      <c r="E41" s="72">
        <f t="shared" si="12"/>
        <v>92</v>
      </c>
      <c r="F41" s="74">
        <f>VLOOKUP(D41,'FERC Interest Rate'!$A:$B,2,TRUE)</f>
        <v>3.5000000000000003E-2</v>
      </c>
      <c r="G41" s="75">
        <f t="shared" si="3"/>
        <v>684335.03424657509</v>
      </c>
      <c r="H41" s="75">
        <v>0</v>
      </c>
      <c r="I41" s="99">
        <f t="shared" si="9"/>
        <v>277.91952054794518</v>
      </c>
      <c r="J41" s="76">
        <f t="shared" si="13"/>
        <v>6020.6524870873554</v>
      </c>
      <c r="K41" s="116">
        <f t="shared" si="4"/>
        <v>6298.5720076353009</v>
      </c>
      <c r="L41" s="76">
        <f t="shared" si="14"/>
        <v>56750</v>
      </c>
      <c r="M41" s="117">
        <f t="shared" si="8"/>
        <v>63048.572007635303</v>
      </c>
      <c r="N41" s="116">
        <f t="shared" si="5"/>
        <v>690355.6867336625</v>
      </c>
      <c r="O41" s="75">
        <f t="shared" si="1"/>
        <v>627307.11472602712</v>
      </c>
      <c r="P41" s="75">
        <f t="shared" si="10"/>
        <v>627307.11472602724</v>
      </c>
      <c r="Q41" s="75">
        <f t="shared" si="6"/>
        <v>0</v>
      </c>
    </row>
    <row r="42" spans="1:18" x14ac:dyDescent="0.25">
      <c r="A42" s="78" t="s">
        <v>61</v>
      </c>
      <c r="B42" s="72" t="str">
        <f t="shared" si="7"/>
        <v>Q1/2017</v>
      </c>
      <c r="C42" s="73">
        <f t="shared" si="11"/>
        <v>42736</v>
      </c>
      <c r="D42" s="73">
        <f t="shared" si="2"/>
        <v>42825</v>
      </c>
      <c r="E42" s="72">
        <f t="shared" si="12"/>
        <v>90</v>
      </c>
      <c r="F42" s="74">
        <f>VLOOKUP(D42,'FERC Interest Rate'!$A:$B,2,TRUE)</f>
        <v>3.5000000000000003E-2</v>
      </c>
      <c r="G42" s="75">
        <f t="shared" si="3"/>
        <v>627307.11472602712</v>
      </c>
      <c r="H42" s="75">
        <v>0</v>
      </c>
      <c r="I42" s="99">
        <f t="shared" si="9"/>
        <v>277.91952054794518</v>
      </c>
      <c r="J42" s="76">
        <f t="shared" si="13"/>
        <v>5413.7463325670833</v>
      </c>
      <c r="K42" s="116">
        <f t="shared" si="4"/>
        <v>5691.6658531150288</v>
      </c>
      <c r="L42" s="76">
        <f t="shared" si="14"/>
        <v>56750</v>
      </c>
      <c r="M42" s="117">
        <f t="shared" si="8"/>
        <v>62441.665853115031</v>
      </c>
      <c r="N42" s="116">
        <f t="shared" si="5"/>
        <v>632720.86105859419</v>
      </c>
      <c r="O42" s="75">
        <f t="shared" si="1"/>
        <v>570279.19520547916</v>
      </c>
      <c r="P42" s="75">
        <f t="shared" si="10"/>
        <v>570279.19520547916</v>
      </c>
      <c r="Q42" s="75">
        <f t="shared" si="6"/>
        <v>0</v>
      </c>
    </row>
    <row r="43" spans="1:18" x14ac:dyDescent="0.25">
      <c r="A43" s="78" t="s">
        <v>62</v>
      </c>
      <c r="B43" s="72" t="str">
        <f t="shared" si="7"/>
        <v>Q2/2017</v>
      </c>
      <c r="C43" s="73">
        <f t="shared" si="11"/>
        <v>42826</v>
      </c>
      <c r="D43" s="73">
        <f t="shared" si="2"/>
        <v>42916</v>
      </c>
      <c r="E43" s="72">
        <f t="shared" si="12"/>
        <v>91</v>
      </c>
      <c r="F43" s="74">
        <f>VLOOKUP(D43,'FERC Interest Rate'!$A:$B,2,TRUE)</f>
        <v>3.7100000000000001E-2</v>
      </c>
      <c r="G43" s="75">
        <f t="shared" si="3"/>
        <v>570279.19520547916</v>
      </c>
      <c r="H43" s="75">
        <v>0</v>
      </c>
      <c r="I43" s="99">
        <f t="shared" si="9"/>
        <v>277.91952054794518</v>
      </c>
      <c r="J43" s="76">
        <f t="shared" si="13"/>
        <v>5274.8481943375846</v>
      </c>
      <c r="K43" s="116">
        <f t="shared" si="4"/>
        <v>5552.76771488553</v>
      </c>
      <c r="L43" s="76">
        <f t="shared" si="14"/>
        <v>56750</v>
      </c>
      <c r="M43" s="117">
        <f t="shared" si="8"/>
        <v>62302.767714885529</v>
      </c>
      <c r="N43" s="116">
        <f t="shared" si="5"/>
        <v>575554.04339981673</v>
      </c>
      <c r="O43" s="75">
        <f t="shared" si="1"/>
        <v>513251.2756849312</v>
      </c>
      <c r="P43" s="75">
        <f t="shared" si="10"/>
        <v>513251.2756849312</v>
      </c>
      <c r="Q43" s="75">
        <f t="shared" si="6"/>
        <v>0</v>
      </c>
    </row>
    <row r="44" spans="1:18" x14ac:dyDescent="0.25">
      <c r="A44" s="78" t="s">
        <v>63</v>
      </c>
      <c r="B44" s="72" t="str">
        <f t="shared" si="7"/>
        <v>Q3/2017</v>
      </c>
      <c r="C44" s="73">
        <f t="shared" si="11"/>
        <v>42917</v>
      </c>
      <c r="D44" s="73">
        <f t="shared" si="2"/>
        <v>43008</v>
      </c>
      <c r="E44" s="72">
        <f t="shared" si="12"/>
        <v>92</v>
      </c>
      <c r="F44" s="74">
        <f>VLOOKUP(D44,'FERC Interest Rate'!$A:$B,2,TRUE)</f>
        <v>3.9600000000000003E-2</v>
      </c>
      <c r="G44" s="75">
        <f t="shared" si="3"/>
        <v>513251.2756849312</v>
      </c>
      <c r="H44" s="75">
        <v>0</v>
      </c>
      <c r="I44" s="99">
        <f t="shared" si="9"/>
        <v>277.91952054794518</v>
      </c>
      <c r="J44" s="76">
        <f t="shared" si="13"/>
        <v>5122.9508152749086</v>
      </c>
      <c r="K44" s="116">
        <f t="shared" si="4"/>
        <v>5400.870335822854</v>
      </c>
      <c r="L44" s="76">
        <f t="shared" si="14"/>
        <v>56750</v>
      </c>
      <c r="M44" s="117">
        <f t="shared" si="8"/>
        <v>62150.870335822852</v>
      </c>
      <c r="N44" s="116">
        <f t="shared" si="5"/>
        <v>518374.2265002061</v>
      </c>
      <c r="O44" s="75">
        <f t="shared" si="1"/>
        <v>456223.35616438324</v>
      </c>
      <c r="P44" s="75">
        <f t="shared" si="10"/>
        <v>456223.35616438324</v>
      </c>
      <c r="Q44" s="75">
        <f t="shared" si="6"/>
        <v>0</v>
      </c>
    </row>
    <row r="45" spans="1:18" x14ac:dyDescent="0.25">
      <c r="A45" s="78" t="s">
        <v>64</v>
      </c>
      <c r="B45" s="72" t="str">
        <f t="shared" si="7"/>
        <v>Q4/2017</v>
      </c>
      <c r="C45" s="73">
        <f t="shared" si="11"/>
        <v>43009</v>
      </c>
      <c r="D45" s="73">
        <f t="shared" si="2"/>
        <v>43100</v>
      </c>
      <c r="E45" s="72">
        <f t="shared" si="12"/>
        <v>92</v>
      </c>
      <c r="F45" s="74">
        <f>VLOOKUP(D45,'FERC Interest Rate'!$A:$B,2,TRUE)</f>
        <v>4.2099999999999999E-2</v>
      </c>
      <c r="G45" s="75">
        <f t="shared" si="3"/>
        <v>456223.35616438324</v>
      </c>
      <c r="H45" s="75">
        <v>0</v>
      </c>
      <c r="I45" s="99">
        <f t="shared" si="9"/>
        <v>277.91952054794518</v>
      </c>
      <c r="J45" s="76">
        <f t="shared" si="13"/>
        <v>4841.2172687558614</v>
      </c>
      <c r="K45" s="116">
        <f t="shared" si="4"/>
        <v>5119.1367893038068</v>
      </c>
      <c r="L45" s="76">
        <f t="shared" si="14"/>
        <v>56750</v>
      </c>
      <c r="M45" s="117">
        <f t="shared" si="8"/>
        <v>61869.136789303804</v>
      </c>
      <c r="N45" s="116">
        <f t="shared" si="5"/>
        <v>461064.57343313907</v>
      </c>
      <c r="O45" s="75">
        <f t="shared" si="1"/>
        <v>399195.43664383527</v>
      </c>
      <c r="P45" s="75">
        <f t="shared" si="10"/>
        <v>399195.43664383527</v>
      </c>
      <c r="Q45" s="75">
        <f t="shared" si="6"/>
        <v>0</v>
      </c>
    </row>
    <row r="46" spans="1:18" x14ac:dyDescent="0.25">
      <c r="A46" s="78" t="s">
        <v>65</v>
      </c>
      <c r="B46" s="72" t="str">
        <f t="shared" si="7"/>
        <v>Q1/2018</v>
      </c>
      <c r="C46" s="73">
        <f t="shared" si="11"/>
        <v>43101</v>
      </c>
      <c r="D46" s="73">
        <f t="shared" si="2"/>
        <v>43190</v>
      </c>
      <c r="E46" s="72">
        <f t="shared" si="12"/>
        <v>90</v>
      </c>
      <c r="F46" s="74">
        <f>VLOOKUP(D46,'FERC Interest Rate'!$A:$B,2,TRUE)</f>
        <v>4.2500000000000003E-2</v>
      </c>
      <c r="G46" s="75">
        <f t="shared" si="3"/>
        <v>399195.43664383527</v>
      </c>
      <c r="H46" s="75">
        <v>0</v>
      </c>
      <c r="I46" s="99">
        <f t="shared" si="9"/>
        <v>277.91952054794518</v>
      </c>
      <c r="J46" s="76">
        <f t="shared" si="13"/>
        <v>4183.3494388018353</v>
      </c>
      <c r="K46" s="116">
        <f t="shared" si="4"/>
        <v>4461.2689593497807</v>
      </c>
      <c r="L46" s="76">
        <f t="shared" si="14"/>
        <v>56750</v>
      </c>
      <c r="M46" s="117">
        <f t="shared" si="8"/>
        <v>61211.268959349778</v>
      </c>
      <c r="N46" s="116">
        <f t="shared" si="5"/>
        <v>403378.78608263709</v>
      </c>
      <c r="O46" s="75">
        <f t="shared" si="1"/>
        <v>342167.51712328731</v>
      </c>
      <c r="P46" s="75">
        <f t="shared" si="10"/>
        <v>342167.51712328731</v>
      </c>
      <c r="Q46" s="75">
        <f t="shared" si="6"/>
        <v>0</v>
      </c>
    </row>
    <row r="47" spans="1:18" x14ac:dyDescent="0.25">
      <c r="A47" s="78" t="s">
        <v>66</v>
      </c>
      <c r="B47" s="72" t="str">
        <f t="shared" si="7"/>
        <v>Q2/2018</v>
      </c>
      <c r="C47" s="73">
        <f t="shared" si="11"/>
        <v>43191</v>
      </c>
      <c r="D47" s="73">
        <f t="shared" si="2"/>
        <v>43281</v>
      </c>
      <c r="E47" s="72">
        <f t="shared" si="12"/>
        <v>91</v>
      </c>
      <c r="F47" s="74">
        <f>VLOOKUP(D47,'FERC Interest Rate'!$A:$B,2,TRUE)</f>
        <v>4.4699999999999997E-2</v>
      </c>
      <c r="G47" s="75">
        <f t="shared" si="3"/>
        <v>342167.51712328731</v>
      </c>
      <c r="H47" s="75">
        <v>0</v>
      </c>
      <c r="I47" s="99">
        <f t="shared" si="9"/>
        <v>277.91952054794518</v>
      </c>
      <c r="J47" s="76">
        <f t="shared" si="13"/>
        <v>3813.2460531572483</v>
      </c>
      <c r="K47" s="116">
        <f t="shared" si="4"/>
        <v>4091.1655737051933</v>
      </c>
      <c r="L47" s="76">
        <f t="shared" si="14"/>
        <v>56750</v>
      </c>
      <c r="M47" s="117">
        <f t="shared" si="8"/>
        <v>60841.165573705191</v>
      </c>
      <c r="N47" s="116">
        <f t="shared" si="5"/>
        <v>345980.76317644457</v>
      </c>
      <c r="O47" s="75">
        <f t="shared" si="1"/>
        <v>285139.59760273935</v>
      </c>
      <c r="P47" s="75">
        <f t="shared" si="10"/>
        <v>285139.59760273935</v>
      </c>
      <c r="Q47" s="75">
        <f t="shared" si="6"/>
        <v>0</v>
      </c>
    </row>
    <row r="48" spans="1:18" x14ac:dyDescent="0.25">
      <c r="A48" s="78" t="s">
        <v>67</v>
      </c>
      <c r="B48" s="72" t="str">
        <f t="shared" si="7"/>
        <v>Q3/2018</v>
      </c>
      <c r="C48" s="73">
        <f t="shared" si="11"/>
        <v>43282</v>
      </c>
      <c r="D48" s="73">
        <f t="shared" si="2"/>
        <v>43373</v>
      </c>
      <c r="E48" s="72">
        <f t="shared" si="12"/>
        <v>92</v>
      </c>
      <c r="F48" s="74">
        <f>VLOOKUP(D48,'FERC Interest Rate'!$A:$B,2,TRUE)</f>
        <v>4.6899999999999997E-2</v>
      </c>
      <c r="G48" s="75">
        <f t="shared" si="3"/>
        <v>285139.59760273935</v>
      </c>
      <c r="H48" s="75">
        <v>0</v>
      </c>
      <c r="I48" s="99">
        <f t="shared" si="9"/>
        <v>277.91952054794518</v>
      </c>
      <c r="J48" s="76">
        <f t="shared" si="13"/>
        <v>3370.7406458528758</v>
      </c>
      <c r="K48" s="116">
        <f t="shared" si="4"/>
        <v>3648.6601664008208</v>
      </c>
      <c r="L48" s="76">
        <f t="shared" si="14"/>
        <v>56750</v>
      </c>
      <c r="M48" s="117">
        <f t="shared" si="8"/>
        <v>60398.660166400819</v>
      </c>
      <c r="N48" s="116">
        <f t="shared" si="5"/>
        <v>288510.33824859222</v>
      </c>
      <c r="O48" s="75">
        <f t="shared" si="1"/>
        <v>228111.67808219141</v>
      </c>
      <c r="P48" s="75">
        <f t="shared" si="10"/>
        <v>228111.67808219139</v>
      </c>
      <c r="Q48" s="75">
        <f t="shared" si="6"/>
        <v>0</v>
      </c>
    </row>
    <row r="49" spans="1:17" x14ac:dyDescent="0.25">
      <c r="A49" s="78" t="s">
        <v>68</v>
      </c>
      <c r="B49" s="72" t="str">
        <f t="shared" si="7"/>
        <v>Q4/2018</v>
      </c>
      <c r="C49" s="73">
        <f t="shared" si="11"/>
        <v>43374</v>
      </c>
      <c r="D49" s="73">
        <f t="shared" si="2"/>
        <v>43465</v>
      </c>
      <c r="E49" s="72">
        <f t="shared" si="12"/>
        <v>92</v>
      </c>
      <c r="F49" s="74">
        <f>VLOOKUP(D49,'FERC Interest Rate'!$A:$B,2,TRUE)</f>
        <v>4.9599999999999998E-2</v>
      </c>
      <c r="G49" s="75">
        <f t="shared" si="3"/>
        <v>228111.67808219141</v>
      </c>
      <c r="H49" s="75">
        <v>0</v>
      </c>
      <c r="I49" s="99">
        <f t="shared" si="9"/>
        <v>277.91952054794518</v>
      </c>
      <c r="J49" s="76">
        <f t="shared" si="13"/>
        <v>2851.8334504785093</v>
      </c>
      <c r="K49" s="116">
        <f t="shared" si="4"/>
        <v>3129.7529710264544</v>
      </c>
      <c r="L49" s="76">
        <f t="shared" si="14"/>
        <v>56750</v>
      </c>
      <c r="M49" s="117">
        <f t="shared" si="8"/>
        <v>59879.752971026457</v>
      </c>
      <c r="N49" s="116">
        <f t="shared" si="5"/>
        <v>230963.51153266992</v>
      </c>
      <c r="O49" s="75">
        <f t="shared" si="1"/>
        <v>171083.75856164348</v>
      </c>
      <c r="P49" s="75">
        <f t="shared" si="10"/>
        <v>171083.75856164345</v>
      </c>
      <c r="Q49" s="75">
        <f t="shared" si="6"/>
        <v>0</v>
      </c>
    </row>
    <row r="50" spans="1:17" x14ac:dyDescent="0.25">
      <c r="A50" s="78" t="s">
        <v>69</v>
      </c>
      <c r="B50" s="72" t="str">
        <f t="shared" si="7"/>
        <v>Q1/2019</v>
      </c>
      <c r="C50" s="73">
        <f t="shared" si="11"/>
        <v>43466</v>
      </c>
      <c r="D50" s="73">
        <f t="shared" si="2"/>
        <v>43555</v>
      </c>
      <c r="E50" s="72">
        <f t="shared" si="12"/>
        <v>90</v>
      </c>
      <c r="F50" s="74">
        <f>VLOOKUP(D50,'FERC Interest Rate'!$A:$B,2,TRUE)</f>
        <v>5.1799999999999999E-2</v>
      </c>
      <c r="G50" s="75">
        <f t="shared" si="3"/>
        <v>171083.75856164348</v>
      </c>
      <c r="H50" s="75">
        <v>0</v>
      </c>
      <c r="I50" s="99">
        <f t="shared" si="9"/>
        <v>277.91952054794518</v>
      </c>
      <c r="J50" s="76">
        <f t="shared" si="13"/>
        <v>2185.1848833270737</v>
      </c>
      <c r="K50" s="116">
        <f t="shared" si="4"/>
        <v>2463.1044038750188</v>
      </c>
      <c r="L50" s="76">
        <f t="shared" si="14"/>
        <v>56750</v>
      </c>
      <c r="M50" s="117">
        <f t="shared" si="8"/>
        <v>59213.104403875019</v>
      </c>
      <c r="N50" s="116">
        <f t="shared" si="5"/>
        <v>173268.94344497056</v>
      </c>
      <c r="O50" s="75">
        <f t="shared" si="1"/>
        <v>114055.83904109553</v>
      </c>
      <c r="P50" s="75">
        <f t="shared" si="10"/>
        <v>114055.83904109555</v>
      </c>
      <c r="Q50" s="75">
        <f t="shared" si="6"/>
        <v>0</v>
      </c>
    </row>
    <row r="51" spans="1:17" x14ac:dyDescent="0.25">
      <c r="A51" s="78" t="s">
        <v>70</v>
      </c>
      <c r="B51" s="72" t="str">
        <f t="shared" si="7"/>
        <v>Q2/2019</v>
      </c>
      <c r="C51" s="73">
        <f t="shared" si="11"/>
        <v>43556</v>
      </c>
      <c r="D51" s="73">
        <f t="shared" si="2"/>
        <v>43646</v>
      </c>
      <c r="E51" s="72">
        <f t="shared" si="12"/>
        <v>91</v>
      </c>
      <c r="F51" s="74">
        <f>VLOOKUP(D51,'FERC Interest Rate'!$A:$B,2,TRUE)</f>
        <v>5.45E-2</v>
      </c>
      <c r="G51" s="75">
        <f t="shared" si="3"/>
        <v>114055.83904109553</v>
      </c>
      <c r="H51" s="75">
        <v>0</v>
      </c>
      <c r="I51" s="99">
        <f t="shared" si="9"/>
        <v>277.91952054794518</v>
      </c>
      <c r="J51" s="76">
        <f t="shared" si="13"/>
        <v>1549.7532430803105</v>
      </c>
      <c r="K51" s="116">
        <f t="shared" si="4"/>
        <v>1827.6727636282558</v>
      </c>
      <c r="L51" s="76">
        <f t="shared" si="14"/>
        <v>56750</v>
      </c>
      <c r="M51" s="117">
        <f t="shared" si="8"/>
        <v>58577.672763628259</v>
      </c>
      <c r="N51" s="116">
        <f t="shared" si="5"/>
        <v>115605.59228417584</v>
      </c>
      <c r="O51" s="75">
        <f t="shared" si="1"/>
        <v>57027.919520547584</v>
      </c>
      <c r="P51" s="75">
        <f t="shared" si="10"/>
        <v>57027.919520547584</v>
      </c>
      <c r="Q51" s="75">
        <f t="shared" si="6"/>
        <v>0</v>
      </c>
    </row>
    <row r="52" spans="1:17" x14ac:dyDescent="0.25">
      <c r="A52" s="78" t="s">
        <v>71</v>
      </c>
      <c r="B52" s="72" t="str">
        <f t="shared" si="7"/>
        <v>Q3/2019</v>
      </c>
      <c r="C52" s="73">
        <f t="shared" si="11"/>
        <v>43647</v>
      </c>
      <c r="D52" s="73">
        <f t="shared" si="2"/>
        <v>43738</v>
      </c>
      <c r="E52" s="72">
        <f t="shared" si="12"/>
        <v>92</v>
      </c>
      <c r="F52" s="74">
        <f>VLOOKUP(D52,'FERC Interest Rate'!$A:$B,2,TRUE)</f>
        <v>5.5E-2</v>
      </c>
      <c r="G52" s="75">
        <f t="shared" si="3"/>
        <v>57027.919520547584</v>
      </c>
      <c r="H52" s="75">
        <v>0</v>
      </c>
      <c r="I52" s="99">
        <f t="shared" si="9"/>
        <v>277.91952054794518</v>
      </c>
      <c r="J52" s="76">
        <f t="shared" si="13"/>
        <v>790.5788295177282</v>
      </c>
      <c r="K52" s="116">
        <f t="shared" si="4"/>
        <v>1068.4983500656733</v>
      </c>
      <c r="L52" s="76">
        <f t="shared" si="14"/>
        <v>56750</v>
      </c>
      <c r="M52" s="117">
        <f t="shared" si="8"/>
        <v>57818.498350065674</v>
      </c>
      <c r="N52" s="116">
        <f t="shared" si="5"/>
        <v>57818.498350065311</v>
      </c>
      <c r="O52" s="75">
        <f t="shared" si="1"/>
        <v>-3.6078517950954847E-10</v>
      </c>
      <c r="P52" s="75">
        <f t="shared" si="10"/>
        <v>-3.637978807091713E-10</v>
      </c>
      <c r="Q52" s="75">
        <f t="shared" si="6"/>
        <v>-3.0127011996228248E-12</v>
      </c>
    </row>
    <row r="53" spans="1:17" x14ac:dyDescent="0.25">
      <c r="B53" s="11"/>
      <c r="C53" s="111"/>
      <c r="D53" s="111"/>
      <c r="E53" s="10"/>
      <c r="F53" s="11"/>
      <c r="G53" s="76"/>
      <c r="H53" s="12"/>
      <c r="I53" s="101"/>
      <c r="J53" s="76"/>
      <c r="K53" s="103"/>
      <c r="L53" s="58"/>
      <c r="M53" s="118"/>
      <c r="N53" s="103"/>
      <c r="O53" s="76"/>
      <c r="P53" s="76"/>
      <c r="Q53" s="76"/>
    </row>
    <row r="54" spans="1:17" ht="13.5" thickBot="1" x14ac:dyDescent="0.35">
      <c r="A54" s="80"/>
      <c r="B54" s="120"/>
      <c r="C54" s="121"/>
      <c r="D54" s="121"/>
      <c r="E54" s="122"/>
      <c r="F54" s="123"/>
      <c r="G54" s="127">
        <f>+SUM(G33:G53)</f>
        <v>12141388.467465749</v>
      </c>
      <c r="H54" s="127">
        <f t="shared" ref="H54:Q54" si="15">+SUM(H33:H53)</f>
        <v>5558.3904109589039</v>
      </c>
      <c r="I54" s="128">
        <f t="shared" si="15"/>
        <v>5558.3904109589039</v>
      </c>
      <c r="J54" s="127">
        <f t="shared" si="15"/>
        <v>99519.142274329075</v>
      </c>
      <c r="K54" s="127">
        <f t="shared" si="15"/>
        <v>105077.53268528798</v>
      </c>
      <c r="L54" s="127">
        <f t="shared" si="15"/>
        <v>1135000</v>
      </c>
      <c r="M54" s="129">
        <f t="shared" si="15"/>
        <v>1230937.4414744605</v>
      </c>
      <c r="N54" s="127">
        <f t="shared" si="15"/>
        <v>12246466.000151036</v>
      </c>
      <c r="O54" s="127">
        <f t="shared" si="15"/>
        <v>11006388.467465749</v>
      </c>
      <c r="P54" s="127">
        <f t="shared" si="15"/>
        <v>11015528.558676574</v>
      </c>
      <c r="Q54" s="127">
        <f t="shared" si="15"/>
        <v>9140.0912108274606</v>
      </c>
    </row>
    <row r="55" spans="1:17" ht="13" thickTop="1" x14ac:dyDescent="0.25">
      <c r="B55" s="103"/>
      <c r="C55" s="103"/>
      <c r="D55" s="103"/>
      <c r="E55" s="103"/>
      <c r="F55" s="103"/>
      <c r="G55" s="103"/>
      <c r="H55" s="103"/>
      <c r="I55" s="102"/>
      <c r="J55" s="103"/>
      <c r="K55" s="103"/>
      <c r="L55" s="103"/>
      <c r="M55" s="118"/>
      <c r="N55" s="103"/>
      <c r="O55" s="103"/>
      <c r="P55" s="103"/>
      <c r="Q55" s="103"/>
    </row>
    <row r="56" spans="1:17" ht="37" x14ac:dyDescent="0.3">
      <c r="A56" s="77" t="s">
        <v>51</v>
      </c>
      <c r="B56" s="77" t="s">
        <v>3</v>
      </c>
      <c r="C56" s="77" t="s">
        <v>4</v>
      </c>
      <c r="D56" s="77" t="s">
        <v>5</v>
      </c>
      <c r="E56" s="77" t="s">
        <v>6</v>
      </c>
      <c r="F56" s="77" t="s">
        <v>7</v>
      </c>
      <c r="G56" s="77" t="s">
        <v>78</v>
      </c>
      <c r="H56" s="77" t="s">
        <v>79</v>
      </c>
      <c r="I56" s="94" t="s">
        <v>80</v>
      </c>
      <c r="J56" s="95" t="s">
        <v>81</v>
      </c>
      <c r="K56" s="95" t="s">
        <v>82</v>
      </c>
      <c r="L56" s="95" t="s">
        <v>83</v>
      </c>
      <c r="M56" s="96" t="s">
        <v>73</v>
      </c>
      <c r="N56" s="77" t="s">
        <v>84</v>
      </c>
      <c r="O56" s="77" t="s">
        <v>85</v>
      </c>
      <c r="P56" s="171"/>
      <c r="Q56" s="171"/>
    </row>
    <row r="57" spans="1:17" x14ac:dyDescent="0.25">
      <c r="B57" s="72"/>
      <c r="C57" s="73">
        <f>$B$2</f>
        <v>41913</v>
      </c>
      <c r="D57" s="73">
        <f>DATE(YEAR(C57),IF(MONTH(C57)&lt;=3,3,IF(MONTH(C57)&lt;=6,6,IF(MONTH(C57)&lt;=9,9,12))),IF(OR(MONTH(C57)&lt;=3,MONTH(C57)&gt;=10),31,30))</f>
        <v>42004</v>
      </c>
      <c r="E57" s="72">
        <f>D57-C57+1</f>
        <v>92</v>
      </c>
      <c r="F57" s="74">
        <f>VLOOKUP(D57,'FERC Interest Rate'!$A:$B,2,TRUE)</f>
        <v>3.2500000000000001E-2</v>
      </c>
      <c r="G57" s="75">
        <f>$E$2</f>
        <v>0</v>
      </c>
      <c r="H57" s="75">
        <f t="shared" ref="H57:H64" si="16">G57*F57*(E57/(DATE(YEAR(D57),12,31)-DATE(YEAR(D57),1,1)+1))</f>
        <v>0</v>
      </c>
      <c r="I57" s="99">
        <v>0</v>
      </c>
      <c r="J57" s="76">
        <v>0</v>
      </c>
      <c r="K57" s="116">
        <f t="shared" ref="K57:K84" si="17">+SUM(I57:J57)</f>
        <v>0</v>
      </c>
      <c r="L57" s="76">
        <v>0</v>
      </c>
      <c r="M57" s="117">
        <f t="shared" ref="M57:M84" si="18">+SUM(K57:L57)</f>
        <v>0</v>
      </c>
      <c r="N57" s="116">
        <f t="shared" ref="N57:N84" si="19">+G57+H57+J57</f>
        <v>0</v>
      </c>
      <c r="O57" s="75">
        <f t="shared" ref="O57:O84" si="20">G57+H57-L57-I57</f>
        <v>0</v>
      </c>
      <c r="P57" s="75"/>
      <c r="Q57" s="75"/>
    </row>
    <row r="58" spans="1:17" x14ac:dyDescent="0.25">
      <c r="B58" s="72"/>
      <c r="C58" s="73">
        <f>D57+1</f>
        <v>42005</v>
      </c>
      <c r="D58" s="73">
        <f>EOMONTH(D57,3)</f>
        <v>42094</v>
      </c>
      <c r="E58" s="72">
        <f t="shared" ref="E58:E84" si="21">D58-C58+1</f>
        <v>90</v>
      </c>
      <c r="F58" s="74">
        <f>VLOOKUP(D58,'FERC Interest Rate'!$A:$B,2,TRUE)</f>
        <v>3.2500000000000001E-2</v>
      </c>
      <c r="G58" s="75">
        <f t="shared" ref="G58:G84" si="22">O57</f>
        <v>0</v>
      </c>
      <c r="H58" s="75">
        <f t="shared" si="16"/>
        <v>0</v>
      </c>
      <c r="I58" s="99">
        <v>0</v>
      </c>
      <c r="J58" s="76">
        <v>0</v>
      </c>
      <c r="K58" s="116">
        <f t="shared" si="17"/>
        <v>0</v>
      </c>
      <c r="L58" s="76">
        <v>0</v>
      </c>
      <c r="M58" s="117">
        <f t="shared" si="18"/>
        <v>0</v>
      </c>
      <c r="N58" s="116">
        <f t="shared" si="19"/>
        <v>0</v>
      </c>
      <c r="O58" s="75">
        <f t="shared" si="20"/>
        <v>0</v>
      </c>
      <c r="P58" s="75"/>
      <c r="Q58" s="75"/>
    </row>
    <row r="59" spans="1:17" x14ac:dyDescent="0.25">
      <c r="B59" s="72"/>
      <c r="C59" s="73">
        <f t="shared" ref="C59:C84" si="23">D58+1</f>
        <v>42095</v>
      </c>
      <c r="D59" s="73">
        <f t="shared" ref="D59:D84" si="24">EOMONTH(D58,3)</f>
        <v>42185</v>
      </c>
      <c r="E59" s="72">
        <f t="shared" si="21"/>
        <v>91</v>
      </c>
      <c r="F59" s="74">
        <f>VLOOKUP(D59,'FERC Interest Rate'!$A:$B,2,TRUE)</f>
        <v>3.2500000000000001E-2</v>
      </c>
      <c r="G59" s="75">
        <f t="shared" si="22"/>
        <v>0</v>
      </c>
      <c r="H59" s="75">
        <f t="shared" si="16"/>
        <v>0</v>
      </c>
      <c r="I59" s="99">
        <v>0</v>
      </c>
      <c r="J59" s="76">
        <v>0</v>
      </c>
      <c r="K59" s="116">
        <f t="shared" si="17"/>
        <v>0</v>
      </c>
      <c r="L59" s="76">
        <v>0</v>
      </c>
      <c r="M59" s="117">
        <f t="shared" si="18"/>
        <v>0</v>
      </c>
      <c r="N59" s="116">
        <f t="shared" si="19"/>
        <v>0</v>
      </c>
      <c r="O59" s="75">
        <f t="shared" si="20"/>
        <v>0</v>
      </c>
      <c r="P59" s="75"/>
      <c r="Q59" s="75"/>
    </row>
    <row r="60" spans="1:17" x14ac:dyDescent="0.25">
      <c r="B60" s="72"/>
      <c r="C60" s="73">
        <f t="shared" si="23"/>
        <v>42186</v>
      </c>
      <c r="D60" s="73">
        <f t="shared" si="24"/>
        <v>42277</v>
      </c>
      <c r="E60" s="72">
        <f t="shared" si="21"/>
        <v>92</v>
      </c>
      <c r="F60" s="74">
        <f>VLOOKUP(D60,'FERC Interest Rate'!$A:$B,2,TRUE)</f>
        <v>3.2500000000000001E-2</v>
      </c>
      <c r="G60" s="75">
        <f t="shared" si="22"/>
        <v>0</v>
      </c>
      <c r="H60" s="75">
        <f t="shared" si="16"/>
        <v>0</v>
      </c>
      <c r="I60" s="99">
        <v>0</v>
      </c>
      <c r="J60" s="76">
        <v>0</v>
      </c>
      <c r="K60" s="116">
        <f t="shared" si="17"/>
        <v>0</v>
      </c>
      <c r="L60" s="76">
        <v>0</v>
      </c>
      <c r="M60" s="117">
        <f t="shared" si="18"/>
        <v>0</v>
      </c>
      <c r="N60" s="116">
        <f t="shared" si="19"/>
        <v>0</v>
      </c>
      <c r="O60" s="75">
        <f t="shared" si="20"/>
        <v>0</v>
      </c>
      <c r="P60" s="75"/>
      <c r="Q60" s="75"/>
    </row>
    <row r="61" spans="1:17" x14ac:dyDescent="0.25">
      <c r="B61" s="72"/>
      <c r="C61" s="73">
        <f t="shared" si="23"/>
        <v>42278</v>
      </c>
      <c r="D61" s="73">
        <f t="shared" si="24"/>
        <v>42369</v>
      </c>
      <c r="E61" s="72">
        <f t="shared" si="21"/>
        <v>92</v>
      </c>
      <c r="F61" s="74">
        <f>VLOOKUP(D61,'FERC Interest Rate'!$A:$B,2,TRUE)</f>
        <v>3.2500000000000001E-2</v>
      </c>
      <c r="G61" s="75">
        <f t="shared" si="22"/>
        <v>0</v>
      </c>
      <c r="H61" s="75">
        <f t="shared" si="16"/>
        <v>0</v>
      </c>
      <c r="I61" s="99">
        <v>0</v>
      </c>
      <c r="J61" s="76">
        <v>0</v>
      </c>
      <c r="K61" s="116">
        <f t="shared" si="17"/>
        <v>0</v>
      </c>
      <c r="L61" s="76">
        <v>0</v>
      </c>
      <c r="M61" s="117">
        <f t="shared" si="18"/>
        <v>0</v>
      </c>
      <c r="N61" s="116">
        <f t="shared" si="19"/>
        <v>0</v>
      </c>
      <c r="O61" s="75">
        <f t="shared" si="20"/>
        <v>0</v>
      </c>
      <c r="P61" s="75"/>
      <c r="Q61" s="75"/>
    </row>
    <row r="62" spans="1:17" x14ac:dyDescent="0.25">
      <c r="B62" s="72"/>
      <c r="C62" s="73">
        <f t="shared" si="23"/>
        <v>42370</v>
      </c>
      <c r="D62" s="73">
        <f t="shared" si="24"/>
        <v>42460</v>
      </c>
      <c r="E62" s="72">
        <f t="shared" si="21"/>
        <v>91</v>
      </c>
      <c r="F62" s="74">
        <f>VLOOKUP(D62,'FERC Interest Rate'!$A:$B,2,TRUE)</f>
        <v>3.2500000000000001E-2</v>
      </c>
      <c r="G62" s="75">
        <f t="shared" si="22"/>
        <v>0</v>
      </c>
      <c r="H62" s="75">
        <f t="shared" si="16"/>
        <v>0</v>
      </c>
      <c r="I62" s="99">
        <v>0</v>
      </c>
      <c r="J62" s="76">
        <v>0</v>
      </c>
      <c r="K62" s="116">
        <f t="shared" si="17"/>
        <v>0</v>
      </c>
      <c r="L62" s="76">
        <v>0</v>
      </c>
      <c r="M62" s="117">
        <f t="shared" si="18"/>
        <v>0</v>
      </c>
      <c r="N62" s="116">
        <f t="shared" si="19"/>
        <v>0</v>
      </c>
      <c r="O62" s="75">
        <f t="shared" si="20"/>
        <v>0</v>
      </c>
      <c r="P62" s="75"/>
      <c r="Q62" s="75"/>
    </row>
    <row r="63" spans="1:17" x14ac:dyDescent="0.25">
      <c r="B63" s="72"/>
      <c r="C63" s="73">
        <f t="shared" si="23"/>
        <v>42461</v>
      </c>
      <c r="D63" s="73">
        <f t="shared" si="24"/>
        <v>42551</v>
      </c>
      <c r="E63" s="72">
        <f t="shared" si="21"/>
        <v>91</v>
      </c>
      <c r="F63" s="74">
        <f>VLOOKUP(D63,'FERC Interest Rate'!$A:$B,2,TRUE)</f>
        <v>3.4599999999999999E-2</v>
      </c>
      <c r="G63" s="75">
        <f t="shared" si="22"/>
        <v>0</v>
      </c>
      <c r="H63" s="75">
        <f t="shared" si="16"/>
        <v>0</v>
      </c>
      <c r="I63" s="99">
        <v>0</v>
      </c>
      <c r="J63" s="76">
        <v>0</v>
      </c>
      <c r="K63" s="116">
        <f t="shared" si="17"/>
        <v>0</v>
      </c>
      <c r="L63" s="76">
        <v>0</v>
      </c>
      <c r="M63" s="117">
        <f t="shared" si="18"/>
        <v>0</v>
      </c>
      <c r="N63" s="116">
        <f t="shared" si="19"/>
        <v>0</v>
      </c>
      <c r="O63" s="75">
        <f t="shared" si="20"/>
        <v>0</v>
      </c>
      <c r="P63" s="75"/>
      <c r="Q63" s="75"/>
    </row>
    <row r="64" spans="1:17" x14ac:dyDescent="0.25">
      <c r="B64" s="72"/>
      <c r="C64" s="73">
        <f t="shared" si="23"/>
        <v>42552</v>
      </c>
      <c r="D64" s="73">
        <f t="shared" si="24"/>
        <v>42643</v>
      </c>
      <c r="E64" s="72">
        <f t="shared" si="21"/>
        <v>92</v>
      </c>
      <c r="F64" s="74">
        <f>VLOOKUP(D64,'FERC Interest Rate'!$A:$B,2,TRUE)</f>
        <v>3.5000000000000003E-2</v>
      </c>
      <c r="G64" s="75">
        <f t="shared" si="22"/>
        <v>0</v>
      </c>
      <c r="H64" s="75">
        <f t="shared" si="16"/>
        <v>0</v>
      </c>
      <c r="I64" s="99">
        <v>0</v>
      </c>
      <c r="J64" s="76">
        <v>0</v>
      </c>
      <c r="K64" s="116">
        <f t="shared" si="17"/>
        <v>0</v>
      </c>
      <c r="L64" s="76">
        <v>0</v>
      </c>
      <c r="M64" s="117">
        <f t="shared" si="18"/>
        <v>0</v>
      </c>
      <c r="N64" s="116">
        <f t="shared" si="19"/>
        <v>0</v>
      </c>
      <c r="O64" s="75">
        <f t="shared" si="20"/>
        <v>0</v>
      </c>
      <c r="P64" s="75"/>
      <c r="Q64" s="75"/>
    </row>
    <row r="65" spans="2:17" x14ac:dyDescent="0.25">
      <c r="B65" s="72"/>
      <c r="C65" s="73">
        <f t="shared" si="23"/>
        <v>42644</v>
      </c>
      <c r="D65" s="73">
        <f t="shared" si="24"/>
        <v>42735</v>
      </c>
      <c r="E65" s="72">
        <f t="shared" si="21"/>
        <v>92</v>
      </c>
      <c r="F65" s="74">
        <f>VLOOKUP(D65,'FERC Interest Rate'!$A:$B,2,TRUE)</f>
        <v>3.5000000000000003E-2</v>
      </c>
      <c r="G65" s="75">
        <f t="shared" si="22"/>
        <v>0</v>
      </c>
      <c r="H65" s="75">
        <v>0</v>
      </c>
      <c r="I65" s="99">
        <v>0</v>
      </c>
      <c r="J65" s="76">
        <v>0</v>
      </c>
      <c r="K65" s="116">
        <f t="shared" si="17"/>
        <v>0</v>
      </c>
      <c r="L65" s="76">
        <f t="shared" ref="L65:L84" si="25">$G$57/20</f>
        <v>0</v>
      </c>
      <c r="M65" s="117">
        <f t="shared" si="18"/>
        <v>0</v>
      </c>
      <c r="N65" s="116">
        <f t="shared" si="19"/>
        <v>0</v>
      </c>
      <c r="O65" s="75">
        <f t="shared" si="20"/>
        <v>0</v>
      </c>
      <c r="P65" s="75"/>
      <c r="Q65" s="75"/>
    </row>
    <row r="66" spans="2:17" x14ac:dyDescent="0.25">
      <c r="B66" s="72"/>
      <c r="C66" s="73">
        <f t="shared" si="23"/>
        <v>42736</v>
      </c>
      <c r="D66" s="73">
        <f t="shared" si="24"/>
        <v>42825</v>
      </c>
      <c r="E66" s="72">
        <f t="shared" si="21"/>
        <v>90</v>
      </c>
      <c r="F66" s="74">
        <f>VLOOKUP(D66,'FERC Interest Rate'!$A:$B,2,TRUE)</f>
        <v>3.5000000000000003E-2</v>
      </c>
      <c r="G66" s="75">
        <f t="shared" si="22"/>
        <v>0</v>
      </c>
      <c r="H66" s="75">
        <v>0</v>
      </c>
      <c r="I66" s="99">
        <v>0</v>
      </c>
      <c r="J66" s="76">
        <v>0</v>
      </c>
      <c r="K66" s="116">
        <f t="shared" si="17"/>
        <v>0</v>
      </c>
      <c r="L66" s="76">
        <f t="shared" si="25"/>
        <v>0</v>
      </c>
      <c r="M66" s="117">
        <f t="shared" si="18"/>
        <v>0</v>
      </c>
      <c r="N66" s="116">
        <f t="shared" si="19"/>
        <v>0</v>
      </c>
      <c r="O66" s="75">
        <f t="shared" si="20"/>
        <v>0</v>
      </c>
      <c r="P66" s="75"/>
      <c r="Q66" s="75"/>
    </row>
    <row r="67" spans="2:17" x14ac:dyDescent="0.25">
      <c r="B67" s="72"/>
      <c r="C67" s="73">
        <f t="shared" si="23"/>
        <v>42826</v>
      </c>
      <c r="D67" s="73">
        <f t="shared" si="24"/>
        <v>42916</v>
      </c>
      <c r="E67" s="72">
        <f t="shared" si="21"/>
        <v>91</v>
      </c>
      <c r="F67" s="74">
        <f>VLOOKUP(D67,'FERC Interest Rate'!$A:$B,2,TRUE)</f>
        <v>3.7100000000000001E-2</v>
      </c>
      <c r="G67" s="75">
        <f t="shared" si="22"/>
        <v>0</v>
      </c>
      <c r="H67" s="75">
        <v>0</v>
      </c>
      <c r="I67" s="99">
        <v>0</v>
      </c>
      <c r="J67" s="76">
        <v>0</v>
      </c>
      <c r="K67" s="116">
        <f t="shared" si="17"/>
        <v>0</v>
      </c>
      <c r="L67" s="76">
        <f t="shared" si="25"/>
        <v>0</v>
      </c>
      <c r="M67" s="117">
        <f t="shared" si="18"/>
        <v>0</v>
      </c>
      <c r="N67" s="116">
        <f t="shared" si="19"/>
        <v>0</v>
      </c>
      <c r="O67" s="75">
        <f t="shared" si="20"/>
        <v>0</v>
      </c>
      <c r="P67" s="75"/>
      <c r="Q67" s="75"/>
    </row>
    <row r="68" spans="2:17" x14ac:dyDescent="0.25">
      <c r="B68" s="72"/>
      <c r="C68" s="73">
        <f t="shared" si="23"/>
        <v>42917</v>
      </c>
      <c r="D68" s="73">
        <f t="shared" si="24"/>
        <v>43008</v>
      </c>
      <c r="E68" s="72">
        <f t="shared" si="21"/>
        <v>92</v>
      </c>
      <c r="F68" s="74">
        <f>VLOOKUP(D68,'FERC Interest Rate'!$A:$B,2,TRUE)</f>
        <v>3.9600000000000003E-2</v>
      </c>
      <c r="G68" s="75">
        <f t="shared" si="22"/>
        <v>0</v>
      </c>
      <c r="H68" s="75">
        <v>0</v>
      </c>
      <c r="I68" s="99">
        <v>0</v>
      </c>
      <c r="J68" s="76">
        <v>0</v>
      </c>
      <c r="K68" s="116">
        <f t="shared" si="17"/>
        <v>0</v>
      </c>
      <c r="L68" s="76">
        <f t="shared" si="25"/>
        <v>0</v>
      </c>
      <c r="M68" s="117">
        <f t="shared" si="18"/>
        <v>0</v>
      </c>
      <c r="N68" s="116">
        <f t="shared" si="19"/>
        <v>0</v>
      </c>
      <c r="O68" s="75">
        <f t="shared" si="20"/>
        <v>0</v>
      </c>
      <c r="P68" s="75"/>
      <c r="Q68" s="75"/>
    </row>
    <row r="69" spans="2:17" x14ac:dyDescent="0.25">
      <c r="B69" s="72"/>
      <c r="C69" s="73">
        <f t="shared" si="23"/>
        <v>43009</v>
      </c>
      <c r="D69" s="73">
        <f t="shared" si="24"/>
        <v>43100</v>
      </c>
      <c r="E69" s="72">
        <f t="shared" si="21"/>
        <v>92</v>
      </c>
      <c r="F69" s="74">
        <f>VLOOKUP(D69,'FERC Interest Rate'!$A:$B,2,TRUE)</f>
        <v>4.2099999999999999E-2</v>
      </c>
      <c r="G69" s="75">
        <f t="shared" si="22"/>
        <v>0</v>
      </c>
      <c r="H69" s="75">
        <v>0</v>
      </c>
      <c r="I69" s="99">
        <v>0</v>
      </c>
      <c r="J69" s="76">
        <v>0</v>
      </c>
      <c r="K69" s="116">
        <f t="shared" si="17"/>
        <v>0</v>
      </c>
      <c r="L69" s="76">
        <f t="shared" si="25"/>
        <v>0</v>
      </c>
      <c r="M69" s="117">
        <f t="shared" si="18"/>
        <v>0</v>
      </c>
      <c r="N69" s="116">
        <f t="shared" si="19"/>
        <v>0</v>
      </c>
      <c r="O69" s="75">
        <f t="shared" si="20"/>
        <v>0</v>
      </c>
      <c r="P69" s="75"/>
      <c r="Q69" s="75"/>
    </row>
    <row r="70" spans="2:17" x14ac:dyDescent="0.25">
      <c r="B70" s="72"/>
      <c r="C70" s="73">
        <f t="shared" si="23"/>
        <v>43101</v>
      </c>
      <c r="D70" s="73">
        <f t="shared" si="24"/>
        <v>43190</v>
      </c>
      <c r="E70" s="72">
        <f t="shared" si="21"/>
        <v>90</v>
      </c>
      <c r="F70" s="74">
        <f>VLOOKUP(D70,'FERC Interest Rate'!$A:$B,2,TRUE)</f>
        <v>4.2500000000000003E-2</v>
      </c>
      <c r="G70" s="75">
        <f t="shared" si="22"/>
        <v>0</v>
      </c>
      <c r="H70" s="75">
        <v>0</v>
      </c>
      <c r="I70" s="99">
        <v>0</v>
      </c>
      <c r="J70" s="76">
        <v>0</v>
      </c>
      <c r="K70" s="116">
        <f t="shared" si="17"/>
        <v>0</v>
      </c>
      <c r="L70" s="76">
        <f t="shared" si="25"/>
        <v>0</v>
      </c>
      <c r="M70" s="117">
        <f t="shared" si="18"/>
        <v>0</v>
      </c>
      <c r="N70" s="116">
        <f t="shared" si="19"/>
        <v>0</v>
      </c>
      <c r="O70" s="75">
        <f t="shared" si="20"/>
        <v>0</v>
      </c>
      <c r="P70" s="75"/>
      <c r="Q70" s="75"/>
    </row>
    <row r="71" spans="2:17" x14ac:dyDescent="0.25">
      <c r="B71" s="72"/>
      <c r="C71" s="73">
        <f t="shared" si="23"/>
        <v>43191</v>
      </c>
      <c r="D71" s="73">
        <f t="shared" si="24"/>
        <v>43281</v>
      </c>
      <c r="E71" s="72">
        <f t="shared" si="21"/>
        <v>91</v>
      </c>
      <c r="F71" s="74">
        <f>VLOOKUP(D71,'FERC Interest Rate'!$A:$B,2,TRUE)</f>
        <v>4.4699999999999997E-2</v>
      </c>
      <c r="G71" s="75">
        <f t="shared" si="22"/>
        <v>0</v>
      </c>
      <c r="H71" s="75">
        <v>0</v>
      </c>
      <c r="I71" s="99">
        <v>0</v>
      </c>
      <c r="J71" s="76">
        <v>0</v>
      </c>
      <c r="K71" s="116">
        <f t="shared" si="17"/>
        <v>0</v>
      </c>
      <c r="L71" s="76">
        <f t="shared" si="25"/>
        <v>0</v>
      </c>
      <c r="M71" s="117">
        <f t="shared" si="18"/>
        <v>0</v>
      </c>
      <c r="N71" s="116">
        <f t="shared" si="19"/>
        <v>0</v>
      </c>
      <c r="O71" s="75">
        <f t="shared" si="20"/>
        <v>0</v>
      </c>
      <c r="P71" s="75"/>
      <c r="Q71" s="75"/>
    </row>
    <row r="72" spans="2:17" x14ac:dyDescent="0.25">
      <c r="B72" s="72"/>
      <c r="C72" s="73">
        <f t="shared" si="23"/>
        <v>43282</v>
      </c>
      <c r="D72" s="73">
        <f t="shared" si="24"/>
        <v>43373</v>
      </c>
      <c r="E72" s="72">
        <f t="shared" si="21"/>
        <v>92</v>
      </c>
      <c r="F72" s="74">
        <f>VLOOKUP(D72,'FERC Interest Rate'!$A:$B,2,TRUE)</f>
        <v>4.6899999999999997E-2</v>
      </c>
      <c r="G72" s="75">
        <f t="shared" si="22"/>
        <v>0</v>
      </c>
      <c r="H72" s="75">
        <v>0</v>
      </c>
      <c r="I72" s="99">
        <v>0</v>
      </c>
      <c r="J72" s="76">
        <v>0</v>
      </c>
      <c r="K72" s="116">
        <f t="shared" si="17"/>
        <v>0</v>
      </c>
      <c r="L72" s="76">
        <f t="shared" si="25"/>
        <v>0</v>
      </c>
      <c r="M72" s="117">
        <f t="shared" si="18"/>
        <v>0</v>
      </c>
      <c r="N72" s="116">
        <f t="shared" si="19"/>
        <v>0</v>
      </c>
      <c r="O72" s="75">
        <f t="shared" si="20"/>
        <v>0</v>
      </c>
      <c r="P72" s="75"/>
      <c r="Q72" s="75"/>
    </row>
    <row r="73" spans="2:17" x14ac:dyDescent="0.25">
      <c r="B73" s="72"/>
      <c r="C73" s="73">
        <f t="shared" si="23"/>
        <v>43374</v>
      </c>
      <c r="D73" s="73">
        <f t="shared" si="24"/>
        <v>43465</v>
      </c>
      <c r="E73" s="72">
        <f t="shared" si="21"/>
        <v>92</v>
      </c>
      <c r="F73" s="74">
        <f>VLOOKUP(D73,'FERC Interest Rate'!$A:$B,2,TRUE)</f>
        <v>4.9599999999999998E-2</v>
      </c>
      <c r="G73" s="75">
        <f t="shared" si="22"/>
        <v>0</v>
      </c>
      <c r="H73" s="75">
        <v>0</v>
      </c>
      <c r="I73" s="99">
        <v>0</v>
      </c>
      <c r="J73" s="76">
        <v>0</v>
      </c>
      <c r="K73" s="116">
        <f t="shared" si="17"/>
        <v>0</v>
      </c>
      <c r="L73" s="76">
        <f t="shared" si="25"/>
        <v>0</v>
      </c>
      <c r="M73" s="117">
        <f t="shared" si="18"/>
        <v>0</v>
      </c>
      <c r="N73" s="116">
        <f t="shared" si="19"/>
        <v>0</v>
      </c>
      <c r="O73" s="75">
        <f t="shared" si="20"/>
        <v>0</v>
      </c>
      <c r="P73" s="75"/>
      <c r="Q73" s="75"/>
    </row>
    <row r="74" spans="2:17" x14ac:dyDescent="0.25">
      <c r="B74" s="72"/>
      <c r="C74" s="73">
        <f t="shared" si="23"/>
        <v>43466</v>
      </c>
      <c r="D74" s="73">
        <f t="shared" si="24"/>
        <v>43555</v>
      </c>
      <c r="E74" s="72">
        <f t="shared" si="21"/>
        <v>90</v>
      </c>
      <c r="F74" s="74">
        <f>VLOOKUP(D74,'FERC Interest Rate'!$A:$B,2,TRUE)</f>
        <v>5.1799999999999999E-2</v>
      </c>
      <c r="G74" s="75">
        <f t="shared" si="22"/>
        <v>0</v>
      </c>
      <c r="H74" s="75">
        <v>0</v>
      </c>
      <c r="I74" s="99">
        <v>0</v>
      </c>
      <c r="J74" s="76">
        <v>0</v>
      </c>
      <c r="K74" s="116">
        <f t="shared" si="17"/>
        <v>0</v>
      </c>
      <c r="L74" s="76">
        <f t="shared" si="25"/>
        <v>0</v>
      </c>
      <c r="M74" s="117">
        <f t="shared" si="18"/>
        <v>0</v>
      </c>
      <c r="N74" s="116">
        <f t="shared" si="19"/>
        <v>0</v>
      </c>
      <c r="O74" s="75">
        <f t="shared" si="20"/>
        <v>0</v>
      </c>
      <c r="P74" s="75"/>
      <c r="Q74" s="75"/>
    </row>
    <row r="75" spans="2:17" x14ac:dyDescent="0.25">
      <c r="B75" s="72"/>
      <c r="C75" s="73">
        <f t="shared" si="23"/>
        <v>43556</v>
      </c>
      <c r="D75" s="73">
        <f t="shared" si="24"/>
        <v>43646</v>
      </c>
      <c r="E75" s="72">
        <f t="shared" si="21"/>
        <v>91</v>
      </c>
      <c r="F75" s="74">
        <f>VLOOKUP(D75,'FERC Interest Rate'!$A:$B,2,TRUE)</f>
        <v>5.45E-2</v>
      </c>
      <c r="G75" s="75">
        <f t="shared" si="22"/>
        <v>0</v>
      </c>
      <c r="H75" s="75">
        <v>0</v>
      </c>
      <c r="I75" s="99">
        <v>0</v>
      </c>
      <c r="J75" s="76">
        <v>0</v>
      </c>
      <c r="K75" s="116">
        <f t="shared" si="17"/>
        <v>0</v>
      </c>
      <c r="L75" s="76">
        <f t="shared" si="25"/>
        <v>0</v>
      </c>
      <c r="M75" s="117">
        <f t="shared" si="18"/>
        <v>0</v>
      </c>
      <c r="N75" s="116">
        <f t="shared" si="19"/>
        <v>0</v>
      </c>
      <c r="O75" s="75">
        <f t="shared" si="20"/>
        <v>0</v>
      </c>
      <c r="P75" s="75"/>
      <c r="Q75" s="75"/>
    </row>
    <row r="76" spans="2:17" x14ac:dyDescent="0.25">
      <c r="B76" s="72"/>
      <c r="C76" s="73">
        <f t="shared" si="23"/>
        <v>43647</v>
      </c>
      <c r="D76" s="73">
        <f t="shared" si="24"/>
        <v>43738</v>
      </c>
      <c r="E76" s="72">
        <f t="shared" si="21"/>
        <v>92</v>
      </c>
      <c r="F76" s="74">
        <f>VLOOKUP(D76,'FERC Interest Rate'!$A:$B,2,TRUE)</f>
        <v>5.5E-2</v>
      </c>
      <c r="G76" s="75">
        <f t="shared" si="22"/>
        <v>0</v>
      </c>
      <c r="H76" s="75">
        <v>0</v>
      </c>
      <c r="I76" s="99">
        <v>0</v>
      </c>
      <c r="J76" s="76">
        <v>0</v>
      </c>
      <c r="K76" s="116">
        <f t="shared" si="17"/>
        <v>0</v>
      </c>
      <c r="L76" s="76">
        <f t="shared" si="25"/>
        <v>0</v>
      </c>
      <c r="M76" s="117">
        <f t="shared" si="18"/>
        <v>0</v>
      </c>
      <c r="N76" s="116">
        <f t="shared" si="19"/>
        <v>0</v>
      </c>
      <c r="O76" s="75">
        <f t="shared" si="20"/>
        <v>0</v>
      </c>
      <c r="P76" s="75"/>
      <c r="Q76" s="75"/>
    </row>
    <row r="77" spans="2:17" x14ac:dyDescent="0.25">
      <c r="B77" s="72"/>
      <c r="C77" s="73">
        <f t="shared" si="23"/>
        <v>43739</v>
      </c>
      <c r="D77" s="73">
        <f t="shared" si="24"/>
        <v>43830</v>
      </c>
      <c r="E77" s="72">
        <f t="shared" si="21"/>
        <v>92</v>
      </c>
      <c r="F77" s="74">
        <f>VLOOKUP(D77,'FERC Interest Rate'!$A:$B,2,TRUE)</f>
        <v>5.4199999999999998E-2</v>
      </c>
      <c r="G77" s="75">
        <f t="shared" si="22"/>
        <v>0</v>
      </c>
      <c r="H77" s="75">
        <v>0</v>
      </c>
      <c r="I77" s="99">
        <v>0</v>
      </c>
      <c r="J77" s="76">
        <v>0</v>
      </c>
      <c r="K77" s="116">
        <f t="shared" si="17"/>
        <v>0</v>
      </c>
      <c r="L77" s="76">
        <f t="shared" si="25"/>
        <v>0</v>
      </c>
      <c r="M77" s="117">
        <f t="shared" si="18"/>
        <v>0</v>
      </c>
      <c r="N77" s="116">
        <f t="shared" si="19"/>
        <v>0</v>
      </c>
      <c r="O77" s="75">
        <f t="shared" si="20"/>
        <v>0</v>
      </c>
      <c r="P77" s="75"/>
      <c r="Q77" s="75"/>
    </row>
    <row r="78" spans="2:17" x14ac:dyDescent="0.25">
      <c r="B78" s="72"/>
      <c r="C78" s="73">
        <f t="shared" si="23"/>
        <v>43831</v>
      </c>
      <c r="D78" s="73">
        <f t="shared" si="24"/>
        <v>43921</v>
      </c>
      <c r="E78" s="72">
        <f t="shared" si="21"/>
        <v>91</v>
      </c>
      <c r="F78" s="74">
        <f>VLOOKUP(D78,'FERC Interest Rate'!$A:$B,2,TRUE)</f>
        <v>4.9599999999999998E-2</v>
      </c>
      <c r="G78" s="75">
        <f t="shared" si="22"/>
        <v>0</v>
      </c>
      <c r="H78" s="75">
        <v>0</v>
      </c>
      <c r="I78" s="99">
        <v>0</v>
      </c>
      <c r="J78" s="76">
        <v>0</v>
      </c>
      <c r="K78" s="116">
        <f t="shared" si="17"/>
        <v>0</v>
      </c>
      <c r="L78" s="76">
        <f t="shared" si="25"/>
        <v>0</v>
      </c>
      <c r="M78" s="117">
        <f t="shared" si="18"/>
        <v>0</v>
      </c>
      <c r="N78" s="116">
        <f t="shared" si="19"/>
        <v>0</v>
      </c>
      <c r="O78" s="75">
        <f t="shared" si="20"/>
        <v>0</v>
      </c>
      <c r="P78" s="75"/>
      <c r="Q78" s="75"/>
    </row>
    <row r="79" spans="2:17" x14ac:dyDescent="0.25">
      <c r="B79" s="72"/>
      <c r="C79" s="73">
        <f t="shared" si="23"/>
        <v>43922</v>
      </c>
      <c r="D79" s="73">
        <f t="shared" si="24"/>
        <v>44012</v>
      </c>
      <c r="E79" s="72">
        <f t="shared" si="21"/>
        <v>91</v>
      </c>
      <c r="F79" s="74">
        <f>VLOOKUP(D79,'FERC Interest Rate'!$A:$B,2,TRUE)</f>
        <v>4.7503500000000004E-2</v>
      </c>
      <c r="G79" s="75">
        <f t="shared" si="22"/>
        <v>0</v>
      </c>
      <c r="H79" s="75">
        <v>0</v>
      </c>
      <c r="I79" s="99">
        <v>0</v>
      </c>
      <c r="J79" s="76">
        <v>0</v>
      </c>
      <c r="K79" s="116">
        <f t="shared" si="17"/>
        <v>0</v>
      </c>
      <c r="L79" s="76">
        <f t="shared" si="25"/>
        <v>0</v>
      </c>
      <c r="M79" s="117">
        <f t="shared" si="18"/>
        <v>0</v>
      </c>
      <c r="N79" s="116">
        <f t="shared" si="19"/>
        <v>0</v>
      </c>
      <c r="O79" s="75">
        <f t="shared" si="20"/>
        <v>0</v>
      </c>
      <c r="P79" s="75"/>
      <c r="Q79" s="75"/>
    </row>
    <row r="80" spans="2:17" x14ac:dyDescent="0.25">
      <c r="B80" s="72"/>
      <c r="C80" s="73">
        <f t="shared" si="23"/>
        <v>44013</v>
      </c>
      <c r="D80" s="73">
        <f t="shared" si="24"/>
        <v>44104</v>
      </c>
      <c r="E80" s="72">
        <f t="shared" si="21"/>
        <v>92</v>
      </c>
      <c r="F80" s="74">
        <f>VLOOKUP(D80,'FERC Interest Rate'!$A:$B,2,TRUE)</f>
        <v>4.7507929999999997E-2</v>
      </c>
      <c r="G80" s="75">
        <f t="shared" si="22"/>
        <v>0</v>
      </c>
      <c r="H80" s="75">
        <v>0</v>
      </c>
      <c r="I80" s="99">
        <v>0</v>
      </c>
      <c r="J80" s="76">
        <v>0</v>
      </c>
      <c r="K80" s="116">
        <f t="shared" si="17"/>
        <v>0</v>
      </c>
      <c r="L80" s="76">
        <f t="shared" si="25"/>
        <v>0</v>
      </c>
      <c r="M80" s="117">
        <f t="shared" si="18"/>
        <v>0</v>
      </c>
      <c r="N80" s="116">
        <f t="shared" si="19"/>
        <v>0</v>
      </c>
      <c r="O80" s="75">
        <f t="shared" si="20"/>
        <v>0</v>
      </c>
      <c r="P80" s="75"/>
      <c r="Q80" s="75"/>
    </row>
    <row r="81" spans="1:17" x14ac:dyDescent="0.25">
      <c r="B81" s="72"/>
      <c r="C81" s="73">
        <f t="shared" si="23"/>
        <v>44105</v>
      </c>
      <c r="D81" s="73">
        <f t="shared" si="24"/>
        <v>44196</v>
      </c>
      <c r="E81" s="72">
        <f t="shared" si="21"/>
        <v>92</v>
      </c>
      <c r="F81" s="74">
        <f>VLOOKUP(D81,'FERC Interest Rate'!$A:$B,2,TRUE)</f>
        <v>4.7922320000000004E-2</v>
      </c>
      <c r="G81" s="75">
        <f t="shared" si="22"/>
        <v>0</v>
      </c>
      <c r="H81" s="75">
        <v>0</v>
      </c>
      <c r="I81" s="99">
        <v>0</v>
      </c>
      <c r="J81" s="76">
        <v>0</v>
      </c>
      <c r="K81" s="116">
        <f t="shared" si="17"/>
        <v>0</v>
      </c>
      <c r="L81" s="76">
        <f t="shared" si="25"/>
        <v>0</v>
      </c>
      <c r="M81" s="117">
        <f t="shared" si="18"/>
        <v>0</v>
      </c>
      <c r="N81" s="116">
        <f t="shared" si="19"/>
        <v>0</v>
      </c>
      <c r="O81" s="75">
        <f t="shared" si="20"/>
        <v>0</v>
      </c>
      <c r="P81" s="75"/>
      <c r="Q81" s="75"/>
    </row>
    <row r="82" spans="1:17" x14ac:dyDescent="0.25">
      <c r="B82" s="72"/>
      <c r="C82" s="73">
        <f t="shared" si="23"/>
        <v>44197</v>
      </c>
      <c r="D82" s="73">
        <f t="shared" si="24"/>
        <v>44286</v>
      </c>
      <c r="E82" s="72">
        <f t="shared" si="21"/>
        <v>90</v>
      </c>
      <c r="F82" s="74">
        <f>VLOOKUP(D82,'FERC Interest Rate'!$A:$B,2,TRUE)</f>
        <v>5.0023470000000007E-2</v>
      </c>
      <c r="G82" s="75">
        <f t="shared" si="22"/>
        <v>0</v>
      </c>
      <c r="H82" s="75">
        <v>0</v>
      </c>
      <c r="I82" s="99">
        <v>0</v>
      </c>
      <c r="J82" s="76">
        <v>0</v>
      </c>
      <c r="K82" s="116">
        <f t="shared" si="17"/>
        <v>0</v>
      </c>
      <c r="L82" s="76">
        <f t="shared" si="25"/>
        <v>0</v>
      </c>
      <c r="M82" s="117">
        <f t="shared" si="18"/>
        <v>0</v>
      </c>
      <c r="N82" s="116">
        <f t="shared" si="19"/>
        <v>0</v>
      </c>
      <c r="O82" s="75">
        <f t="shared" si="20"/>
        <v>0</v>
      </c>
      <c r="P82" s="75"/>
      <c r="Q82" s="75"/>
    </row>
    <row r="83" spans="1:17" x14ac:dyDescent="0.25">
      <c r="B83" s="72"/>
      <c r="C83" s="73">
        <f t="shared" si="23"/>
        <v>44287</v>
      </c>
      <c r="D83" s="73">
        <f t="shared" si="24"/>
        <v>44377</v>
      </c>
      <c r="E83" s="72">
        <f t="shared" si="21"/>
        <v>91</v>
      </c>
      <c r="F83" s="74">
        <f>VLOOKUP(D83,'FERC Interest Rate'!$A:$B,2,TRUE)</f>
        <v>5.0403730000000001E-2</v>
      </c>
      <c r="G83" s="75">
        <f t="shared" si="22"/>
        <v>0</v>
      </c>
      <c r="H83" s="75">
        <v>0</v>
      </c>
      <c r="I83" s="99">
        <v>0</v>
      </c>
      <c r="J83" s="76">
        <v>0</v>
      </c>
      <c r="K83" s="116">
        <f t="shared" si="17"/>
        <v>0</v>
      </c>
      <c r="L83" s="76">
        <f t="shared" si="25"/>
        <v>0</v>
      </c>
      <c r="M83" s="117">
        <f t="shared" si="18"/>
        <v>0</v>
      </c>
      <c r="N83" s="116">
        <f t="shared" si="19"/>
        <v>0</v>
      </c>
      <c r="O83" s="75">
        <f t="shared" si="20"/>
        <v>0</v>
      </c>
      <c r="P83" s="75"/>
      <c r="Q83" s="75"/>
    </row>
    <row r="84" spans="1:17" x14ac:dyDescent="0.25">
      <c r="B84" s="72"/>
      <c r="C84" s="73">
        <f t="shared" si="23"/>
        <v>44378</v>
      </c>
      <c r="D84" s="73">
        <f t="shared" si="24"/>
        <v>44469</v>
      </c>
      <c r="E84" s="72">
        <f t="shared" si="21"/>
        <v>92</v>
      </c>
      <c r="F84" s="74">
        <f>VLOOKUP(D84,'FERC Interest Rate'!$A:$B,2,TRUE)</f>
        <v>5.2520850000000001E-2</v>
      </c>
      <c r="G84" s="75">
        <f t="shared" si="22"/>
        <v>0</v>
      </c>
      <c r="H84" s="75">
        <v>0</v>
      </c>
      <c r="I84" s="99">
        <v>0</v>
      </c>
      <c r="J84" s="76">
        <v>0</v>
      </c>
      <c r="K84" s="116">
        <f t="shared" si="17"/>
        <v>0</v>
      </c>
      <c r="L84" s="76">
        <f t="shared" si="25"/>
        <v>0</v>
      </c>
      <c r="M84" s="117">
        <f t="shared" si="18"/>
        <v>0</v>
      </c>
      <c r="N84" s="116">
        <f t="shared" si="19"/>
        <v>0</v>
      </c>
      <c r="O84" s="75">
        <f t="shared" si="20"/>
        <v>0</v>
      </c>
      <c r="P84" s="75"/>
      <c r="Q84" s="75"/>
    </row>
    <row r="85" spans="1:17" x14ac:dyDescent="0.25">
      <c r="B85" s="11"/>
      <c r="C85" s="79"/>
      <c r="D85" s="79"/>
      <c r="E85" s="10"/>
      <c r="F85" s="11"/>
      <c r="G85" s="76"/>
      <c r="H85" s="76"/>
      <c r="I85" s="119"/>
      <c r="J85" s="12"/>
      <c r="K85" s="12"/>
      <c r="L85" s="76"/>
      <c r="M85" s="118"/>
      <c r="N85" s="103"/>
    </row>
    <row r="86" spans="1:17" ht="13.5" thickBot="1" x14ac:dyDescent="0.35">
      <c r="A86" s="80"/>
      <c r="B86" s="80"/>
      <c r="C86" s="80"/>
      <c r="D86" s="80"/>
      <c r="E86" s="80"/>
      <c r="F86" s="80"/>
      <c r="G86" s="65">
        <f>+SUM(G57:G85)</f>
        <v>0</v>
      </c>
      <c r="H86" s="65">
        <f t="shared" ref="H86:O86" si="26">+SUM(H57:H85)</f>
        <v>0</v>
      </c>
      <c r="I86" s="104">
        <f t="shared" si="26"/>
        <v>0</v>
      </c>
      <c r="J86" s="65">
        <f t="shared" si="26"/>
        <v>0</v>
      </c>
      <c r="K86" s="65">
        <f t="shared" si="26"/>
        <v>0</v>
      </c>
      <c r="L86" s="65">
        <f t="shared" si="26"/>
        <v>0</v>
      </c>
      <c r="M86" s="105">
        <f t="shared" si="26"/>
        <v>0</v>
      </c>
      <c r="N86" s="65">
        <f t="shared" si="26"/>
        <v>0</v>
      </c>
      <c r="O86" s="65">
        <f t="shared" si="26"/>
        <v>0</v>
      </c>
      <c r="P86" s="178"/>
      <c r="Q86" s="178"/>
    </row>
    <row r="87" spans="1:17" ht="13.5" thickTop="1" thickBot="1" x14ac:dyDescent="0.3">
      <c r="I87" s="106"/>
      <c r="J87" s="107"/>
      <c r="K87" s="107"/>
      <c r="L87" s="107"/>
      <c r="M87" s="108"/>
    </row>
  </sheetData>
  <mergeCells count="1">
    <mergeCell ref="A33:B34"/>
  </mergeCells>
  <pageMargins left="0.25" right="0.25" top="0.75" bottom="0.75" header="0.3" footer="0.3"/>
  <pageSetup scale="52" fitToHeight="0" orientation="landscape" r:id="rId1"/>
  <headerFooter alignWithMargins="0">
    <oddHeader>&amp;RTO2021 Annual Update
Attachment 4
WP- Schedule 22 NUCs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87"/>
  <sheetViews>
    <sheetView view="pageLayout" zoomScale="50" zoomScaleNormal="40" zoomScalePageLayoutView="50" workbookViewId="0"/>
  </sheetViews>
  <sheetFormatPr defaultColWidth="9.1796875" defaultRowHeight="12.5" outlineLevelRow="1" x14ac:dyDescent="0.25"/>
  <cols>
    <col min="1" max="1" width="10.26953125" style="6" bestFit="1" customWidth="1"/>
    <col min="2" max="2" width="14.1796875" style="6" customWidth="1"/>
    <col min="3" max="4" width="13.26953125" style="6" customWidth="1"/>
    <col min="5" max="5" width="9.7265625" style="6" bestFit="1" customWidth="1"/>
    <col min="6" max="9" width="16.26953125" style="6" customWidth="1"/>
    <col min="10" max="10" width="17.453125" style="6" customWidth="1"/>
    <col min="11" max="15" width="16.26953125" style="6" customWidth="1"/>
    <col min="16" max="16384" width="9.1796875" style="6"/>
  </cols>
  <sheetData>
    <row r="1" spans="1:11" ht="26" x14ac:dyDescent="0.3">
      <c r="A1" s="81" t="s">
        <v>8</v>
      </c>
      <c r="B1" s="82" t="s">
        <v>86</v>
      </c>
      <c r="C1" s="81" t="s">
        <v>2</v>
      </c>
      <c r="D1" s="81" t="s">
        <v>1</v>
      </c>
      <c r="E1" s="82" t="s">
        <v>72</v>
      </c>
      <c r="F1" s="82" t="s">
        <v>47</v>
      </c>
    </row>
    <row r="2" spans="1:11" x14ac:dyDescent="0.25">
      <c r="A2" s="78" t="s">
        <v>52</v>
      </c>
      <c r="B2" s="3">
        <v>41958</v>
      </c>
      <c r="C2" s="4">
        <v>581000</v>
      </c>
      <c r="D2" s="4">
        <v>0</v>
      </c>
      <c r="E2" s="4">
        <v>0</v>
      </c>
      <c r="F2" s="7">
        <f>SUM(C2:E2)</f>
        <v>581000</v>
      </c>
    </row>
    <row r="3" spans="1:11" ht="12.75" customHeight="1" outlineLevel="1" x14ac:dyDescent="0.25">
      <c r="A3" s="78" t="s">
        <v>53</v>
      </c>
      <c r="B3" s="18" t="s">
        <v>21</v>
      </c>
      <c r="C3" s="4">
        <v>0</v>
      </c>
      <c r="D3" s="4">
        <v>0</v>
      </c>
      <c r="E3" s="4">
        <v>0</v>
      </c>
      <c r="F3" s="7">
        <f t="shared" ref="F3:F25" si="0">SUM(C3:E3)</f>
        <v>0</v>
      </c>
      <c r="H3" s="45"/>
      <c r="I3" s="45"/>
      <c r="J3" s="45"/>
      <c r="K3" s="45"/>
    </row>
    <row r="4" spans="1:1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5" outlineLevel="1" x14ac:dyDescent="0.25">
      <c r="A17" s="78" t="s">
        <v>67</v>
      </c>
      <c r="B17" s="18" t="s">
        <v>21</v>
      </c>
      <c r="C17" s="4">
        <v>0</v>
      </c>
      <c r="D17" s="4">
        <v>0</v>
      </c>
      <c r="E17" s="4">
        <v>0</v>
      </c>
      <c r="F17" s="7">
        <f t="shared" si="0"/>
        <v>0</v>
      </c>
      <c r="H17" s="15"/>
    </row>
    <row r="18" spans="1:15" outlineLevel="1" x14ac:dyDescent="0.25">
      <c r="A18" s="78" t="s">
        <v>68</v>
      </c>
      <c r="B18" s="18" t="s">
        <v>21</v>
      </c>
      <c r="C18" s="4">
        <v>0</v>
      </c>
      <c r="D18" s="4">
        <v>0</v>
      </c>
      <c r="E18" s="4">
        <v>0</v>
      </c>
      <c r="F18" s="7">
        <f t="shared" si="0"/>
        <v>0</v>
      </c>
      <c r="H18" s="15"/>
    </row>
    <row r="19" spans="1:15" outlineLevel="1" x14ac:dyDescent="0.25">
      <c r="A19" s="78" t="s">
        <v>69</v>
      </c>
      <c r="B19" s="18" t="s">
        <v>21</v>
      </c>
      <c r="C19" s="4">
        <v>0</v>
      </c>
      <c r="D19" s="4">
        <v>0</v>
      </c>
      <c r="E19" s="4">
        <v>0</v>
      </c>
      <c r="F19" s="7">
        <f t="shared" si="0"/>
        <v>0</v>
      </c>
    </row>
    <row r="20" spans="1:15" outlineLevel="1" x14ac:dyDescent="0.25">
      <c r="A20" s="78" t="s">
        <v>70</v>
      </c>
      <c r="B20" s="18" t="s">
        <v>21</v>
      </c>
      <c r="C20" s="4">
        <v>0</v>
      </c>
      <c r="D20" s="4">
        <v>0</v>
      </c>
      <c r="E20" s="4">
        <v>0</v>
      </c>
      <c r="F20" s="7">
        <f t="shared" si="0"/>
        <v>0</v>
      </c>
    </row>
    <row r="21" spans="1:15" outlineLevel="1" x14ac:dyDescent="0.25">
      <c r="A21" s="78" t="s">
        <v>71</v>
      </c>
      <c r="B21" s="18" t="s">
        <v>21</v>
      </c>
      <c r="C21" s="4">
        <v>0</v>
      </c>
      <c r="D21" s="4">
        <v>0</v>
      </c>
      <c r="E21" s="4">
        <v>0</v>
      </c>
      <c r="F21" s="7">
        <f t="shared" si="0"/>
        <v>0</v>
      </c>
    </row>
    <row r="22" spans="1:15" outlineLevel="1" x14ac:dyDescent="0.25">
      <c r="A22" s="83" t="s">
        <v>74</v>
      </c>
      <c r="B22" s="18" t="s">
        <v>21</v>
      </c>
      <c r="C22" s="4">
        <v>0</v>
      </c>
      <c r="D22" s="4">
        <v>0</v>
      </c>
      <c r="E22" s="4">
        <v>0</v>
      </c>
      <c r="F22" s="7">
        <f t="shared" si="0"/>
        <v>0</v>
      </c>
    </row>
    <row r="23" spans="1:15" outlineLevel="1" x14ac:dyDescent="0.25">
      <c r="A23" s="83" t="s">
        <v>75</v>
      </c>
      <c r="B23" s="18" t="s">
        <v>21</v>
      </c>
      <c r="C23" s="4">
        <v>0</v>
      </c>
      <c r="D23" s="4">
        <v>0</v>
      </c>
      <c r="E23" s="4">
        <v>0</v>
      </c>
      <c r="F23" s="7">
        <f t="shared" si="0"/>
        <v>0</v>
      </c>
    </row>
    <row r="24" spans="1:15" outlineLevel="1" x14ac:dyDescent="0.25">
      <c r="A24" s="83" t="s">
        <v>76</v>
      </c>
      <c r="B24" s="18" t="s">
        <v>21</v>
      </c>
      <c r="C24" s="4">
        <v>0</v>
      </c>
      <c r="D24" s="4">
        <v>0</v>
      </c>
      <c r="E24" s="4">
        <v>0</v>
      </c>
      <c r="F24" s="7">
        <f t="shared" si="0"/>
        <v>0</v>
      </c>
    </row>
    <row r="25" spans="1:15" ht="13" outlineLevel="1" thickBot="1" x14ac:dyDescent="0.3">
      <c r="A25" s="83" t="s">
        <v>77</v>
      </c>
      <c r="B25" s="18" t="s">
        <v>21</v>
      </c>
      <c r="C25" s="4">
        <v>0</v>
      </c>
      <c r="D25" s="4">
        <v>0</v>
      </c>
      <c r="E25" s="4">
        <v>0</v>
      </c>
      <c r="F25" s="7">
        <f t="shared" si="0"/>
        <v>0</v>
      </c>
    </row>
    <row r="26" spans="1:15" ht="13" x14ac:dyDescent="0.3">
      <c r="B26" s="20" t="s">
        <v>0</v>
      </c>
      <c r="C26" s="109">
        <f>SUM(C2:C2)</f>
        <v>581000</v>
      </c>
      <c r="D26" s="109">
        <f>SUM(D2:D2)</f>
        <v>0</v>
      </c>
      <c r="E26" s="109">
        <f>SUM(E2:E2)</f>
        <v>0</v>
      </c>
      <c r="F26" s="109">
        <f>SUM(C26:E26)</f>
        <v>581000</v>
      </c>
      <c r="H26" s="153"/>
      <c r="I26" s="149" t="s">
        <v>13</v>
      </c>
      <c r="J26" s="149" t="s">
        <v>12</v>
      </c>
      <c r="K26" s="150" t="s">
        <v>91</v>
      </c>
      <c r="L26" s="151"/>
      <c r="M26" s="152"/>
    </row>
    <row r="27" spans="1:15" ht="13" x14ac:dyDescent="0.3">
      <c r="A27" s="17" t="s">
        <v>18</v>
      </c>
      <c r="B27" s="18" t="s">
        <v>21</v>
      </c>
      <c r="C27" s="8">
        <v>0</v>
      </c>
      <c r="D27" s="8">
        <v>0</v>
      </c>
      <c r="E27" s="8">
        <v>0</v>
      </c>
      <c r="F27" s="8">
        <f>SUM(C27:E27)</f>
        <v>0</v>
      </c>
      <c r="H27" s="147" t="s">
        <v>10</v>
      </c>
      <c r="I27" s="84">
        <v>41952</v>
      </c>
      <c r="J27" s="85">
        <v>41952</v>
      </c>
      <c r="K27" s="86"/>
      <c r="L27" s="87"/>
      <c r="M27" s="88"/>
    </row>
    <row r="28" spans="1:15" ht="13.5" thickBot="1" x14ac:dyDescent="0.35">
      <c r="A28" s="17" t="s">
        <v>19</v>
      </c>
      <c r="B28" s="18" t="s">
        <v>21</v>
      </c>
      <c r="C28" s="8">
        <v>0</v>
      </c>
      <c r="D28" s="8">
        <v>0</v>
      </c>
      <c r="E28" s="8">
        <v>0</v>
      </c>
      <c r="F28" s="8">
        <f>SUM(C28:E28)</f>
        <v>0</v>
      </c>
      <c r="H28" s="148" t="s">
        <v>16</v>
      </c>
      <c r="I28" s="89">
        <v>41957</v>
      </c>
      <c r="J28" s="90">
        <v>41958</v>
      </c>
      <c r="K28" s="91"/>
      <c r="L28" s="92"/>
      <c r="M28" s="93"/>
    </row>
    <row r="29" spans="1:15" ht="13.5" thickBot="1" x14ac:dyDescent="0.35">
      <c r="A29" s="34"/>
      <c r="B29" s="66" t="s">
        <v>50</v>
      </c>
      <c r="C29" s="65">
        <f>+SUM(C26:C28)</f>
        <v>581000</v>
      </c>
      <c r="D29" s="65">
        <f>+SUM(D26:D28)</f>
        <v>0</v>
      </c>
      <c r="E29" s="65">
        <f>+SUM(E26:E28)</f>
        <v>0</v>
      </c>
      <c r="F29" s="65">
        <f>+SUM(F26:F28)</f>
        <v>581000</v>
      </c>
    </row>
    <row r="30" spans="1:15" ht="13.5" thickTop="1" thickBot="1" x14ac:dyDescent="0.3"/>
    <row r="31" spans="1:15" ht="13" x14ac:dyDescent="0.3">
      <c r="B31" s="19"/>
      <c r="C31" s="5"/>
      <c r="D31" s="17"/>
      <c r="I31" s="130"/>
      <c r="J31" s="113"/>
      <c r="K31" s="113"/>
      <c r="L31" s="113"/>
      <c r="M31" s="97"/>
    </row>
    <row r="32" spans="1:15"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row>
    <row r="33" spans="1:15" x14ac:dyDescent="0.25">
      <c r="A33" s="17" t="s">
        <v>52</v>
      </c>
      <c r="B33" s="72" t="str">
        <f t="shared" ref="B33:B52" si="1">+IF(MONTH(C33)&lt;4,"Q1",IF(MONTH(C33)&lt;7,"Q2",IF(MONTH(C33)&lt;10,"Q3","Q4")))&amp;"/"&amp;YEAR(C33)</f>
        <v>Q4/2014</v>
      </c>
      <c r="C33" s="132">
        <f>$J$27</f>
        <v>41952</v>
      </c>
      <c r="D33" s="132">
        <f>DATE(YEAR(C33),IF(MONTH(C33)&lt;=3,3,IF(MONTH(C33)&lt;=6,6,IF(MONTH(C33)&lt;=9,9,12))),IF(OR(MONTH(C33)&lt;=3,MONTH(C33)&gt;=10),31,30))</f>
        <v>42004</v>
      </c>
      <c r="E33" s="72">
        <f>D33-C33+1</f>
        <v>53</v>
      </c>
      <c r="F33" s="74">
        <f>VLOOKUP(D33,'FERC Interest Rate'!$A:$C,2,TRUE)</f>
        <v>3.2500000000000001E-2</v>
      </c>
      <c r="G33" s="75">
        <f>$C$26</f>
        <v>581000</v>
      </c>
      <c r="H33" s="75">
        <f>G33*F33*(E33/(DATE(YEAR(D33),12,31)-DATE(YEAR(D33),1,1)+1))</f>
        <v>2741.8424657534242</v>
      </c>
      <c r="I33" s="99">
        <f t="shared" ref="I33:I52" si="2">SUM($H$33:$H$53)/20</f>
        <v>137.0921232876712</v>
      </c>
      <c r="J33" s="75">
        <v>0</v>
      </c>
      <c r="K33" s="7">
        <f>+SUM(I33:J33)</f>
        <v>137.0921232876712</v>
      </c>
      <c r="L33" s="75">
        <f>$C$26/20</f>
        <v>29050</v>
      </c>
      <c r="M33" s="164">
        <f>+SUM(K33:L33)</f>
        <v>29187.092123287672</v>
      </c>
      <c r="N33" s="165">
        <f>+G33+H33+J33</f>
        <v>583741.84246575343</v>
      </c>
      <c r="O33" s="75">
        <f t="shared" ref="O33:O52" si="3">G33+H33-L33-I33</f>
        <v>554554.75034246582</v>
      </c>
    </row>
    <row r="34" spans="1:15" x14ac:dyDescent="0.25">
      <c r="A34" s="17" t="s">
        <v>53</v>
      </c>
      <c r="B34" s="72" t="str">
        <f t="shared" si="1"/>
        <v>Q1/2015</v>
      </c>
      <c r="C34" s="132">
        <f>D33+1</f>
        <v>42005</v>
      </c>
      <c r="D34" s="132">
        <f>EOMONTH(D33,3)</f>
        <v>42094</v>
      </c>
      <c r="E34" s="72">
        <f t="shared" ref="E34:E52" si="4">D34-C34+1</f>
        <v>90</v>
      </c>
      <c r="F34" s="74">
        <f>VLOOKUP(D34,'FERC Interest Rate'!$A:$C,2,TRUE)</f>
        <v>3.2500000000000001E-2</v>
      </c>
      <c r="G34" s="75">
        <f t="shared" ref="G34:G52" si="5">O33</f>
        <v>554554.75034246582</v>
      </c>
      <c r="H34" s="75">
        <v>0</v>
      </c>
      <c r="I34" s="99">
        <f t="shared" si="2"/>
        <v>137.0921232876712</v>
      </c>
      <c r="J34" s="75">
        <f t="shared" ref="J34:J52" si="6">G34*F34*(E34/(DATE(YEAR(D34),12,31)-DATE(YEAR(D34),1,1)+1))</f>
        <v>4444.0346431553771</v>
      </c>
      <c r="K34" s="7">
        <f t="shared" ref="K34:K52" si="7">+SUM(I34:J34)</f>
        <v>4581.1267664430479</v>
      </c>
      <c r="L34" s="75">
        <f>$C$26/20</f>
        <v>29050</v>
      </c>
      <c r="M34" s="164">
        <f t="shared" ref="M34:M52" si="8">+SUM(K34:L34)</f>
        <v>33631.126766443049</v>
      </c>
      <c r="N34" s="165">
        <f t="shared" ref="N34:N52" si="9">+G34+H34+J34</f>
        <v>558998.78498562123</v>
      </c>
      <c r="O34" s="75">
        <f t="shared" si="3"/>
        <v>525367.65821917821</v>
      </c>
    </row>
    <row r="35" spans="1:15" x14ac:dyDescent="0.25">
      <c r="A35" s="17" t="s">
        <v>54</v>
      </c>
      <c r="B35" s="72" t="str">
        <f t="shared" si="1"/>
        <v>Q2/2015</v>
      </c>
      <c r="C35" s="132">
        <f t="shared" ref="C35:C52" si="10">D34+1</f>
        <v>42095</v>
      </c>
      <c r="D35" s="132">
        <f t="shared" ref="D35:D52" si="11">EOMONTH(D34,3)</f>
        <v>42185</v>
      </c>
      <c r="E35" s="72">
        <f t="shared" si="4"/>
        <v>91</v>
      </c>
      <c r="F35" s="74">
        <f>VLOOKUP(D35,'FERC Interest Rate'!$A:$C,2,TRUE)</f>
        <v>3.2500000000000001E-2</v>
      </c>
      <c r="G35" s="75">
        <f t="shared" si="5"/>
        <v>525367.65821917821</v>
      </c>
      <c r="H35" s="75">
        <v>0</v>
      </c>
      <c r="I35" s="99">
        <f t="shared" si="2"/>
        <v>137.0921232876712</v>
      </c>
      <c r="J35" s="75">
        <f t="shared" si="6"/>
        <v>4256.9173950225195</v>
      </c>
      <c r="K35" s="7">
        <f t="shared" si="7"/>
        <v>4394.0095183101903</v>
      </c>
      <c r="L35" s="75">
        <f t="shared" ref="L35:L52" si="12">$C$26/20</f>
        <v>29050</v>
      </c>
      <c r="M35" s="164">
        <f t="shared" si="8"/>
        <v>33444.009518310188</v>
      </c>
      <c r="N35" s="165">
        <f t="shared" si="9"/>
        <v>529624.57561420067</v>
      </c>
      <c r="O35" s="75">
        <f t="shared" si="3"/>
        <v>496180.56609589054</v>
      </c>
    </row>
    <row r="36" spans="1:15" x14ac:dyDescent="0.25">
      <c r="A36" s="17" t="s">
        <v>55</v>
      </c>
      <c r="B36" s="72" t="str">
        <f t="shared" si="1"/>
        <v>Q3/2015</v>
      </c>
      <c r="C36" s="132">
        <f t="shared" si="10"/>
        <v>42186</v>
      </c>
      <c r="D36" s="132">
        <f t="shared" si="11"/>
        <v>42277</v>
      </c>
      <c r="E36" s="72">
        <f t="shared" si="4"/>
        <v>92</v>
      </c>
      <c r="F36" s="74">
        <f>VLOOKUP(D36,'FERC Interest Rate'!$A:$C,2,TRUE)</f>
        <v>3.2500000000000001E-2</v>
      </c>
      <c r="G36" s="75">
        <f t="shared" si="5"/>
        <v>496180.56609589054</v>
      </c>
      <c r="H36" s="75">
        <v>0</v>
      </c>
      <c r="I36" s="99">
        <f t="shared" si="2"/>
        <v>137.0921232876712</v>
      </c>
      <c r="J36" s="75">
        <f t="shared" si="6"/>
        <v>4064.6024455526381</v>
      </c>
      <c r="K36" s="7">
        <f t="shared" si="7"/>
        <v>4201.6945688403093</v>
      </c>
      <c r="L36" s="75">
        <f t="shared" si="12"/>
        <v>29050</v>
      </c>
      <c r="M36" s="164">
        <f t="shared" si="8"/>
        <v>33251.694568840307</v>
      </c>
      <c r="N36" s="165">
        <f t="shared" si="9"/>
        <v>500245.16854144318</v>
      </c>
      <c r="O36" s="75">
        <f t="shared" si="3"/>
        <v>466993.47397260286</v>
      </c>
    </row>
    <row r="37" spans="1:15" x14ac:dyDescent="0.25">
      <c r="A37" s="17" t="s">
        <v>56</v>
      </c>
      <c r="B37" s="72" t="str">
        <f t="shared" si="1"/>
        <v>Q4/2015</v>
      </c>
      <c r="C37" s="132">
        <f t="shared" si="10"/>
        <v>42278</v>
      </c>
      <c r="D37" s="132">
        <f t="shared" si="11"/>
        <v>42369</v>
      </c>
      <c r="E37" s="72">
        <f t="shared" si="4"/>
        <v>92</v>
      </c>
      <c r="F37" s="74">
        <f>VLOOKUP(D37,'FERC Interest Rate'!$A:$C,2,TRUE)</f>
        <v>3.2500000000000001E-2</v>
      </c>
      <c r="G37" s="75">
        <f t="shared" si="5"/>
        <v>466993.47397260286</v>
      </c>
      <c r="H37" s="75">
        <v>0</v>
      </c>
      <c r="I37" s="99">
        <f t="shared" si="2"/>
        <v>137.0921232876712</v>
      </c>
      <c r="J37" s="75">
        <f t="shared" si="6"/>
        <v>3825.5081840495413</v>
      </c>
      <c r="K37" s="7">
        <f t="shared" si="7"/>
        <v>3962.6003073372126</v>
      </c>
      <c r="L37" s="75">
        <f t="shared" si="12"/>
        <v>29050</v>
      </c>
      <c r="M37" s="164">
        <f t="shared" si="8"/>
        <v>33012.600307337212</v>
      </c>
      <c r="N37" s="165">
        <f t="shared" si="9"/>
        <v>470818.98215665243</v>
      </c>
      <c r="O37" s="75">
        <f t="shared" si="3"/>
        <v>437806.38184931519</v>
      </c>
    </row>
    <row r="38" spans="1:15" x14ac:dyDescent="0.25">
      <c r="A38" s="17" t="s">
        <v>57</v>
      </c>
      <c r="B38" s="72" t="str">
        <f t="shared" si="1"/>
        <v>Q1/2016</v>
      </c>
      <c r="C38" s="132">
        <f t="shared" si="10"/>
        <v>42370</v>
      </c>
      <c r="D38" s="132">
        <f t="shared" si="11"/>
        <v>42460</v>
      </c>
      <c r="E38" s="72">
        <f t="shared" si="4"/>
        <v>91</v>
      </c>
      <c r="F38" s="74">
        <f>VLOOKUP(D38,'FERC Interest Rate'!$A:$C,2,TRUE)</f>
        <v>3.2500000000000001E-2</v>
      </c>
      <c r="G38" s="75">
        <f t="shared" si="5"/>
        <v>437806.38184931519</v>
      </c>
      <c r="H38" s="75">
        <v>0</v>
      </c>
      <c r="I38" s="99">
        <f t="shared" si="2"/>
        <v>137.0921232876712</v>
      </c>
      <c r="J38" s="75">
        <f t="shared" si="6"/>
        <v>3537.7387276484965</v>
      </c>
      <c r="K38" s="7">
        <f t="shared" si="7"/>
        <v>3674.8308509361677</v>
      </c>
      <c r="L38" s="75">
        <f t="shared" si="12"/>
        <v>29050</v>
      </c>
      <c r="M38" s="164">
        <f t="shared" si="8"/>
        <v>32724.830850936167</v>
      </c>
      <c r="N38" s="165">
        <f t="shared" si="9"/>
        <v>441344.1205769637</v>
      </c>
      <c r="O38" s="75">
        <f t="shared" si="3"/>
        <v>408619.28972602752</v>
      </c>
    </row>
    <row r="39" spans="1:15" x14ac:dyDescent="0.25">
      <c r="A39" s="17" t="s">
        <v>58</v>
      </c>
      <c r="B39" s="72" t="str">
        <f t="shared" si="1"/>
        <v>Q2/2016</v>
      </c>
      <c r="C39" s="132">
        <f t="shared" si="10"/>
        <v>42461</v>
      </c>
      <c r="D39" s="132">
        <f t="shared" si="11"/>
        <v>42551</v>
      </c>
      <c r="E39" s="72">
        <f t="shared" si="4"/>
        <v>91</v>
      </c>
      <c r="F39" s="74">
        <f>VLOOKUP(D39,'FERC Interest Rate'!$A:$C,2,TRUE)</f>
        <v>3.4599999999999999E-2</v>
      </c>
      <c r="G39" s="75">
        <f t="shared" si="5"/>
        <v>408619.28972602752</v>
      </c>
      <c r="H39" s="75">
        <v>0</v>
      </c>
      <c r="I39" s="99">
        <f t="shared" si="2"/>
        <v>137.0921232876712</v>
      </c>
      <c r="J39" s="75">
        <f t="shared" si="6"/>
        <v>3515.2423377906289</v>
      </c>
      <c r="K39" s="7">
        <f t="shared" si="7"/>
        <v>3652.3344610783001</v>
      </c>
      <c r="L39" s="75">
        <f t="shared" si="12"/>
        <v>29050</v>
      </c>
      <c r="M39" s="164">
        <f t="shared" si="8"/>
        <v>32702.334461078299</v>
      </c>
      <c r="N39" s="165">
        <f t="shared" si="9"/>
        <v>412134.53206381813</v>
      </c>
      <c r="O39" s="75">
        <f t="shared" si="3"/>
        <v>379432.19760273985</v>
      </c>
    </row>
    <row r="40" spans="1:15" x14ac:dyDescent="0.25">
      <c r="A40" s="17" t="s">
        <v>59</v>
      </c>
      <c r="B40" s="72" t="str">
        <f t="shared" si="1"/>
        <v>Q3/2016</v>
      </c>
      <c r="C40" s="132">
        <f t="shared" si="10"/>
        <v>42552</v>
      </c>
      <c r="D40" s="132">
        <f t="shared" si="11"/>
        <v>42643</v>
      </c>
      <c r="E40" s="72">
        <f t="shared" si="4"/>
        <v>92</v>
      </c>
      <c r="F40" s="74">
        <f>VLOOKUP(D40,'FERC Interest Rate'!$A:$C,2,TRUE)</f>
        <v>3.5000000000000003E-2</v>
      </c>
      <c r="G40" s="75">
        <f t="shared" si="5"/>
        <v>379432.19760273985</v>
      </c>
      <c r="H40" s="75">
        <v>0</v>
      </c>
      <c r="I40" s="99">
        <f t="shared" si="2"/>
        <v>137.0921232876712</v>
      </c>
      <c r="J40" s="75">
        <f t="shared" si="6"/>
        <v>3338.1739789093508</v>
      </c>
      <c r="K40" s="7">
        <f t="shared" si="7"/>
        <v>3475.2661021970221</v>
      </c>
      <c r="L40" s="75">
        <f t="shared" si="12"/>
        <v>29050</v>
      </c>
      <c r="M40" s="164">
        <f t="shared" si="8"/>
        <v>32525.266102197023</v>
      </c>
      <c r="N40" s="165">
        <f t="shared" si="9"/>
        <v>382770.37158164917</v>
      </c>
      <c r="O40" s="75">
        <f t="shared" si="3"/>
        <v>350245.10547945218</v>
      </c>
    </row>
    <row r="41" spans="1:15" x14ac:dyDescent="0.25">
      <c r="A41" s="17" t="s">
        <v>60</v>
      </c>
      <c r="B41" s="72" t="str">
        <f t="shared" si="1"/>
        <v>Q4/2016</v>
      </c>
      <c r="C41" s="132">
        <f t="shared" si="10"/>
        <v>42644</v>
      </c>
      <c r="D41" s="132">
        <f t="shared" si="11"/>
        <v>42735</v>
      </c>
      <c r="E41" s="72">
        <f t="shared" si="4"/>
        <v>92</v>
      </c>
      <c r="F41" s="74">
        <f>VLOOKUP(D41,'FERC Interest Rate'!$A:$C,2,TRUE)</f>
        <v>3.5000000000000003E-2</v>
      </c>
      <c r="G41" s="75">
        <f t="shared" si="5"/>
        <v>350245.10547945218</v>
      </c>
      <c r="H41" s="75">
        <v>0</v>
      </c>
      <c r="I41" s="99">
        <f t="shared" si="2"/>
        <v>137.0921232876712</v>
      </c>
      <c r="J41" s="75">
        <f t="shared" si="6"/>
        <v>3081.3913651470934</v>
      </c>
      <c r="K41" s="7">
        <f t="shared" si="7"/>
        <v>3218.4834884347647</v>
      </c>
      <c r="L41" s="75">
        <f t="shared" si="12"/>
        <v>29050</v>
      </c>
      <c r="M41" s="164">
        <f t="shared" si="8"/>
        <v>32268.483488434766</v>
      </c>
      <c r="N41" s="165">
        <f t="shared" si="9"/>
        <v>353326.49684459926</v>
      </c>
      <c r="O41" s="75">
        <f t="shared" si="3"/>
        <v>321058.01335616451</v>
      </c>
    </row>
    <row r="42" spans="1:15" x14ac:dyDescent="0.25">
      <c r="A42" s="17" t="s">
        <v>61</v>
      </c>
      <c r="B42" s="72" t="str">
        <f t="shared" si="1"/>
        <v>Q1/2017</v>
      </c>
      <c r="C42" s="132">
        <f t="shared" si="10"/>
        <v>42736</v>
      </c>
      <c r="D42" s="132">
        <f t="shared" si="11"/>
        <v>42825</v>
      </c>
      <c r="E42" s="72">
        <f t="shared" si="4"/>
        <v>90</v>
      </c>
      <c r="F42" s="74">
        <f>VLOOKUP(D42,'FERC Interest Rate'!$A:$C,2,TRUE)</f>
        <v>3.5000000000000003E-2</v>
      </c>
      <c r="G42" s="75">
        <f t="shared" si="5"/>
        <v>321058.01335616451</v>
      </c>
      <c r="H42" s="75">
        <v>0</v>
      </c>
      <c r="I42" s="99">
        <f t="shared" si="2"/>
        <v>137.0921232876712</v>
      </c>
      <c r="J42" s="75">
        <f t="shared" si="6"/>
        <v>2770.7746358134746</v>
      </c>
      <c r="K42" s="7">
        <f t="shared" si="7"/>
        <v>2907.8667591011458</v>
      </c>
      <c r="L42" s="75">
        <f t="shared" si="12"/>
        <v>29050</v>
      </c>
      <c r="M42" s="164">
        <f t="shared" si="8"/>
        <v>31957.866759101147</v>
      </c>
      <c r="N42" s="165">
        <f t="shared" si="9"/>
        <v>323828.787991978</v>
      </c>
      <c r="O42" s="75">
        <f t="shared" si="3"/>
        <v>291870.92123287683</v>
      </c>
    </row>
    <row r="43" spans="1:15" x14ac:dyDescent="0.25">
      <c r="A43" s="17" t="s">
        <v>62</v>
      </c>
      <c r="B43" s="72" t="str">
        <f t="shared" si="1"/>
        <v>Q2/2017</v>
      </c>
      <c r="C43" s="132">
        <f t="shared" si="10"/>
        <v>42826</v>
      </c>
      <c r="D43" s="132">
        <f t="shared" si="11"/>
        <v>42916</v>
      </c>
      <c r="E43" s="72">
        <f t="shared" si="4"/>
        <v>91</v>
      </c>
      <c r="F43" s="74">
        <f>VLOOKUP(D43,'FERC Interest Rate'!$A:$C,2,TRUE)</f>
        <v>3.7100000000000001E-2</v>
      </c>
      <c r="G43" s="75">
        <f t="shared" si="5"/>
        <v>291870.92123287683</v>
      </c>
      <c r="H43" s="75">
        <v>0</v>
      </c>
      <c r="I43" s="99">
        <f t="shared" si="2"/>
        <v>137.0921232876712</v>
      </c>
      <c r="J43" s="75">
        <f t="shared" si="6"/>
        <v>2699.6860744501791</v>
      </c>
      <c r="K43" s="7">
        <f t="shared" si="7"/>
        <v>2836.7781977378504</v>
      </c>
      <c r="L43" s="75">
        <f t="shared" si="12"/>
        <v>29050</v>
      </c>
      <c r="M43" s="164">
        <f t="shared" si="8"/>
        <v>31886.778197737851</v>
      </c>
      <c r="N43" s="165">
        <f t="shared" si="9"/>
        <v>294570.60730732704</v>
      </c>
      <c r="O43" s="75">
        <f t="shared" si="3"/>
        <v>262683.82910958916</v>
      </c>
    </row>
    <row r="44" spans="1:15" x14ac:dyDescent="0.25">
      <c r="A44" s="17" t="s">
        <v>63</v>
      </c>
      <c r="B44" s="72" t="str">
        <f t="shared" si="1"/>
        <v>Q3/2017</v>
      </c>
      <c r="C44" s="132">
        <f t="shared" si="10"/>
        <v>42917</v>
      </c>
      <c r="D44" s="132">
        <f t="shared" si="11"/>
        <v>43008</v>
      </c>
      <c r="E44" s="72">
        <f t="shared" si="4"/>
        <v>92</v>
      </c>
      <c r="F44" s="74">
        <f>VLOOKUP(D44,'FERC Interest Rate'!$A:$C,2,TRUE)</f>
        <v>3.9600000000000003E-2</v>
      </c>
      <c r="G44" s="75">
        <f t="shared" si="5"/>
        <v>262683.82910958916</v>
      </c>
      <c r="H44" s="75">
        <v>0</v>
      </c>
      <c r="I44" s="99">
        <f t="shared" si="2"/>
        <v>137.0921232876712</v>
      </c>
      <c r="J44" s="75">
        <f t="shared" si="6"/>
        <v>2621.9444553754943</v>
      </c>
      <c r="K44" s="7">
        <f t="shared" si="7"/>
        <v>2759.0365786631655</v>
      </c>
      <c r="L44" s="75">
        <f t="shared" si="12"/>
        <v>29050</v>
      </c>
      <c r="M44" s="164">
        <f t="shared" si="8"/>
        <v>31809.036578663166</v>
      </c>
      <c r="N44" s="165">
        <f t="shared" si="9"/>
        <v>265305.77356496465</v>
      </c>
      <c r="O44" s="75">
        <f t="shared" si="3"/>
        <v>233496.73698630149</v>
      </c>
    </row>
    <row r="45" spans="1:15" x14ac:dyDescent="0.25">
      <c r="A45" s="17" t="s">
        <v>64</v>
      </c>
      <c r="B45" s="72" t="str">
        <f t="shared" si="1"/>
        <v>Q4/2017</v>
      </c>
      <c r="C45" s="132">
        <f t="shared" si="10"/>
        <v>43009</v>
      </c>
      <c r="D45" s="132">
        <f t="shared" si="11"/>
        <v>43100</v>
      </c>
      <c r="E45" s="72">
        <f t="shared" si="4"/>
        <v>92</v>
      </c>
      <c r="F45" s="74">
        <f>VLOOKUP(D45,'FERC Interest Rate'!$A:$C,2,TRUE)</f>
        <v>4.2099999999999999E-2</v>
      </c>
      <c r="G45" s="75">
        <f t="shared" si="5"/>
        <v>233496.73698630149</v>
      </c>
      <c r="H45" s="75">
        <v>0</v>
      </c>
      <c r="I45" s="99">
        <f t="shared" si="2"/>
        <v>137.0921232876712</v>
      </c>
      <c r="J45" s="75">
        <f t="shared" si="6"/>
        <v>2477.7522238228571</v>
      </c>
      <c r="K45" s="7">
        <f t="shared" si="7"/>
        <v>2614.8443471105284</v>
      </c>
      <c r="L45" s="75">
        <f t="shared" si="12"/>
        <v>29050</v>
      </c>
      <c r="M45" s="164">
        <f t="shared" si="8"/>
        <v>31664.844347110527</v>
      </c>
      <c r="N45" s="165">
        <f t="shared" si="9"/>
        <v>235974.48921012436</v>
      </c>
      <c r="O45" s="75">
        <f t="shared" si="3"/>
        <v>204309.64486301382</v>
      </c>
    </row>
    <row r="46" spans="1:15" x14ac:dyDescent="0.25">
      <c r="A46" s="17" t="s">
        <v>65</v>
      </c>
      <c r="B46" s="72" t="str">
        <f t="shared" si="1"/>
        <v>Q1/2018</v>
      </c>
      <c r="C46" s="132">
        <f t="shared" si="10"/>
        <v>43101</v>
      </c>
      <c r="D46" s="132">
        <f t="shared" si="11"/>
        <v>43190</v>
      </c>
      <c r="E46" s="72">
        <f t="shared" si="4"/>
        <v>90</v>
      </c>
      <c r="F46" s="74">
        <f>VLOOKUP(D46,'FERC Interest Rate'!$A:$C,2,TRUE)</f>
        <v>4.2500000000000003E-2</v>
      </c>
      <c r="G46" s="75">
        <f t="shared" si="5"/>
        <v>204309.64486301382</v>
      </c>
      <c r="H46" s="75">
        <v>0</v>
      </c>
      <c r="I46" s="99">
        <f t="shared" si="2"/>
        <v>137.0921232876712</v>
      </c>
      <c r="J46" s="75">
        <f t="shared" si="6"/>
        <v>2141.0531276740489</v>
      </c>
      <c r="K46" s="7">
        <f t="shared" si="7"/>
        <v>2278.1452509617202</v>
      </c>
      <c r="L46" s="75">
        <f t="shared" si="12"/>
        <v>29050</v>
      </c>
      <c r="M46" s="164">
        <f t="shared" si="8"/>
        <v>31328.145250961719</v>
      </c>
      <c r="N46" s="165">
        <f t="shared" si="9"/>
        <v>206450.69799068786</v>
      </c>
      <c r="O46" s="75">
        <f t="shared" si="3"/>
        <v>175122.55273972615</v>
      </c>
    </row>
    <row r="47" spans="1:15" x14ac:dyDescent="0.25">
      <c r="A47" s="17" t="s">
        <v>66</v>
      </c>
      <c r="B47" s="72" t="str">
        <f t="shared" si="1"/>
        <v>Q2/2018</v>
      </c>
      <c r="C47" s="132">
        <f t="shared" si="10"/>
        <v>43191</v>
      </c>
      <c r="D47" s="132">
        <f t="shared" si="11"/>
        <v>43281</v>
      </c>
      <c r="E47" s="72">
        <f t="shared" si="4"/>
        <v>91</v>
      </c>
      <c r="F47" s="74">
        <f>VLOOKUP(D47,'FERC Interest Rate'!$A:$C,2,TRUE)</f>
        <v>4.4699999999999997E-2</v>
      </c>
      <c r="G47" s="75">
        <f t="shared" si="5"/>
        <v>175122.55273972615</v>
      </c>
      <c r="H47" s="75">
        <v>0</v>
      </c>
      <c r="I47" s="99">
        <f t="shared" si="2"/>
        <v>137.0921232876712</v>
      </c>
      <c r="J47" s="75">
        <f t="shared" si="6"/>
        <v>1951.6328980257097</v>
      </c>
      <c r="K47" s="7">
        <f t="shared" si="7"/>
        <v>2088.7250213133807</v>
      </c>
      <c r="L47" s="75">
        <f t="shared" si="12"/>
        <v>29050</v>
      </c>
      <c r="M47" s="164">
        <f t="shared" si="8"/>
        <v>31138.725021313381</v>
      </c>
      <c r="N47" s="165">
        <f t="shared" si="9"/>
        <v>177074.18563775186</v>
      </c>
      <c r="O47" s="75">
        <f t="shared" si="3"/>
        <v>145935.46061643847</v>
      </c>
    </row>
    <row r="48" spans="1:15" x14ac:dyDescent="0.25">
      <c r="A48" s="17" t="s">
        <v>67</v>
      </c>
      <c r="B48" s="72" t="str">
        <f t="shared" si="1"/>
        <v>Q3/2018</v>
      </c>
      <c r="C48" s="132">
        <f t="shared" si="10"/>
        <v>43282</v>
      </c>
      <c r="D48" s="132">
        <f t="shared" si="11"/>
        <v>43373</v>
      </c>
      <c r="E48" s="72">
        <f t="shared" si="4"/>
        <v>92</v>
      </c>
      <c r="F48" s="74">
        <f>VLOOKUP(D48,'FERC Interest Rate'!$A:$C,2,TRUE)</f>
        <v>4.6899999999999997E-2</v>
      </c>
      <c r="G48" s="75">
        <f t="shared" si="5"/>
        <v>145935.46061643847</v>
      </c>
      <c r="H48" s="75">
        <v>0</v>
      </c>
      <c r="I48" s="99">
        <f t="shared" si="2"/>
        <v>137.0921232876712</v>
      </c>
      <c r="J48" s="75">
        <f t="shared" si="6"/>
        <v>1725.1570560761884</v>
      </c>
      <c r="K48" s="7">
        <f t="shared" si="7"/>
        <v>1862.2491793638596</v>
      </c>
      <c r="L48" s="75">
        <f t="shared" si="12"/>
        <v>29050</v>
      </c>
      <c r="M48" s="164">
        <f t="shared" si="8"/>
        <v>30912.249179363858</v>
      </c>
      <c r="N48" s="165">
        <f t="shared" si="9"/>
        <v>147660.61767251467</v>
      </c>
      <c r="O48" s="75">
        <f t="shared" si="3"/>
        <v>116748.3684931508</v>
      </c>
    </row>
    <row r="49" spans="1:15" x14ac:dyDescent="0.25">
      <c r="A49" s="17" t="s">
        <v>68</v>
      </c>
      <c r="B49" s="72" t="str">
        <f t="shared" si="1"/>
        <v>Q4/2018</v>
      </c>
      <c r="C49" s="132">
        <f t="shared" si="10"/>
        <v>43374</v>
      </c>
      <c r="D49" s="132">
        <f t="shared" si="11"/>
        <v>43465</v>
      </c>
      <c r="E49" s="72">
        <f t="shared" si="4"/>
        <v>92</v>
      </c>
      <c r="F49" s="74">
        <f>VLOOKUP(D49,'FERC Interest Rate'!$A:$C,2,TRUE)</f>
        <v>4.9599999999999998E-2</v>
      </c>
      <c r="G49" s="75">
        <f t="shared" si="5"/>
        <v>116748.3684931508</v>
      </c>
      <c r="H49" s="75">
        <v>0</v>
      </c>
      <c r="I49" s="99">
        <f t="shared" si="2"/>
        <v>137.0921232876712</v>
      </c>
      <c r="J49" s="75">
        <f t="shared" si="6"/>
        <v>1459.5785071450568</v>
      </c>
      <c r="K49" s="7">
        <f t="shared" si="7"/>
        <v>1596.6706304327281</v>
      </c>
      <c r="L49" s="75">
        <f t="shared" si="12"/>
        <v>29050</v>
      </c>
      <c r="M49" s="164">
        <f t="shared" si="8"/>
        <v>30646.670630432727</v>
      </c>
      <c r="N49" s="165">
        <f t="shared" si="9"/>
        <v>118207.94700029586</v>
      </c>
      <c r="O49" s="75">
        <f t="shared" si="3"/>
        <v>87561.276369863132</v>
      </c>
    </row>
    <row r="50" spans="1:15" x14ac:dyDescent="0.25">
      <c r="A50" s="17" t="s">
        <v>69</v>
      </c>
      <c r="B50" s="72" t="str">
        <f t="shared" si="1"/>
        <v>Q1/2019</v>
      </c>
      <c r="C50" s="132">
        <f t="shared" si="10"/>
        <v>43466</v>
      </c>
      <c r="D50" s="132">
        <f t="shared" si="11"/>
        <v>43555</v>
      </c>
      <c r="E50" s="72">
        <f t="shared" si="4"/>
        <v>90</v>
      </c>
      <c r="F50" s="74">
        <f>VLOOKUP(D50,'FERC Interest Rate'!$A:$C,2,TRUE)</f>
        <v>5.1799999999999999E-2</v>
      </c>
      <c r="G50" s="75">
        <f t="shared" si="5"/>
        <v>87561.276369863132</v>
      </c>
      <c r="H50" s="75">
        <v>0</v>
      </c>
      <c r="I50" s="99">
        <f t="shared" si="2"/>
        <v>137.0921232876712</v>
      </c>
      <c r="J50" s="75">
        <f t="shared" si="6"/>
        <v>1118.3853984556215</v>
      </c>
      <c r="K50" s="7">
        <f t="shared" si="7"/>
        <v>1255.4775217432928</v>
      </c>
      <c r="L50" s="75">
        <f t="shared" si="12"/>
        <v>29050</v>
      </c>
      <c r="M50" s="164">
        <f t="shared" si="8"/>
        <v>30305.477521743294</v>
      </c>
      <c r="N50" s="165">
        <f t="shared" si="9"/>
        <v>88679.661768318751</v>
      </c>
      <c r="O50" s="75">
        <f t="shared" si="3"/>
        <v>58374.18424657546</v>
      </c>
    </row>
    <row r="51" spans="1:15" x14ac:dyDescent="0.25">
      <c r="A51" s="17" t="s">
        <v>70</v>
      </c>
      <c r="B51" s="72" t="str">
        <f t="shared" si="1"/>
        <v>Q2/2019</v>
      </c>
      <c r="C51" s="132">
        <f t="shared" si="10"/>
        <v>43556</v>
      </c>
      <c r="D51" s="132">
        <f t="shared" si="11"/>
        <v>43646</v>
      </c>
      <c r="E51" s="72">
        <f t="shared" si="4"/>
        <v>91</v>
      </c>
      <c r="F51" s="74">
        <f>VLOOKUP(D51,'FERC Interest Rate'!$A:$C,2,TRUE)</f>
        <v>5.45E-2</v>
      </c>
      <c r="G51" s="75">
        <f t="shared" si="5"/>
        <v>58374.18424657546</v>
      </c>
      <c r="H51" s="75">
        <v>0</v>
      </c>
      <c r="I51" s="99">
        <f t="shared" si="2"/>
        <v>137.0921232876712</v>
      </c>
      <c r="J51" s="75">
        <f t="shared" si="6"/>
        <v>793.16922402983835</v>
      </c>
      <c r="K51" s="7">
        <f t="shared" si="7"/>
        <v>930.26134731750949</v>
      </c>
      <c r="L51" s="75">
        <f t="shared" si="12"/>
        <v>29050</v>
      </c>
      <c r="M51" s="164">
        <f t="shared" si="8"/>
        <v>29980.261347317508</v>
      </c>
      <c r="N51" s="165">
        <f t="shared" si="9"/>
        <v>59167.353470605296</v>
      </c>
      <c r="O51" s="75">
        <f t="shared" si="3"/>
        <v>29187.092123287788</v>
      </c>
    </row>
    <row r="52" spans="1:15" x14ac:dyDescent="0.25">
      <c r="A52" s="17" t="s">
        <v>71</v>
      </c>
      <c r="B52" s="72" t="str">
        <f t="shared" si="1"/>
        <v>Q3/2019</v>
      </c>
      <c r="C52" s="132">
        <f t="shared" si="10"/>
        <v>43647</v>
      </c>
      <c r="D52" s="132">
        <f t="shared" si="11"/>
        <v>43738</v>
      </c>
      <c r="E52" s="72">
        <f t="shared" si="4"/>
        <v>92</v>
      </c>
      <c r="F52" s="74">
        <f>VLOOKUP(D52,'FERC Interest Rate'!$A:$C,2,TRUE)</f>
        <v>5.5E-2</v>
      </c>
      <c r="G52" s="75">
        <f t="shared" si="5"/>
        <v>29187.092123287788</v>
      </c>
      <c r="H52" s="75">
        <v>0</v>
      </c>
      <c r="I52" s="99">
        <f t="shared" si="2"/>
        <v>137.0921232876712</v>
      </c>
      <c r="J52" s="75">
        <f t="shared" si="6"/>
        <v>404.62105792831841</v>
      </c>
      <c r="K52" s="7">
        <f t="shared" si="7"/>
        <v>541.71318121598961</v>
      </c>
      <c r="L52" s="75">
        <f t="shared" si="12"/>
        <v>29050</v>
      </c>
      <c r="M52" s="164">
        <f t="shared" si="8"/>
        <v>29591.71318121599</v>
      </c>
      <c r="N52" s="165">
        <f t="shared" si="9"/>
        <v>29591.713181216106</v>
      </c>
      <c r="O52" s="75">
        <f t="shared" si="3"/>
        <v>1.1692691259668209E-10</v>
      </c>
    </row>
    <row r="53" spans="1:15" x14ac:dyDescent="0.25">
      <c r="B53" s="11"/>
      <c r="C53" s="111"/>
      <c r="D53" s="111"/>
      <c r="E53" s="10"/>
      <c r="F53" s="11"/>
      <c r="G53" s="75"/>
      <c r="H53" s="7"/>
      <c r="I53" s="166"/>
      <c r="J53" s="75"/>
      <c r="K53" s="7"/>
      <c r="L53" s="7"/>
      <c r="M53" s="164"/>
      <c r="N53" s="165"/>
      <c r="O53" s="75"/>
    </row>
    <row r="54" spans="1:15" ht="13.5" thickBot="1" x14ac:dyDescent="0.35">
      <c r="A54" s="80"/>
      <c r="B54" s="123"/>
      <c r="C54" s="138"/>
      <c r="D54" s="138"/>
      <c r="E54" s="122"/>
      <c r="F54" s="123"/>
      <c r="G54" s="131">
        <f>+SUM(G33:G53)</f>
        <v>6126547.5034246603</v>
      </c>
      <c r="H54" s="124">
        <f t="shared" ref="H54:O54" si="13">+SUM(H33:H53)</f>
        <v>2741.8424657534242</v>
      </c>
      <c r="I54" s="125">
        <f t="shared" si="13"/>
        <v>2741.8424657534247</v>
      </c>
      <c r="J54" s="131">
        <f t="shared" si="13"/>
        <v>50227.363736072431</v>
      </c>
      <c r="K54" s="124">
        <f t="shared" si="13"/>
        <v>52969.206201825858</v>
      </c>
      <c r="L54" s="124">
        <f t="shared" si="13"/>
        <v>581000</v>
      </c>
      <c r="M54" s="126">
        <f t="shared" si="13"/>
        <v>633969.20620182599</v>
      </c>
      <c r="N54" s="124">
        <f t="shared" si="13"/>
        <v>6179516.7096264856</v>
      </c>
      <c r="O54" s="131">
        <f t="shared" si="13"/>
        <v>5545547.5034246612</v>
      </c>
    </row>
    <row r="55" spans="1:15" ht="13" thickTop="1" x14ac:dyDescent="0.25">
      <c r="B55" s="2"/>
      <c r="C55" s="9"/>
      <c r="D55" s="9"/>
      <c r="E55" s="10"/>
      <c r="F55" s="11"/>
      <c r="G55" s="16"/>
      <c r="H55" s="14"/>
      <c r="I55" s="101"/>
      <c r="J55" s="16"/>
      <c r="K55" s="103"/>
      <c r="L55" s="14"/>
      <c r="M55" s="118"/>
      <c r="O55" s="103"/>
    </row>
    <row r="56" spans="1:15" ht="37" x14ac:dyDescent="0.3">
      <c r="A56" s="77" t="s">
        <v>51</v>
      </c>
      <c r="B56" s="77" t="s">
        <v>3</v>
      </c>
      <c r="C56" s="77" t="s">
        <v>4</v>
      </c>
      <c r="D56" s="77" t="s">
        <v>5</v>
      </c>
      <c r="E56" s="77" t="s">
        <v>6</v>
      </c>
      <c r="F56" s="77" t="s">
        <v>7</v>
      </c>
      <c r="G56" s="77" t="s">
        <v>78</v>
      </c>
      <c r="H56" s="77" t="s">
        <v>79</v>
      </c>
      <c r="I56" s="94" t="s">
        <v>80</v>
      </c>
      <c r="J56" s="95" t="s">
        <v>81</v>
      </c>
      <c r="K56" s="95" t="s">
        <v>82</v>
      </c>
      <c r="L56" s="95" t="s">
        <v>83</v>
      </c>
      <c r="M56" s="96" t="s">
        <v>73</v>
      </c>
      <c r="N56" s="77" t="s">
        <v>84</v>
      </c>
      <c r="O56" s="77" t="s">
        <v>85</v>
      </c>
    </row>
    <row r="57" spans="1:15" x14ac:dyDescent="0.25">
      <c r="B57" s="72"/>
      <c r="C57" s="73">
        <f>B2</f>
        <v>41958</v>
      </c>
      <c r="D57" s="73">
        <f>DATE(YEAR(C57),IF(MONTH(C57)&lt;=3,3,IF(MONTH(C57)&lt;=6,6,IF(MONTH(C57)&lt;=9,9,12))),IF(OR(MONTH(C57)&lt;=3,MONTH(C57)&gt;=10),31,30))</f>
        <v>42004</v>
      </c>
      <c r="E57" s="72">
        <f>D57-C57+1</f>
        <v>47</v>
      </c>
      <c r="F57" s="74">
        <f>VLOOKUP(D57,'FERC Interest Rate'!$A:$B,2,TRUE)</f>
        <v>3.2500000000000001E-2</v>
      </c>
      <c r="G57" s="75">
        <f>$E$2</f>
        <v>0</v>
      </c>
      <c r="H57" s="75">
        <f t="shared" ref="H57:H64" si="14">G57*F57*(E57/(DATE(YEAR(D57),12,31)-DATE(YEAR(D57),1,1)+1))</f>
        <v>0</v>
      </c>
      <c r="I57" s="99">
        <v>0</v>
      </c>
      <c r="J57" s="76">
        <v>0</v>
      </c>
      <c r="K57" s="116">
        <f t="shared" ref="K57:K84" si="15">+SUM(I57:J57)</f>
        <v>0</v>
      </c>
      <c r="L57" s="76">
        <v>0</v>
      </c>
      <c r="M57" s="117">
        <f t="shared" ref="M57:M84" si="16">+SUM(K57:L57)</f>
        <v>0</v>
      </c>
      <c r="N57" s="8">
        <f t="shared" ref="N57:N84" si="17">+G57+H57+J57</f>
        <v>0</v>
      </c>
      <c r="O57" s="75">
        <f t="shared" ref="O57:O84" si="18">G57+H57-L57-I57</f>
        <v>0</v>
      </c>
    </row>
    <row r="58" spans="1:15" x14ac:dyDescent="0.25">
      <c r="B58" s="72"/>
      <c r="C58" s="73">
        <f>D57+1</f>
        <v>42005</v>
      </c>
      <c r="D58" s="73">
        <f>EOMONTH(D57,3)</f>
        <v>42094</v>
      </c>
      <c r="E58" s="72">
        <f t="shared" ref="E58:E84" si="19">D58-C58+1</f>
        <v>90</v>
      </c>
      <c r="F58" s="74">
        <f>VLOOKUP(D58,'FERC Interest Rate'!$A:$B,2,TRUE)</f>
        <v>3.2500000000000001E-2</v>
      </c>
      <c r="G58" s="75">
        <f t="shared" ref="G58:G84" si="20">O57</f>
        <v>0</v>
      </c>
      <c r="H58" s="75">
        <f t="shared" si="14"/>
        <v>0</v>
      </c>
      <c r="I58" s="99">
        <v>0</v>
      </c>
      <c r="J58" s="76">
        <v>0</v>
      </c>
      <c r="K58" s="116">
        <f t="shared" si="15"/>
        <v>0</v>
      </c>
      <c r="L58" s="76">
        <v>0</v>
      </c>
      <c r="M58" s="117">
        <f t="shared" si="16"/>
        <v>0</v>
      </c>
      <c r="N58" s="8">
        <f t="shared" si="17"/>
        <v>0</v>
      </c>
      <c r="O58" s="75">
        <f t="shared" si="18"/>
        <v>0</v>
      </c>
    </row>
    <row r="59" spans="1:15" x14ac:dyDescent="0.25">
      <c r="B59" s="72"/>
      <c r="C59" s="73">
        <f t="shared" ref="C59:C84" si="21">D58+1</f>
        <v>42095</v>
      </c>
      <c r="D59" s="73">
        <f t="shared" ref="D59:D84" si="22">EOMONTH(D58,3)</f>
        <v>42185</v>
      </c>
      <c r="E59" s="72">
        <f t="shared" si="19"/>
        <v>91</v>
      </c>
      <c r="F59" s="74">
        <f>VLOOKUP(D59,'FERC Interest Rate'!$A:$B,2,TRUE)</f>
        <v>3.2500000000000001E-2</v>
      </c>
      <c r="G59" s="75">
        <f t="shared" si="20"/>
        <v>0</v>
      </c>
      <c r="H59" s="75">
        <f t="shared" si="14"/>
        <v>0</v>
      </c>
      <c r="I59" s="99">
        <v>0</v>
      </c>
      <c r="J59" s="76">
        <v>0</v>
      </c>
      <c r="K59" s="116">
        <f t="shared" si="15"/>
        <v>0</v>
      </c>
      <c r="L59" s="76">
        <v>0</v>
      </c>
      <c r="M59" s="117">
        <f t="shared" si="16"/>
        <v>0</v>
      </c>
      <c r="N59" s="8">
        <f t="shared" si="17"/>
        <v>0</v>
      </c>
      <c r="O59" s="75">
        <f t="shared" si="18"/>
        <v>0</v>
      </c>
    </row>
    <row r="60" spans="1:15" x14ac:dyDescent="0.25">
      <c r="B60" s="72"/>
      <c r="C60" s="73">
        <f t="shared" si="21"/>
        <v>42186</v>
      </c>
      <c r="D60" s="73">
        <f t="shared" si="22"/>
        <v>42277</v>
      </c>
      <c r="E60" s="72">
        <f t="shared" si="19"/>
        <v>92</v>
      </c>
      <c r="F60" s="74">
        <f>VLOOKUP(D60,'FERC Interest Rate'!$A:$B,2,TRUE)</f>
        <v>3.2500000000000001E-2</v>
      </c>
      <c r="G60" s="75">
        <f t="shared" si="20"/>
        <v>0</v>
      </c>
      <c r="H60" s="75">
        <f t="shared" si="14"/>
        <v>0</v>
      </c>
      <c r="I60" s="99">
        <v>0</v>
      </c>
      <c r="J60" s="76">
        <v>0</v>
      </c>
      <c r="K60" s="116">
        <f t="shared" si="15"/>
        <v>0</v>
      </c>
      <c r="L60" s="76">
        <v>0</v>
      </c>
      <c r="M60" s="117">
        <f t="shared" si="16"/>
        <v>0</v>
      </c>
      <c r="N60" s="8">
        <f t="shared" si="17"/>
        <v>0</v>
      </c>
      <c r="O60" s="75">
        <f t="shared" si="18"/>
        <v>0</v>
      </c>
    </row>
    <row r="61" spans="1:15" x14ac:dyDescent="0.25">
      <c r="B61" s="72"/>
      <c r="C61" s="73">
        <f t="shared" si="21"/>
        <v>42278</v>
      </c>
      <c r="D61" s="73">
        <f t="shared" si="22"/>
        <v>42369</v>
      </c>
      <c r="E61" s="72">
        <f t="shared" si="19"/>
        <v>92</v>
      </c>
      <c r="F61" s="74">
        <f>VLOOKUP(D61,'FERC Interest Rate'!$A:$B,2,TRUE)</f>
        <v>3.2500000000000001E-2</v>
      </c>
      <c r="G61" s="75">
        <f t="shared" si="20"/>
        <v>0</v>
      </c>
      <c r="H61" s="75">
        <f t="shared" si="14"/>
        <v>0</v>
      </c>
      <c r="I61" s="99">
        <v>0</v>
      </c>
      <c r="J61" s="76">
        <v>0</v>
      </c>
      <c r="K61" s="116">
        <f t="shared" si="15"/>
        <v>0</v>
      </c>
      <c r="L61" s="76">
        <v>0</v>
      </c>
      <c r="M61" s="117">
        <f t="shared" si="16"/>
        <v>0</v>
      </c>
      <c r="N61" s="8">
        <f t="shared" si="17"/>
        <v>0</v>
      </c>
      <c r="O61" s="75">
        <f t="shared" si="18"/>
        <v>0</v>
      </c>
    </row>
    <row r="62" spans="1:15" x14ac:dyDescent="0.25">
      <c r="B62" s="72"/>
      <c r="C62" s="73">
        <f t="shared" si="21"/>
        <v>42370</v>
      </c>
      <c r="D62" s="73">
        <f t="shared" si="22"/>
        <v>42460</v>
      </c>
      <c r="E62" s="72">
        <f t="shared" si="19"/>
        <v>91</v>
      </c>
      <c r="F62" s="74">
        <f>VLOOKUP(D62,'FERC Interest Rate'!$A:$B,2,TRUE)</f>
        <v>3.2500000000000001E-2</v>
      </c>
      <c r="G62" s="75">
        <f t="shared" si="20"/>
        <v>0</v>
      </c>
      <c r="H62" s="75">
        <f t="shared" si="14"/>
        <v>0</v>
      </c>
      <c r="I62" s="99">
        <v>0</v>
      </c>
      <c r="J62" s="76">
        <v>0</v>
      </c>
      <c r="K62" s="116">
        <f t="shared" si="15"/>
        <v>0</v>
      </c>
      <c r="L62" s="76">
        <v>0</v>
      </c>
      <c r="M62" s="117">
        <f t="shared" si="16"/>
        <v>0</v>
      </c>
      <c r="N62" s="8">
        <f t="shared" si="17"/>
        <v>0</v>
      </c>
      <c r="O62" s="75">
        <f t="shared" si="18"/>
        <v>0</v>
      </c>
    </row>
    <row r="63" spans="1:15" x14ac:dyDescent="0.25">
      <c r="B63" s="72"/>
      <c r="C63" s="73">
        <f t="shared" si="21"/>
        <v>42461</v>
      </c>
      <c r="D63" s="73">
        <f t="shared" si="22"/>
        <v>42551</v>
      </c>
      <c r="E63" s="72">
        <f t="shared" si="19"/>
        <v>91</v>
      </c>
      <c r="F63" s="74">
        <f>VLOOKUP(D63,'FERC Interest Rate'!$A:$B,2,TRUE)</f>
        <v>3.4599999999999999E-2</v>
      </c>
      <c r="G63" s="75">
        <f t="shared" si="20"/>
        <v>0</v>
      </c>
      <c r="H63" s="75">
        <f t="shared" si="14"/>
        <v>0</v>
      </c>
      <c r="I63" s="99">
        <v>0</v>
      </c>
      <c r="J63" s="76">
        <v>0</v>
      </c>
      <c r="K63" s="116">
        <f t="shared" si="15"/>
        <v>0</v>
      </c>
      <c r="L63" s="76">
        <v>0</v>
      </c>
      <c r="M63" s="117">
        <f t="shared" si="16"/>
        <v>0</v>
      </c>
      <c r="N63" s="8">
        <f t="shared" si="17"/>
        <v>0</v>
      </c>
      <c r="O63" s="75">
        <f t="shared" si="18"/>
        <v>0</v>
      </c>
    </row>
    <row r="64" spans="1:15" x14ac:dyDescent="0.25">
      <c r="B64" s="72"/>
      <c r="C64" s="73">
        <f t="shared" si="21"/>
        <v>42552</v>
      </c>
      <c r="D64" s="73">
        <f t="shared" si="22"/>
        <v>42643</v>
      </c>
      <c r="E64" s="72">
        <f t="shared" si="19"/>
        <v>92</v>
      </c>
      <c r="F64" s="74">
        <f>VLOOKUP(D64,'FERC Interest Rate'!$A:$B,2,TRUE)</f>
        <v>3.5000000000000003E-2</v>
      </c>
      <c r="G64" s="75">
        <f t="shared" si="20"/>
        <v>0</v>
      </c>
      <c r="H64" s="75">
        <f t="shared" si="14"/>
        <v>0</v>
      </c>
      <c r="I64" s="99">
        <v>0</v>
      </c>
      <c r="J64" s="76">
        <v>0</v>
      </c>
      <c r="K64" s="116">
        <f t="shared" si="15"/>
        <v>0</v>
      </c>
      <c r="L64" s="76">
        <v>0</v>
      </c>
      <c r="M64" s="117">
        <f t="shared" si="16"/>
        <v>0</v>
      </c>
      <c r="N64" s="8">
        <f t="shared" si="17"/>
        <v>0</v>
      </c>
      <c r="O64" s="75">
        <f t="shared" si="18"/>
        <v>0</v>
      </c>
    </row>
    <row r="65" spans="2:15" x14ac:dyDescent="0.25">
      <c r="B65" s="72"/>
      <c r="C65" s="73">
        <f t="shared" si="21"/>
        <v>42644</v>
      </c>
      <c r="D65" s="73">
        <f t="shared" si="22"/>
        <v>42735</v>
      </c>
      <c r="E65" s="72">
        <f t="shared" si="19"/>
        <v>92</v>
      </c>
      <c r="F65" s="74">
        <f>VLOOKUP(D65,'FERC Interest Rate'!$A:$B,2,TRUE)</f>
        <v>3.5000000000000003E-2</v>
      </c>
      <c r="G65" s="75">
        <f t="shared" si="20"/>
        <v>0</v>
      </c>
      <c r="H65" s="75">
        <v>0</v>
      </c>
      <c r="I65" s="99">
        <f>SUM($I$88:$I$116)/20</f>
        <v>0</v>
      </c>
      <c r="J65" s="76">
        <f t="shared" ref="J65:J82" si="23">G65*F65*(E65/(DATE(YEAR(D65),12,31)-DATE(YEAR(D65),1,1)+1))</f>
        <v>0</v>
      </c>
      <c r="K65" s="116">
        <f t="shared" si="15"/>
        <v>0</v>
      </c>
      <c r="L65" s="76">
        <f>$F$88/20</f>
        <v>0</v>
      </c>
      <c r="M65" s="117">
        <f t="shared" si="16"/>
        <v>0</v>
      </c>
      <c r="N65" s="8">
        <f t="shared" si="17"/>
        <v>0</v>
      </c>
      <c r="O65" s="75">
        <f t="shared" si="18"/>
        <v>0</v>
      </c>
    </row>
    <row r="66" spans="2:15" x14ac:dyDescent="0.25">
      <c r="B66" s="72"/>
      <c r="C66" s="73">
        <f t="shared" si="21"/>
        <v>42736</v>
      </c>
      <c r="D66" s="73">
        <f t="shared" si="22"/>
        <v>42825</v>
      </c>
      <c r="E66" s="72">
        <f t="shared" si="19"/>
        <v>90</v>
      </c>
      <c r="F66" s="74">
        <f>VLOOKUP(D66,'FERC Interest Rate'!$A:$B,2,TRUE)</f>
        <v>3.5000000000000003E-2</v>
      </c>
      <c r="G66" s="75">
        <f t="shared" si="20"/>
        <v>0</v>
      </c>
      <c r="H66" s="75">
        <v>0</v>
      </c>
      <c r="I66" s="99">
        <f t="shared" ref="I66:I84" si="24">SUM($I$88:$I$116)/20</f>
        <v>0</v>
      </c>
      <c r="J66" s="76">
        <f t="shared" si="23"/>
        <v>0</v>
      </c>
      <c r="K66" s="116">
        <f t="shared" si="15"/>
        <v>0</v>
      </c>
      <c r="L66" s="76">
        <f t="shared" ref="L66:L84" si="25">$F$88/20</f>
        <v>0</v>
      </c>
      <c r="M66" s="117">
        <f t="shared" si="16"/>
        <v>0</v>
      </c>
      <c r="N66" s="8">
        <f t="shared" si="17"/>
        <v>0</v>
      </c>
      <c r="O66" s="75">
        <f t="shared" si="18"/>
        <v>0</v>
      </c>
    </row>
    <row r="67" spans="2:15" x14ac:dyDescent="0.25">
      <c r="B67" s="72"/>
      <c r="C67" s="73">
        <f t="shared" si="21"/>
        <v>42826</v>
      </c>
      <c r="D67" s="73">
        <f t="shared" si="22"/>
        <v>42916</v>
      </c>
      <c r="E67" s="72">
        <f t="shared" si="19"/>
        <v>91</v>
      </c>
      <c r="F67" s="74">
        <f>VLOOKUP(D67,'FERC Interest Rate'!$A:$B,2,TRUE)</f>
        <v>3.7100000000000001E-2</v>
      </c>
      <c r="G67" s="75">
        <f t="shared" si="20"/>
        <v>0</v>
      </c>
      <c r="H67" s="75">
        <v>0</v>
      </c>
      <c r="I67" s="99">
        <f t="shared" si="24"/>
        <v>0</v>
      </c>
      <c r="J67" s="76">
        <f t="shared" si="23"/>
        <v>0</v>
      </c>
      <c r="K67" s="116">
        <f t="shared" si="15"/>
        <v>0</v>
      </c>
      <c r="L67" s="76">
        <f t="shared" si="25"/>
        <v>0</v>
      </c>
      <c r="M67" s="117">
        <f t="shared" si="16"/>
        <v>0</v>
      </c>
      <c r="N67" s="8">
        <f t="shared" si="17"/>
        <v>0</v>
      </c>
      <c r="O67" s="75">
        <f t="shared" si="18"/>
        <v>0</v>
      </c>
    </row>
    <row r="68" spans="2:15" x14ac:dyDescent="0.25">
      <c r="B68" s="72"/>
      <c r="C68" s="73">
        <f t="shared" si="21"/>
        <v>42917</v>
      </c>
      <c r="D68" s="73">
        <f t="shared" si="22"/>
        <v>43008</v>
      </c>
      <c r="E68" s="72">
        <f t="shared" si="19"/>
        <v>92</v>
      </c>
      <c r="F68" s="74">
        <f>VLOOKUP(D68,'FERC Interest Rate'!$A:$B,2,TRUE)</f>
        <v>3.9600000000000003E-2</v>
      </c>
      <c r="G68" s="75">
        <f t="shared" si="20"/>
        <v>0</v>
      </c>
      <c r="H68" s="75">
        <v>0</v>
      </c>
      <c r="I68" s="99">
        <f t="shared" si="24"/>
        <v>0</v>
      </c>
      <c r="J68" s="76">
        <f t="shared" si="23"/>
        <v>0</v>
      </c>
      <c r="K68" s="116">
        <f t="shared" si="15"/>
        <v>0</v>
      </c>
      <c r="L68" s="76">
        <f t="shared" si="25"/>
        <v>0</v>
      </c>
      <c r="M68" s="117">
        <f t="shared" si="16"/>
        <v>0</v>
      </c>
      <c r="N68" s="8">
        <f t="shared" si="17"/>
        <v>0</v>
      </c>
      <c r="O68" s="75">
        <f t="shared" si="18"/>
        <v>0</v>
      </c>
    </row>
    <row r="69" spans="2:15" x14ac:dyDescent="0.25">
      <c r="B69" s="72"/>
      <c r="C69" s="73">
        <f t="shared" si="21"/>
        <v>43009</v>
      </c>
      <c r="D69" s="73">
        <f t="shared" si="22"/>
        <v>43100</v>
      </c>
      <c r="E69" s="72">
        <f t="shared" si="19"/>
        <v>92</v>
      </c>
      <c r="F69" s="74">
        <f>VLOOKUP(D69,'FERC Interest Rate'!$A:$B,2,TRUE)</f>
        <v>4.2099999999999999E-2</v>
      </c>
      <c r="G69" s="75">
        <f t="shared" si="20"/>
        <v>0</v>
      </c>
      <c r="H69" s="75">
        <v>0</v>
      </c>
      <c r="I69" s="99">
        <f t="shared" si="24"/>
        <v>0</v>
      </c>
      <c r="J69" s="76">
        <f t="shared" si="23"/>
        <v>0</v>
      </c>
      <c r="K69" s="116">
        <f t="shared" si="15"/>
        <v>0</v>
      </c>
      <c r="L69" s="76">
        <f t="shared" si="25"/>
        <v>0</v>
      </c>
      <c r="M69" s="117">
        <f t="shared" si="16"/>
        <v>0</v>
      </c>
      <c r="N69" s="8">
        <f t="shared" si="17"/>
        <v>0</v>
      </c>
      <c r="O69" s="75">
        <f t="shared" si="18"/>
        <v>0</v>
      </c>
    </row>
    <row r="70" spans="2:15" x14ac:dyDescent="0.25">
      <c r="B70" s="72"/>
      <c r="C70" s="73">
        <f t="shared" si="21"/>
        <v>43101</v>
      </c>
      <c r="D70" s="73">
        <f t="shared" si="22"/>
        <v>43190</v>
      </c>
      <c r="E70" s="72">
        <f t="shared" si="19"/>
        <v>90</v>
      </c>
      <c r="F70" s="74">
        <f>VLOOKUP(D70,'FERC Interest Rate'!$A:$B,2,TRUE)</f>
        <v>4.2500000000000003E-2</v>
      </c>
      <c r="G70" s="75">
        <f t="shared" si="20"/>
        <v>0</v>
      </c>
      <c r="H70" s="75">
        <v>0</v>
      </c>
      <c r="I70" s="99">
        <f t="shared" si="24"/>
        <v>0</v>
      </c>
      <c r="J70" s="76">
        <f t="shared" si="23"/>
        <v>0</v>
      </c>
      <c r="K70" s="116">
        <f t="shared" si="15"/>
        <v>0</v>
      </c>
      <c r="L70" s="76">
        <f t="shared" si="25"/>
        <v>0</v>
      </c>
      <c r="M70" s="117">
        <f t="shared" si="16"/>
        <v>0</v>
      </c>
      <c r="N70" s="8">
        <f t="shared" si="17"/>
        <v>0</v>
      </c>
      <c r="O70" s="75">
        <f t="shared" si="18"/>
        <v>0</v>
      </c>
    </row>
    <row r="71" spans="2:15" x14ac:dyDescent="0.25">
      <c r="B71" s="72"/>
      <c r="C71" s="73">
        <f t="shared" si="21"/>
        <v>43191</v>
      </c>
      <c r="D71" s="73">
        <f t="shared" si="22"/>
        <v>43281</v>
      </c>
      <c r="E71" s="72">
        <f t="shared" si="19"/>
        <v>91</v>
      </c>
      <c r="F71" s="74">
        <f>VLOOKUP(D71,'FERC Interest Rate'!$A:$B,2,TRUE)</f>
        <v>4.4699999999999997E-2</v>
      </c>
      <c r="G71" s="75">
        <f t="shared" si="20"/>
        <v>0</v>
      </c>
      <c r="H71" s="75">
        <v>0</v>
      </c>
      <c r="I71" s="99">
        <f t="shared" si="24"/>
        <v>0</v>
      </c>
      <c r="J71" s="76">
        <f t="shared" si="23"/>
        <v>0</v>
      </c>
      <c r="K71" s="116">
        <f t="shared" si="15"/>
        <v>0</v>
      </c>
      <c r="L71" s="76">
        <f t="shared" si="25"/>
        <v>0</v>
      </c>
      <c r="M71" s="117">
        <f t="shared" si="16"/>
        <v>0</v>
      </c>
      <c r="N71" s="8">
        <f t="shared" si="17"/>
        <v>0</v>
      </c>
      <c r="O71" s="75">
        <f t="shared" si="18"/>
        <v>0</v>
      </c>
    </row>
    <row r="72" spans="2:15" x14ac:dyDescent="0.25">
      <c r="B72" s="72"/>
      <c r="C72" s="73">
        <f t="shared" si="21"/>
        <v>43282</v>
      </c>
      <c r="D72" s="73">
        <f t="shared" si="22"/>
        <v>43373</v>
      </c>
      <c r="E72" s="72">
        <f t="shared" si="19"/>
        <v>92</v>
      </c>
      <c r="F72" s="74">
        <f>VLOOKUP(D72,'FERC Interest Rate'!$A:$B,2,TRUE)</f>
        <v>4.6899999999999997E-2</v>
      </c>
      <c r="G72" s="75">
        <f t="shared" si="20"/>
        <v>0</v>
      </c>
      <c r="H72" s="75">
        <v>0</v>
      </c>
      <c r="I72" s="99">
        <f t="shared" si="24"/>
        <v>0</v>
      </c>
      <c r="J72" s="76">
        <f t="shared" si="23"/>
        <v>0</v>
      </c>
      <c r="K72" s="116">
        <f t="shared" si="15"/>
        <v>0</v>
      </c>
      <c r="L72" s="76">
        <f t="shared" si="25"/>
        <v>0</v>
      </c>
      <c r="M72" s="117">
        <f t="shared" si="16"/>
        <v>0</v>
      </c>
      <c r="N72" s="8">
        <f t="shared" si="17"/>
        <v>0</v>
      </c>
      <c r="O72" s="75">
        <f t="shared" si="18"/>
        <v>0</v>
      </c>
    </row>
    <row r="73" spans="2:15" x14ac:dyDescent="0.25">
      <c r="B73" s="72"/>
      <c r="C73" s="73">
        <f t="shared" si="21"/>
        <v>43374</v>
      </c>
      <c r="D73" s="73">
        <f t="shared" si="22"/>
        <v>43465</v>
      </c>
      <c r="E73" s="72">
        <f t="shared" si="19"/>
        <v>92</v>
      </c>
      <c r="F73" s="74">
        <f>VLOOKUP(D73,'FERC Interest Rate'!$A:$B,2,TRUE)</f>
        <v>4.9599999999999998E-2</v>
      </c>
      <c r="G73" s="75">
        <f t="shared" si="20"/>
        <v>0</v>
      </c>
      <c r="H73" s="75">
        <v>0</v>
      </c>
      <c r="I73" s="99">
        <f t="shared" si="24"/>
        <v>0</v>
      </c>
      <c r="J73" s="76">
        <f t="shared" si="23"/>
        <v>0</v>
      </c>
      <c r="K73" s="116">
        <f t="shared" si="15"/>
        <v>0</v>
      </c>
      <c r="L73" s="76">
        <f t="shared" si="25"/>
        <v>0</v>
      </c>
      <c r="M73" s="117">
        <f t="shared" si="16"/>
        <v>0</v>
      </c>
      <c r="N73" s="8">
        <f t="shared" si="17"/>
        <v>0</v>
      </c>
      <c r="O73" s="75">
        <f t="shared" si="18"/>
        <v>0</v>
      </c>
    </row>
    <row r="74" spans="2:15" x14ac:dyDescent="0.25">
      <c r="B74" s="72"/>
      <c r="C74" s="73">
        <f t="shared" si="21"/>
        <v>43466</v>
      </c>
      <c r="D74" s="73">
        <f t="shared" si="22"/>
        <v>43555</v>
      </c>
      <c r="E74" s="72">
        <f t="shared" si="19"/>
        <v>90</v>
      </c>
      <c r="F74" s="74">
        <f>VLOOKUP(D74,'FERC Interest Rate'!$A:$B,2,TRUE)</f>
        <v>5.1799999999999999E-2</v>
      </c>
      <c r="G74" s="75">
        <f t="shared" si="20"/>
        <v>0</v>
      </c>
      <c r="H74" s="75">
        <v>0</v>
      </c>
      <c r="I74" s="99">
        <f t="shared" si="24"/>
        <v>0</v>
      </c>
      <c r="J74" s="76">
        <f t="shared" si="23"/>
        <v>0</v>
      </c>
      <c r="K74" s="116">
        <f t="shared" si="15"/>
        <v>0</v>
      </c>
      <c r="L74" s="76">
        <f t="shared" si="25"/>
        <v>0</v>
      </c>
      <c r="M74" s="117">
        <f t="shared" si="16"/>
        <v>0</v>
      </c>
      <c r="N74" s="8">
        <f t="shared" si="17"/>
        <v>0</v>
      </c>
      <c r="O74" s="75">
        <f t="shared" si="18"/>
        <v>0</v>
      </c>
    </row>
    <row r="75" spans="2:15" x14ac:dyDescent="0.25">
      <c r="B75" s="72"/>
      <c r="C75" s="73">
        <f t="shared" si="21"/>
        <v>43556</v>
      </c>
      <c r="D75" s="73">
        <f t="shared" si="22"/>
        <v>43646</v>
      </c>
      <c r="E75" s="72">
        <f t="shared" si="19"/>
        <v>91</v>
      </c>
      <c r="F75" s="74">
        <f>VLOOKUP(D75,'FERC Interest Rate'!$A:$B,2,TRUE)</f>
        <v>5.45E-2</v>
      </c>
      <c r="G75" s="75">
        <f t="shared" si="20"/>
        <v>0</v>
      </c>
      <c r="H75" s="75">
        <v>0</v>
      </c>
      <c r="I75" s="99">
        <f t="shared" si="24"/>
        <v>0</v>
      </c>
      <c r="J75" s="76">
        <f t="shared" si="23"/>
        <v>0</v>
      </c>
      <c r="K75" s="116">
        <f t="shared" si="15"/>
        <v>0</v>
      </c>
      <c r="L75" s="76">
        <f t="shared" si="25"/>
        <v>0</v>
      </c>
      <c r="M75" s="117">
        <f t="shared" si="16"/>
        <v>0</v>
      </c>
      <c r="N75" s="8">
        <f t="shared" si="17"/>
        <v>0</v>
      </c>
      <c r="O75" s="75">
        <f t="shared" si="18"/>
        <v>0</v>
      </c>
    </row>
    <row r="76" spans="2:15" x14ac:dyDescent="0.25">
      <c r="B76" s="72"/>
      <c r="C76" s="73">
        <f t="shared" si="21"/>
        <v>43647</v>
      </c>
      <c r="D76" s="73">
        <f t="shared" si="22"/>
        <v>43738</v>
      </c>
      <c r="E76" s="72">
        <f t="shared" si="19"/>
        <v>92</v>
      </c>
      <c r="F76" s="74">
        <f>VLOOKUP(D76,'FERC Interest Rate'!$A:$B,2,TRUE)</f>
        <v>5.5E-2</v>
      </c>
      <c r="G76" s="75">
        <f t="shared" si="20"/>
        <v>0</v>
      </c>
      <c r="H76" s="75">
        <v>0</v>
      </c>
      <c r="I76" s="99">
        <f t="shared" si="24"/>
        <v>0</v>
      </c>
      <c r="J76" s="76">
        <f t="shared" si="23"/>
        <v>0</v>
      </c>
      <c r="K76" s="116">
        <f t="shared" si="15"/>
        <v>0</v>
      </c>
      <c r="L76" s="76">
        <f t="shared" si="25"/>
        <v>0</v>
      </c>
      <c r="M76" s="117">
        <f t="shared" si="16"/>
        <v>0</v>
      </c>
      <c r="N76" s="8">
        <f t="shared" si="17"/>
        <v>0</v>
      </c>
      <c r="O76" s="75">
        <f t="shared" si="18"/>
        <v>0</v>
      </c>
    </row>
    <row r="77" spans="2:15" x14ac:dyDescent="0.25">
      <c r="B77" s="72"/>
      <c r="C77" s="73">
        <f t="shared" si="21"/>
        <v>43739</v>
      </c>
      <c r="D77" s="73">
        <f t="shared" si="22"/>
        <v>43830</v>
      </c>
      <c r="E77" s="72">
        <f t="shared" si="19"/>
        <v>92</v>
      </c>
      <c r="F77" s="74">
        <f>VLOOKUP(D77,'FERC Interest Rate'!$A:$B,2,TRUE)</f>
        <v>5.4199999999999998E-2</v>
      </c>
      <c r="G77" s="75">
        <f t="shared" si="20"/>
        <v>0</v>
      </c>
      <c r="H77" s="75">
        <v>0</v>
      </c>
      <c r="I77" s="99">
        <f t="shared" si="24"/>
        <v>0</v>
      </c>
      <c r="J77" s="76">
        <f t="shared" si="23"/>
        <v>0</v>
      </c>
      <c r="K77" s="116">
        <f t="shared" si="15"/>
        <v>0</v>
      </c>
      <c r="L77" s="76">
        <f t="shared" si="25"/>
        <v>0</v>
      </c>
      <c r="M77" s="117">
        <f t="shared" si="16"/>
        <v>0</v>
      </c>
      <c r="N77" s="8">
        <f t="shared" si="17"/>
        <v>0</v>
      </c>
      <c r="O77" s="75">
        <f t="shared" si="18"/>
        <v>0</v>
      </c>
    </row>
    <row r="78" spans="2:15" x14ac:dyDescent="0.25">
      <c r="B78" s="72"/>
      <c r="C78" s="73">
        <f t="shared" si="21"/>
        <v>43831</v>
      </c>
      <c r="D78" s="73">
        <f t="shared" si="22"/>
        <v>43921</v>
      </c>
      <c r="E78" s="72">
        <f t="shared" si="19"/>
        <v>91</v>
      </c>
      <c r="F78" s="74">
        <f>VLOOKUP(D78,'FERC Interest Rate'!$A:$B,2,TRUE)</f>
        <v>4.9599999999999998E-2</v>
      </c>
      <c r="G78" s="75">
        <f t="shared" si="20"/>
        <v>0</v>
      </c>
      <c r="H78" s="75">
        <v>0</v>
      </c>
      <c r="I78" s="99">
        <f t="shared" si="24"/>
        <v>0</v>
      </c>
      <c r="J78" s="76">
        <f t="shared" si="23"/>
        <v>0</v>
      </c>
      <c r="K78" s="116">
        <f t="shared" si="15"/>
        <v>0</v>
      </c>
      <c r="L78" s="76">
        <f t="shared" si="25"/>
        <v>0</v>
      </c>
      <c r="M78" s="117">
        <f t="shared" si="16"/>
        <v>0</v>
      </c>
      <c r="N78" s="8">
        <f t="shared" si="17"/>
        <v>0</v>
      </c>
      <c r="O78" s="75">
        <f t="shared" si="18"/>
        <v>0</v>
      </c>
    </row>
    <row r="79" spans="2:15" x14ac:dyDescent="0.25">
      <c r="B79" s="72"/>
      <c r="C79" s="73">
        <f t="shared" si="21"/>
        <v>43922</v>
      </c>
      <c r="D79" s="73">
        <f t="shared" si="22"/>
        <v>44012</v>
      </c>
      <c r="E79" s="72">
        <f t="shared" si="19"/>
        <v>91</v>
      </c>
      <c r="F79" s="74">
        <f>VLOOKUP(D79,'FERC Interest Rate'!$A:$B,2,TRUE)</f>
        <v>4.7503500000000004E-2</v>
      </c>
      <c r="G79" s="75">
        <f t="shared" si="20"/>
        <v>0</v>
      </c>
      <c r="H79" s="75">
        <v>0</v>
      </c>
      <c r="I79" s="99">
        <f t="shared" si="24"/>
        <v>0</v>
      </c>
      <c r="J79" s="76">
        <f t="shared" si="23"/>
        <v>0</v>
      </c>
      <c r="K79" s="116">
        <f t="shared" si="15"/>
        <v>0</v>
      </c>
      <c r="L79" s="76">
        <f t="shared" si="25"/>
        <v>0</v>
      </c>
      <c r="M79" s="117">
        <f t="shared" si="16"/>
        <v>0</v>
      </c>
      <c r="N79" s="8">
        <f t="shared" si="17"/>
        <v>0</v>
      </c>
      <c r="O79" s="75">
        <f t="shared" si="18"/>
        <v>0</v>
      </c>
    </row>
    <row r="80" spans="2:15" x14ac:dyDescent="0.25">
      <c r="B80" s="72"/>
      <c r="C80" s="73">
        <f t="shared" si="21"/>
        <v>44013</v>
      </c>
      <c r="D80" s="73">
        <f t="shared" si="22"/>
        <v>44104</v>
      </c>
      <c r="E80" s="72">
        <f t="shared" si="19"/>
        <v>92</v>
      </c>
      <c r="F80" s="74">
        <f>VLOOKUP(D80,'FERC Interest Rate'!$A:$B,2,TRUE)</f>
        <v>4.7507929999999997E-2</v>
      </c>
      <c r="G80" s="75">
        <f t="shared" si="20"/>
        <v>0</v>
      </c>
      <c r="H80" s="75">
        <v>0</v>
      </c>
      <c r="I80" s="99">
        <f t="shared" si="24"/>
        <v>0</v>
      </c>
      <c r="J80" s="76">
        <f t="shared" si="23"/>
        <v>0</v>
      </c>
      <c r="K80" s="116">
        <f t="shared" si="15"/>
        <v>0</v>
      </c>
      <c r="L80" s="76">
        <f t="shared" si="25"/>
        <v>0</v>
      </c>
      <c r="M80" s="117">
        <f t="shared" si="16"/>
        <v>0</v>
      </c>
      <c r="N80" s="8">
        <f t="shared" si="17"/>
        <v>0</v>
      </c>
      <c r="O80" s="75">
        <f t="shared" si="18"/>
        <v>0</v>
      </c>
    </row>
    <row r="81" spans="1:15" x14ac:dyDescent="0.25">
      <c r="B81" s="72"/>
      <c r="C81" s="73">
        <f t="shared" si="21"/>
        <v>44105</v>
      </c>
      <c r="D81" s="73">
        <f t="shared" si="22"/>
        <v>44196</v>
      </c>
      <c r="E81" s="72">
        <f t="shared" si="19"/>
        <v>92</v>
      </c>
      <c r="F81" s="74">
        <f>VLOOKUP(D81,'FERC Interest Rate'!$A:$B,2,TRUE)</f>
        <v>4.7922320000000004E-2</v>
      </c>
      <c r="G81" s="75">
        <f t="shared" si="20"/>
        <v>0</v>
      </c>
      <c r="H81" s="75">
        <v>0</v>
      </c>
      <c r="I81" s="99">
        <f t="shared" si="24"/>
        <v>0</v>
      </c>
      <c r="J81" s="76">
        <f t="shared" si="23"/>
        <v>0</v>
      </c>
      <c r="K81" s="116">
        <f t="shared" si="15"/>
        <v>0</v>
      </c>
      <c r="L81" s="76">
        <f t="shared" si="25"/>
        <v>0</v>
      </c>
      <c r="M81" s="117">
        <f t="shared" si="16"/>
        <v>0</v>
      </c>
      <c r="N81" s="8">
        <f t="shared" si="17"/>
        <v>0</v>
      </c>
      <c r="O81" s="75">
        <f t="shared" si="18"/>
        <v>0</v>
      </c>
    </row>
    <row r="82" spans="1:15" x14ac:dyDescent="0.25">
      <c r="B82" s="72"/>
      <c r="C82" s="73">
        <f t="shared" si="21"/>
        <v>44197</v>
      </c>
      <c r="D82" s="73">
        <f t="shared" si="22"/>
        <v>44286</v>
      </c>
      <c r="E82" s="72">
        <f t="shared" si="19"/>
        <v>90</v>
      </c>
      <c r="F82" s="74">
        <f>VLOOKUP(D82,'FERC Interest Rate'!$A:$B,2,TRUE)</f>
        <v>5.0023470000000007E-2</v>
      </c>
      <c r="G82" s="75">
        <f t="shared" si="20"/>
        <v>0</v>
      </c>
      <c r="H82" s="75">
        <v>0</v>
      </c>
      <c r="I82" s="99">
        <f t="shared" si="24"/>
        <v>0</v>
      </c>
      <c r="J82" s="76">
        <f t="shared" si="23"/>
        <v>0</v>
      </c>
      <c r="K82" s="116">
        <f t="shared" si="15"/>
        <v>0</v>
      </c>
      <c r="L82" s="76">
        <f t="shared" si="25"/>
        <v>0</v>
      </c>
      <c r="M82" s="117">
        <f t="shared" si="16"/>
        <v>0</v>
      </c>
      <c r="N82" s="8">
        <f t="shared" si="17"/>
        <v>0</v>
      </c>
      <c r="O82" s="75">
        <f t="shared" si="18"/>
        <v>0</v>
      </c>
    </row>
    <row r="83" spans="1:15" x14ac:dyDescent="0.25">
      <c r="B83" s="72"/>
      <c r="C83" s="73">
        <f t="shared" si="21"/>
        <v>44287</v>
      </c>
      <c r="D83" s="73">
        <f t="shared" si="22"/>
        <v>44377</v>
      </c>
      <c r="E83" s="72">
        <f t="shared" si="19"/>
        <v>91</v>
      </c>
      <c r="F83" s="74">
        <f>VLOOKUP(D83,'FERC Interest Rate'!$A:$B,2,TRUE)</f>
        <v>5.0403730000000001E-2</v>
      </c>
      <c r="G83" s="75">
        <f t="shared" si="20"/>
        <v>0</v>
      </c>
      <c r="H83" s="75">
        <v>0</v>
      </c>
      <c r="I83" s="99">
        <f t="shared" si="24"/>
        <v>0</v>
      </c>
      <c r="J83" s="76">
        <f>G83*F83*(E83/(DATE(YEAR(D83),12,31)-DATE(YEAR(D83),1,1)+1))</f>
        <v>0</v>
      </c>
      <c r="K83" s="116">
        <f t="shared" si="15"/>
        <v>0</v>
      </c>
      <c r="L83" s="76">
        <f t="shared" si="25"/>
        <v>0</v>
      </c>
      <c r="M83" s="117">
        <f t="shared" si="16"/>
        <v>0</v>
      </c>
      <c r="N83" s="8">
        <f t="shared" si="17"/>
        <v>0</v>
      </c>
      <c r="O83" s="75">
        <f t="shared" si="18"/>
        <v>0</v>
      </c>
    </row>
    <row r="84" spans="1:15" x14ac:dyDescent="0.25">
      <c r="B84" s="72"/>
      <c r="C84" s="73">
        <f t="shared" si="21"/>
        <v>44378</v>
      </c>
      <c r="D84" s="73">
        <f t="shared" si="22"/>
        <v>44469</v>
      </c>
      <c r="E84" s="72">
        <f t="shared" si="19"/>
        <v>92</v>
      </c>
      <c r="F84" s="74">
        <f>VLOOKUP(D84,'FERC Interest Rate'!$A:$B,2,TRUE)</f>
        <v>5.2520850000000001E-2</v>
      </c>
      <c r="G84" s="75">
        <f t="shared" si="20"/>
        <v>0</v>
      </c>
      <c r="H84" s="75">
        <v>0</v>
      </c>
      <c r="I84" s="99">
        <f t="shared" si="24"/>
        <v>0</v>
      </c>
      <c r="J84" s="76">
        <f>G84*F84*(E84/(DATE(YEAR(D84),12,31)-DATE(YEAR(D84),1,1)+1))</f>
        <v>0</v>
      </c>
      <c r="K84" s="116">
        <f t="shared" si="15"/>
        <v>0</v>
      </c>
      <c r="L84" s="76">
        <f t="shared" si="25"/>
        <v>0</v>
      </c>
      <c r="M84" s="117">
        <f t="shared" si="16"/>
        <v>0</v>
      </c>
      <c r="N84" s="8">
        <f t="shared" si="17"/>
        <v>0</v>
      </c>
      <c r="O84" s="75">
        <f t="shared" si="18"/>
        <v>0</v>
      </c>
    </row>
    <row r="85" spans="1:15" x14ac:dyDescent="0.25">
      <c r="B85" s="11"/>
      <c r="C85" s="79"/>
      <c r="D85" s="79"/>
      <c r="E85" s="10"/>
      <c r="F85" s="11"/>
      <c r="G85" s="76"/>
      <c r="H85" s="76"/>
      <c r="I85" s="119"/>
      <c r="J85" s="12"/>
      <c r="K85" s="12"/>
      <c r="L85" s="76"/>
      <c r="M85" s="118"/>
    </row>
    <row r="86" spans="1:15" ht="13.5" thickBot="1" x14ac:dyDescent="0.35">
      <c r="A86" s="80"/>
      <c r="B86" s="80"/>
      <c r="C86" s="80"/>
      <c r="D86" s="80"/>
      <c r="E86" s="80"/>
      <c r="F86" s="80"/>
      <c r="G86" s="124">
        <f>+SUM(G57:G85)</f>
        <v>0</v>
      </c>
      <c r="H86" s="124">
        <f t="shared" ref="H86:O86" si="26">+SUM(H57:H85)</f>
        <v>0</v>
      </c>
      <c r="I86" s="125">
        <f t="shared" si="26"/>
        <v>0</v>
      </c>
      <c r="J86" s="124">
        <f t="shared" si="26"/>
        <v>0</v>
      </c>
      <c r="K86" s="124">
        <f t="shared" si="26"/>
        <v>0</v>
      </c>
      <c r="L86" s="124">
        <f t="shared" si="26"/>
        <v>0</v>
      </c>
      <c r="M86" s="126">
        <f t="shared" si="26"/>
        <v>0</v>
      </c>
      <c r="N86" s="124">
        <f t="shared" si="26"/>
        <v>0</v>
      </c>
      <c r="O86" s="124">
        <f t="shared" si="26"/>
        <v>0</v>
      </c>
    </row>
    <row r="87" spans="1:15" ht="13.5" thickTop="1" thickBot="1" x14ac:dyDescent="0.3">
      <c r="I87" s="106"/>
      <c r="J87" s="107"/>
      <c r="K87" s="107"/>
      <c r="L87" s="107"/>
      <c r="M87" s="108"/>
    </row>
  </sheetData>
  <pageMargins left="0.25" right="0.25" top="0.75" bottom="0.75" header="0.3" footer="0.3"/>
  <pageSetup scale="60" fitToHeight="0" orientation="landscape" r:id="rId1"/>
  <headerFooter alignWithMargins="0">
    <oddHeader>&amp;RTO2021 Annual Update
Attachment 4
WP- Schedule 22 NUCs
Page &amp;P of &amp;N</oddHead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V286"/>
  <sheetViews>
    <sheetView view="pageLayout" zoomScale="50" zoomScaleNormal="40" zoomScalePageLayoutView="5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9" width="16.1796875" style="6" customWidth="1"/>
    <col min="10" max="10" width="17.26953125" style="6" bestFit="1" customWidth="1"/>
    <col min="11" max="15" width="16.1796875" style="6" customWidth="1"/>
    <col min="16" max="16" width="1.453125" style="6" customWidth="1"/>
    <col min="17" max="18" width="9.1796875" style="6"/>
    <col min="19" max="22" width="13.54296875" style="6" customWidth="1"/>
    <col min="23" max="16384" width="9.1796875" style="6"/>
  </cols>
  <sheetData>
    <row r="1" spans="1:14" ht="26" x14ac:dyDescent="0.3">
      <c r="A1" s="81" t="s">
        <v>8</v>
      </c>
      <c r="B1" s="82" t="s">
        <v>86</v>
      </c>
      <c r="C1" s="81" t="s">
        <v>2</v>
      </c>
      <c r="D1" s="81" t="s">
        <v>1</v>
      </c>
      <c r="E1" s="82" t="s">
        <v>72</v>
      </c>
      <c r="F1" s="82" t="s">
        <v>47</v>
      </c>
      <c r="H1" s="81" t="s">
        <v>8</v>
      </c>
      <c r="I1" s="82" t="s">
        <v>86</v>
      </c>
      <c r="J1" s="81" t="s">
        <v>2</v>
      </c>
      <c r="K1" s="81" t="s">
        <v>1</v>
      </c>
      <c r="L1" s="82" t="s">
        <v>72</v>
      </c>
      <c r="M1" s="82" t="s">
        <v>114</v>
      </c>
      <c r="N1" s="82" t="s">
        <v>47</v>
      </c>
    </row>
    <row r="2" spans="1:14" ht="12.75" customHeight="1" x14ac:dyDescent="0.25">
      <c r="A2" s="78" t="s">
        <v>52</v>
      </c>
      <c r="B2" s="3">
        <v>41831</v>
      </c>
      <c r="C2" s="4">
        <v>38561</v>
      </c>
      <c r="D2" s="4">
        <v>0</v>
      </c>
      <c r="E2" s="43">
        <v>820.99610606341548</v>
      </c>
      <c r="F2" s="7">
        <f>SUM(C2:E2)</f>
        <v>39381.996106063416</v>
      </c>
      <c r="H2" s="78" t="s">
        <v>52</v>
      </c>
      <c r="I2" s="3">
        <v>41831</v>
      </c>
      <c r="J2" s="4">
        <v>38561</v>
      </c>
      <c r="K2" s="4">
        <v>0</v>
      </c>
      <c r="L2" s="4">
        <v>2904</v>
      </c>
      <c r="M2" s="8">
        <f>18296*L2/64716</f>
        <v>820.99610606341548</v>
      </c>
      <c r="N2" s="7">
        <f t="shared" ref="N2:N15" si="0">SUM(J2:L2)</f>
        <v>41465</v>
      </c>
    </row>
    <row r="3" spans="1:14" ht="12.75" customHeight="1" outlineLevel="1" x14ac:dyDescent="0.25">
      <c r="A3" s="78" t="s">
        <v>53</v>
      </c>
      <c r="B3" s="3">
        <v>41831</v>
      </c>
      <c r="C3" s="4">
        <v>78491</v>
      </c>
      <c r="D3" s="4">
        <v>0</v>
      </c>
      <c r="E3" s="43">
        <v>1709.5604178255765</v>
      </c>
      <c r="F3" s="7">
        <f t="shared" ref="F3:F21" si="1">SUM(C3:E3)</f>
        <v>80200.560417825574</v>
      </c>
      <c r="H3" s="78" t="s">
        <v>53</v>
      </c>
      <c r="I3" s="3">
        <v>41831</v>
      </c>
      <c r="J3" s="4">
        <v>78491</v>
      </c>
      <c r="K3" s="4">
        <v>0</v>
      </c>
      <c r="L3" s="4">
        <v>6047</v>
      </c>
      <c r="M3" s="8">
        <f t="shared" ref="M3:M15" si="2">18296*L3/64716</f>
        <v>1709.5604178255765</v>
      </c>
      <c r="N3" s="7">
        <f t="shared" si="0"/>
        <v>84538</v>
      </c>
    </row>
    <row r="4" spans="1:14" outlineLevel="1" x14ac:dyDescent="0.25">
      <c r="A4" s="78" t="s">
        <v>54</v>
      </c>
      <c r="B4" s="3">
        <v>41873</v>
      </c>
      <c r="C4" s="4">
        <v>137548</v>
      </c>
      <c r="D4" s="4">
        <v>0</v>
      </c>
      <c r="E4" s="43">
        <v>3018.2349959824464</v>
      </c>
      <c r="F4" s="7">
        <f t="shared" si="1"/>
        <v>140566.23499598244</v>
      </c>
      <c r="H4" s="78" t="s">
        <v>54</v>
      </c>
      <c r="I4" s="3">
        <v>41873</v>
      </c>
      <c r="J4" s="4">
        <v>137548</v>
      </c>
      <c r="K4" s="4">
        <v>0</v>
      </c>
      <c r="L4" s="4">
        <v>10676</v>
      </c>
      <c r="M4" s="8">
        <f t="shared" si="2"/>
        <v>3018.2349959824464</v>
      </c>
      <c r="N4" s="7">
        <f t="shared" si="0"/>
        <v>148224</v>
      </c>
    </row>
    <row r="5" spans="1:14" outlineLevel="1" x14ac:dyDescent="0.25">
      <c r="A5" s="78" t="s">
        <v>55</v>
      </c>
      <c r="B5" s="3">
        <v>41978</v>
      </c>
      <c r="C5" s="4">
        <v>190908</v>
      </c>
      <c r="D5" s="4">
        <v>0</v>
      </c>
      <c r="E5" s="43">
        <v>4130.7073366709928</v>
      </c>
      <c r="F5" s="7">
        <f t="shared" si="1"/>
        <v>195038.70733667098</v>
      </c>
      <c r="H5" s="78" t="s">
        <v>55</v>
      </c>
      <c r="I5" s="3">
        <v>41978</v>
      </c>
      <c r="J5" s="4">
        <v>190908</v>
      </c>
      <c r="K5" s="4">
        <v>0</v>
      </c>
      <c r="L5" s="4">
        <v>14611</v>
      </c>
      <c r="M5" s="8">
        <f t="shared" si="2"/>
        <v>4130.7073366709928</v>
      </c>
      <c r="N5" s="7">
        <f t="shared" si="0"/>
        <v>205519</v>
      </c>
    </row>
    <row r="6" spans="1:14" ht="12.75" customHeight="1" outlineLevel="1" x14ac:dyDescent="0.25">
      <c r="A6" s="78" t="s">
        <v>56</v>
      </c>
      <c r="B6" s="3">
        <v>42058</v>
      </c>
      <c r="C6" s="4">
        <v>191013</v>
      </c>
      <c r="D6" s="4">
        <v>0</v>
      </c>
      <c r="E6" s="43">
        <v>3923.479325050992</v>
      </c>
      <c r="F6" s="7">
        <f t="shared" si="1"/>
        <v>194936.47932505098</v>
      </c>
      <c r="H6" s="78" t="s">
        <v>56</v>
      </c>
      <c r="I6" s="3">
        <v>42058</v>
      </c>
      <c r="J6" s="4">
        <v>191013</v>
      </c>
      <c r="K6" s="4">
        <v>0</v>
      </c>
      <c r="L6" s="4">
        <v>13878</v>
      </c>
      <c r="M6" s="8">
        <f t="shared" si="2"/>
        <v>3923.479325050992</v>
      </c>
      <c r="N6" s="7">
        <f t="shared" si="0"/>
        <v>204891</v>
      </c>
    </row>
    <row r="7" spans="1:14" outlineLevel="1" x14ac:dyDescent="0.25">
      <c r="A7" s="78" t="s">
        <v>57</v>
      </c>
      <c r="B7" s="3">
        <v>42143</v>
      </c>
      <c r="C7" s="4">
        <v>145282</v>
      </c>
      <c r="D7" s="4">
        <v>0</v>
      </c>
      <c r="E7" s="43">
        <v>2637.7044316706842</v>
      </c>
      <c r="F7" s="7">
        <f t="shared" si="1"/>
        <v>147919.70443167069</v>
      </c>
      <c r="H7" s="78" t="s">
        <v>57</v>
      </c>
      <c r="I7" s="3">
        <v>42143</v>
      </c>
      <c r="J7" s="4">
        <v>145282</v>
      </c>
      <c r="K7" s="4">
        <v>0</v>
      </c>
      <c r="L7" s="4">
        <v>9330</v>
      </c>
      <c r="M7" s="8">
        <f t="shared" si="2"/>
        <v>2637.7044316706842</v>
      </c>
      <c r="N7" s="7">
        <f t="shared" si="0"/>
        <v>154612</v>
      </c>
    </row>
    <row r="8" spans="1:14" outlineLevel="1" x14ac:dyDescent="0.25">
      <c r="A8" s="78" t="s">
        <v>58</v>
      </c>
      <c r="B8" s="3">
        <v>42242</v>
      </c>
      <c r="C8" s="4">
        <v>97056</v>
      </c>
      <c r="D8" s="4">
        <v>0</v>
      </c>
      <c r="E8" s="43">
        <v>1397.7289078435008</v>
      </c>
      <c r="F8" s="7">
        <f t="shared" si="1"/>
        <v>98453.728907843499</v>
      </c>
      <c r="H8" s="78" t="s">
        <v>58</v>
      </c>
      <c r="I8" s="3">
        <v>42242</v>
      </c>
      <c r="J8" s="4">
        <v>97056</v>
      </c>
      <c r="K8" s="4">
        <v>0</v>
      </c>
      <c r="L8" s="4">
        <v>4944</v>
      </c>
      <c r="M8" s="8">
        <f t="shared" si="2"/>
        <v>1397.7289078435008</v>
      </c>
      <c r="N8" s="7">
        <f t="shared" si="0"/>
        <v>102000</v>
      </c>
    </row>
    <row r="9" spans="1:14" outlineLevel="1" x14ac:dyDescent="0.25">
      <c r="A9" s="78" t="s">
        <v>59</v>
      </c>
      <c r="B9" s="3">
        <v>42333</v>
      </c>
      <c r="C9" s="4">
        <v>64128</v>
      </c>
      <c r="D9" s="4">
        <v>0</v>
      </c>
      <c r="E9" s="43">
        <v>657.58847889239132</v>
      </c>
      <c r="F9" s="7">
        <f t="shared" si="1"/>
        <v>64785.588478892394</v>
      </c>
      <c r="H9" s="78" t="s">
        <v>59</v>
      </c>
      <c r="I9" s="3">
        <v>42333</v>
      </c>
      <c r="J9" s="4">
        <v>64128</v>
      </c>
      <c r="K9" s="4">
        <v>0</v>
      </c>
      <c r="L9" s="4">
        <v>2326</v>
      </c>
      <c r="M9" s="8">
        <f t="shared" si="2"/>
        <v>657.58847889239132</v>
      </c>
      <c r="N9" s="7">
        <f t="shared" si="0"/>
        <v>66454</v>
      </c>
    </row>
    <row r="10" spans="1:14" outlineLevel="1" x14ac:dyDescent="0.25">
      <c r="A10" s="78" t="s">
        <v>60</v>
      </c>
      <c r="B10" s="3">
        <v>42423</v>
      </c>
      <c r="C10" s="4">
        <v>29664</v>
      </c>
      <c r="D10" s="4">
        <v>0</v>
      </c>
      <c r="E10" s="4">
        <v>0</v>
      </c>
      <c r="F10" s="7">
        <f t="shared" si="1"/>
        <v>29664</v>
      </c>
      <c r="H10" s="78" t="s">
        <v>60</v>
      </c>
      <c r="I10" s="3">
        <v>42430</v>
      </c>
      <c r="J10" s="4">
        <v>29664</v>
      </c>
      <c r="K10" s="4">
        <v>0</v>
      </c>
      <c r="L10" s="4">
        <v>0</v>
      </c>
      <c r="M10" s="8">
        <f t="shared" si="2"/>
        <v>0</v>
      </c>
      <c r="N10" s="7">
        <f t="shared" si="0"/>
        <v>29664</v>
      </c>
    </row>
    <row r="11" spans="1:14" outlineLevel="1" x14ac:dyDescent="0.25">
      <c r="A11" s="78" t="s">
        <v>61</v>
      </c>
      <c r="B11" s="3">
        <v>42569</v>
      </c>
      <c r="C11" s="4">
        <v>20944</v>
      </c>
      <c r="D11" s="4">
        <v>0</v>
      </c>
      <c r="E11" s="4">
        <v>0</v>
      </c>
      <c r="F11" s="7">
        <f t="shared" si="1"/>
        <v>20944</v>
      </c>
      <c r="H11" s="78" t="s">
        <v>61</v>
      </c>
      <c r="I11" s="18" t="s">
        <v>21</v>
      </c>
      <c r="J11" s="4">
        <v>20944</v>
      </c>
      <c r="K11" s="4">
        <v>0</v>
      </c>
      <c r="L11" s="4">
        <v>0</v>
      </c>
      <c r="M11" s="8">
        <f t="shared" si="2"/>
        <v>0</v>
      </c>
      <c r="N11" s="7">
        <f t="shared" si="0"/>
        <v>20944</v>
      </c>
    </row>
    <row r="12" spans="1:14" outlineLevel="1" x14ac:dyDescent="0.25">
      <c r="A12" s="78" t="s">
        <v>62</v>
      </c>
      <c r="B12" s="3">
        <v>42664</v>
      </c>
      <c r="C12" s="4">
        <v>13570</v>
      </c>
      <c r="D12" s="4">
        <v>0</v>
      </c>
      <c r="E12" s="4">
        <v>0</v>
      </c>
      <c r="F12" s="7">
        <f t="shared" si="1"/>
        <v>13570</v>
      </c>
      <c r="H12" s="78" t="s">
        <v>62</v>
      </c>
      <c r="I12" s="18" t="s">
        <v>21</v>
      </c>
      <c r="J12" s="4">
        <v>13570</v>
      </c>
      <c r="K12" s="4">
        <v>0</v>
      </c>
      <c r="L12" s="4">
        <v>0</v>
      </c>
      <c r="M12" s="8">
        <f t="shared" si="2"/>
        <v>0</v>
      </c>
      <c r="N12" s="7">
        <f t="shared" si="0"/>
        <v>13570</v>
      </c>
    </row>
    <row r="13" spans="1:14" outlineLevel="1" x14ac:dyDescent="0.25">
      <c r="A13" s="78" t="s">
        <v>63</v>
      </c>
      <c r="B13" s="3">
        <v>42724</v>
      </c>
      <c r="C13" s="4">
        <v>8438</v>
      </c>
      <c r="D13" s="4">
        <v>0</v>
      </c>
      <c r="E13" s="4">
        <v>0</v>
      </c>
      <c r="F13" s="7">
        <f t="shared" si="1"/>
        <v>8438</v>
      </c>
      <c r="H13" s="78" t="s">
        <v>63</v>
      </c>
      <c r="I13" s="18" t="s">
        <v>21</v>
      </c>
      <c r="J13" s="4">
        <v>8438</v>
      </c>
      <c r="K13" s="4">
        <v>0</v>
      </c>
      <c r="L13" s="4">
        <v>0</v>
      </c>
      <c r="M13" s="8">
        <f t="shared" si="2"/>
        <v>0</v>
      </c>
      <c r="N13" s="7">
        <f t="shared" si="0"/>
        <v>8438</v>
      </c>
    </row>
    <row r="14" spans="1:14" outlineLevel="1" x14ac:dyDescent="0.25">
      <c r="A14" s="78" t="s">
        <v>64</v>
      </c>
      <c r="B14" s="3">
        <v>42856</v>
      </c>
      <c r="C14" s="4">
        <v>5037</v>
      </c>
      <c r="D14" s="4">
        <v>0</v>
      </c>
      <c r="E14" s="4">
        <v>0</v>
      </c>
      <c r="F14" s="7">
        <f t="shared" si="1"/>
        <v>5037</v>
      </c>
      <c r="H14" s="78" t="s">
        <v>64</v>
      </c>
      <c r="I14" s="18" t="s">
        <v>21</v>
      </c>
      <c r="J14" s="4">
        <v>5037</v>
      </c>
      <c r="K14" s="4">
        <v>0</v>
      </c>
      <c r="L14" s="4">
        <v>0</v>
      </c>
      <c r="M14" s="8">
        <f t="shared" si="2"/>
        <v>0</v>
      </c>
      <c r="N14" s="7">
        <f t="shared" si="0"/>
        <v>5037</v>
      </c>
    </row>
    <row r="15" spans="1:14" outlineLevel="1" x14ac:dyDescent="0.25">
      <c r="A15" s="78" t="s">
        <v>65</v>
      </c>
      <c r="B15" s="3">
        <v>43066</v>
      </c>
      <c r="C15" s="4">
        <v>1156</v>
      </c>
      <c r="D15" s="4">
        <v>0</v>
      </c>
      <c r="E15" s="4">
        <v>0</v>
      </c>
      <c r="F15" s="7">
        <f t="shared" si="1"/>
        <v>1156</v>
      </c>
      <c r="H15" s="78" t="s">
        <v>65</v>
      </c>
      <c r="I15" s="18" t="s">
        <v>21</v>
      </c>
      <c r="J15" s="4">
        <v>1156</v>
      </c>
      <c r="K15" s="4">
        <v>0</v>
      </c>
      <c r="L15" s="4">
        <v>0</v>
      </c>
      <c r="M15" s="8">
        <f t="shared" si="2"/>
        <v>0</v>
      </c>
      <c r="N15" s="7">
        <f t="shared" si="0"/>
        <v>1156</v>
      </c>
    </row>
    <row r="16" spans="1:14" ht="13.5" outlineLevel="1" thickBot="1" x14ac:dyDescent="0.35">
      <c r="A16" s="78" t="s">
        <v>66</v>
      </c>
      <c r="B16" s="18" t="s">
        <v>21</v>
      </c>
      <c r="C16" s="4">
        <v>0</v>
      </c>
      <c r="D16" s="4">
        <v>0</v>
      </c>
      <c r="E16" s="4">
        <v>0</v>
      </c>
      <c r="F16" s="7">
        <f t="shared" si="1"/>
        <v>0</v>
      </c>
      <c r="H16" s="179"/>
      <c r="I16" s="80"/>
      <c r="J16" s="65">
        <f>+SUM(J2:J15)</f>
        <v>1021796</v>
      </c>
      <c r="K16" s="65">
        <f>+SUM(K2:K15)</f>
        <v>0</v>
      </c>
      <c r="L16" s="65">
        <f>+SUM(L2:L15)</f>
        <v>64716</v>
      </c>
      <c r="M16" s="65">
        <f>+SUM(M2:M15)</f>
        <v>18296</v>
      </c>
      <c r="N16" s="65">
        <f>+SUM(N2:N15)</f>
        <v>1086512</v>
      </c>
    </row>
    <row r="17" spans="1:22" ht="13" outlineLevel="2" thickTop="1" x14ac:dyDescent="0.25">
      <c r="A17" s="78" t="s">
        <v>67</v>
      </c>
      <c r="B17" s="18" t="s">
        <v>21</v>
      </c>
      <c r="C17" s="4">
        <v>0</v>
      </c>
      <c r="D17" s="4">
        <v>0</v>
      </c>
      <c r="E17" s="4">
        <v>0</v>
      </c>
      <c r="F17" s="7">
        <f t="shared" si="1"/>
        <v>0</v>
      </c>
      <c r="H17" s="15"/>
      <c r="K17" s="140" t="s">
        <v>110</v>
      </c>
      <c r="L17" s="8">
        <f>527418-503525</f>
        <v>23893</v>
      </c>
    </row>
    <row r="18" spans="1:22" outlineLevel="2" x14ac:dyDescent="0.25">
      <c r="A18" s="78" t="s">
        <v>68</v>
      </c>
      <c r="B18" s="18" t="s">
        <v>21</v>
      </c>
      <c r="C18" s="4">
        <v>0</v>
      </c>
      <c r="D18" s="4">
        <v>0</v>
      </c>
      <c r="E18" s="4">
        <v>0</v>
      </c>
      <c r="F18" s="7">
        <f t="shared" si="1"/>
        <v>0</v>
      </c>
      <c r="H18" s="15"/>
      <c r="K18" s="140" t="s">
        <v>111</v>
      </c>
      <c r="L18" s="116">
        <f>1040092-1021796</f>
        <v>18296</v>
      </c>
    </row>
    <row r="19" spans="1:22" outlineLevel="2" x14ac:dyDescent="0.25">
      <c r="A19" s="78" t="s">
        <v>69</v>
      </c>
      <c r="B19" s="18" t="s">
        <v>21</v>
      </c>
      <c r="C19" s="4">
        <v>0</v>
      </c>
      <c r="D19" s="4">
        <v>0</v>
      </c>
      <c r="E19" s="4">
        <v>0</v>
      </c>
      <c r="F19" s="7">
        <f t="shared" si="1"/>
        <v>0</v>
      </c>
      <c r="K19" s="140" t="s">
        <v>112</v>
      </c>
      <c r="L19" s="8">
        <v>22527</v>
      </c>
    </row>
    <row r="20" spans="1:22" ht="13.5" outlineLevel="2" thickBot="1" x14ac:dyDescent="0.35">
      <c r="A20" s="78" t="s">
        <v>70</v>
      </c>
      <c r="B20" s="18" t="s">
        <v>21</v>
      </c>
      <c r="C20" s="4">
        <v>0</v>
      </c>
      <c r="D20" s="4">
        <v>0</v>
      </c>
      <c r="E20" s="4">
        <v>0</v>
      </c>
      <c r="F20" s="7">
        <f t="shared" si="1"/>
        <v>0</v>
      </c>
      <c r="K20" s="33" t="s">
        <v>113</v>
      </c>
      <c r="L20" s="65">
        <f>+SUM(L17:L19)</f>
        <v>64716</v>
      </c>
    </row>
    <row r="21" spans="1:22" ht="13.5" outlineLevel="1" thickTop="1" thickBot="1" x14ac:dyDescent="0.3">
      <c r="A21" s="78" t="s">
        <v>71</v>
      </c>
      <c r="B21" s="18" t="s">
        <v>21</v>
      </c>
      <c r="C21" s="4">
        <v>0</v>
      </c>
      <c r="D21" s="4">
        <v>0</v>
      </c>
      <c r="E21" s="4">
        <v>0</v>
      </c>
      <c r="F21" s="7">
        <f t="shared" si="1"/>
        <v>0</v>
      </c>
    </row>
    <row r="22" spans="1:22" ht="13" x14ac:dyDescent="0.3">
      <c r="B22" s="34" t="s">
        <v>0</v>
      </c>
      <c r="C22" s="109">
        <f>SUM(C2:C21)</f>
        <v>1021796</v>
      </c>
      <c r="D22" s="109">
        <f>SUM(D2:D21)</f>
        <v>0</v>
      </c>
      <c r="E22" s="109">
        <f>SUM(E2:E21)</f>
        <v>18296</v>
      </c>
      <c r="F22" s="109">
        <f>SUM(F2:F21)</f>
        <v>1040091.9999999999</v>
      </c>
      <c r="H22" s="153"/>
      <c r="I22" s="149" t="s">
        <v>13</v>
      </c>
      <c r="J22" s="149" t="s">
        <v>12</v>
      </c>
      <c r="K22" s="150" t="s">
        <v>20</v>
      </c>
      <c r="L22" s="151"/>
      <c r="M22" s="152"/>
    </row>
    <row r="23" spans="1:22" ht="13" x14ac:dyDescent="0.3">
      <c r="A23" s="17" t="s">
        <v>18</v>
      </c>
      <c r="B23" s="18" t="s">
        <v>21</v>
      </c>
      <c r="C23" s="8">
        <v>0</v>
      </c>
      <c r="D23" s="8">
        <v>0</v>
      </c>
      <c r="E23" s="8">
        <v>0</v>
      </c>
      <c r="F23" s="8">
        <f>SUM(C23:E23)</f>
        <v>0</v>
      </c>
      <c r="H23" s="147" t="s">
        <v>10</v>
      </c>
      <c r="I23" s="84">
        <v>42473</v>
      </c>
      <c r="J23" s="85">
        <f>I23</f>
        <v>42473</v>
      </c>
      <c r="K23" s="86"/>
      <c r="L23" s="87"/>
      <c r="M23" s="88"/>
    </row>
    <row r="24" spans="1:22" ht="13.5" thickBot="1" x14ac:dyDescent="0.35">
      <c r="A24" s="17" t="s">
        <v>19</v>
      </c>
      <c r="B24" s="18" t="s">
        <v>21</v>
      </c>
      <c r="C24" s="8">
        <v>0</v>
      </c>
      <c r="D24" s="8">
        <v>0</v>
      </c>
      <c r="E24" s="8">
        <v>0</v>
      </c>
      <c r="F24" s="8">
        <f>SUM(C24:E24)</f>
        <v>0</v>
      </c>
      <c r="H24" s="148" t="s">
        <v>16</v>
      </c>
      <c r="I24" s="89">
        <v>42473</v>
      </c>
      <c r="J24" s="90">
        <v>42490</v>
      </c>
      <c r="K24" s="91"/>
      <c r="L24" s="92"/>
      <c r="M24" s="93"/>
    </row>
    <row r="25" spans="1:22" ht="13.5" thickBot="1" x14ac:dyDescent="0.35">
      <c r="B25" s="34" t="s">
        <v>50</v>
      </c>
      <c r="C25" s="65">
        <f>+SUM(C22:C24)</f>
        <v>1021796</v>
      </c>
      <c r="D25" s="65">
        <f>+SUM(D22:D24)</f>
        <v>0</v>
      </c>
      <c r="E25" s="65">
        <f>+SUM(E22:E24)</f>
        <v>18296</v>
      </c>
      <c r="F25" s="65">
        <f>+SUM(F22:F24)</f>
        <v>1040091.9999999999</v>
      </c>
      <c r="L25" s="174"/>
    </row>
    <row r="26" spans="1:22" ht="14" thickTop="1" thickBot="1" x14ac:dyDescent="0.35">
      <c r="B26" s="34"/>
      <c r="C26" s="13"/>
      <c r="D26" s="13"/>
      <c r="E26" s="13"/>
      <c r="F26" s="13"/>
      <c r="L26" s="8"/>
    </row>
    <row r="27" spans="1:22" ht="13" x14ac:dyDescent="0.3">
      <c r="B27" s="33"/>
      <c r="C27" s="5"/>
      <c r="D27" s="17"/>
      <c r="I27" s="130"/>
      <c r="J27" s="113"/>
      <c r="K27" s="113"/>
      <c r="L27" s="113"/>
      <c r="M27" s="97"/>
      <c r="Q27" s="346" t="s">
        <v>15</v>
      </c>
      <c r="R27" s="346"/>
      <c r="S27" s="346"/>
      <c r="T27" s="346"/>
      <c r="U27" s="346"/>
      <c r="V27" s="346"/>
    </row>
    <row r="28" spans="1:22" ht="39"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2" ht="13" x14ac:dyDescent="0.3">
      <c r="A29" s="347" t="s">
        <v>9</v>
      </c>
      <c r="B29" s="347"/>
      <c r="C29" s="73">
        <f>$J$23</f>
        <v>42473</v>
      </c>
      <c r="D29" s="73">
        <f t="shared" ref="D29:D48" si="3">DATE(YEAR(C29),IF(MONTH(C29)&lt;=3,3,IF(MONTH(C29)&lt;=6,6,IF(MONTH(C29)&lt;=9,9,12))),IF(OR(MONTH(C29)&lt;=3,MONTH(C29)&gt;=10),31,30))</f>
        <v>42551</v>
      </c>
      <c r="E29" s="72">
        <f t="shared" ref="E29:E48" si="4">D29-C29+1</f>
        <v>79</v>
      </c>
      <c r="F29" s="74">
        <f>VLOOKUP(D29,'FERC Interest Rate'!$A:$B,2,TRUE)</f>
        <v>3.4599999999999999E-2</v>
      </c>
      <c r="G29" s="75">
        <f>+SUM(C2:C10)</f>
        <v>972651</v>
      </c>
      <c r="H29" s="75">
        <f>G29*F29*(E29/(DATE(YEAR(D29),12,31)-DATE(YEAR(D29),1,1)+1))</f>
        <v>7264.0553098360651</v>
      </c>
      <c r="I29" s="99">
        <v>0</v>
      </c>
      <c r="J29" s="76">
        <v>0</v>
      </c>
      <c r="K29" s="116">
        <f t="shared" ref="K29:K48" si="5">+SUM(I29:J29)</f>
        <v>0</v>
      </c>
      <c r="L29" s="76">
        <v>0</v>
      </c>
      <c r="M29" s="117">
        <f t="shared" ref="M29:M48" si="6">+SUM(K29:L29)</f>
        <v>0</v>
      </c>
      <c r="N29" s="8">
        <f t="shared" ref="N29:N48" si="7">+G29+H29+J29</f>
        <v>979915.05530983605</v>
      </c>
      <c r="O29" s="75">
        <f t="shared" ref="O29:O48" si="8">G29+H29-L29-I29</f>
        <v>979915.05530983605</v>
      </c>
      <c r="Q29" s="73">
        <f>$J$23</f>
        <v>42473</v>
      </c>
      <c r="R29" s="73">
        <f>DATE(YEAR(Q29),IF(MONTH(Q29)&lt;=3,3,IF(MONTH(Q29)&lt;=6,6,IF(MONTH(Q29)&lt;=9,9,12))),IF(OR(MONTH(Q29)&lt;=3,MONTH(Q29)&gt;=10),31,30))</f>
        <v>42551</v>
      </c>
      <c r="S29" s="76">
        <f>+I60+I92+I123+I153+I182+I210+I237+I263</f>
        <v>0</v>
      </c>
      <c r="T29" s="76">
        <f>+J60+J92+J123+J153+J182+J210+J237+J263</f>
        <v>0</v>
      </c>
      <c r="U29" s="75">
        <f t="shared" ref="U29:U48" si="9">T29+S29</f>
        <v>0</v>
      </c>
      <c r="V29" s="76">
        <f>+L60+L92+L123+L153+L182+L210+L237+L263</f>
        <v>0</v>
      </c>
    </row>
    <row r="30" spans="1:22" x14ac:dyDescent="0.25">
      <c r="A30" s="309" t="s">
        <v>120</v>
      </c>
      <c r="B30" s="72" t="str">
        <f t="shared" ref="B30:B48" si="10">+IF(MONTH(C30)&lt;4,"Q1",IF(MONTH(C30)&lt;7,"Q2",IF(MONTH(C30)&lt;10,"Q3","Q4")))&amp;"/"&amp;YEAR(C30)</f>
        <v>Q3/2016</v>
      </c>
      <c r="C30" s="73">
        <f>D29+1</f>
        <v>42552</v>
      </c>
      <c r="D30" s="73">
        <f t="shared" si="3"/>
        <v>42643</v>
      </c>
      <c r="E30" s="72">
        <f t="shared" si="4"/>
        <v>92</v>
      </c>
      <c r="F30" s="74">
        <f>VLOOKUP(D30,'FERC Interest Rate'!$A:$B,2,TRUE)</f>
        <v>3.5000000000000003E-2</v>
      </c>
      <c r="G30" s="75">
        <f>O29</f>
        <v>979915.05530983605</v>
      </c>
      <c r="H30" s="75">
        <f>G30*F30*(E30/(DATE(YEAR(D30),12,31)-DATE(YEAR(D30),1,1)+1))</f>
        <v>8621.1105958952812</v>
      </c>
      <c r="I30" s="99">
        <f>(SUM($H$29:$H$48)/20)*2</f>
        <v>1588.5165905731346</v>
      </c>
      <c r="J30" s="76">
        <f t="shared" ref="J30:J48" si="11">G30*F30*(E30/(DATE(YEAR(D30),12,31)-DATE(YEAR(D30),1,1)+1))</f>
        <v>8621.1105958952812</v>
      </c>
      <c r="K30" s="116">
        <f t="shared" si="5"/>
        <v>10209.627186468417</v>
      </c>
      <c r="L30" s="76">
        <f>(2*$G$29/20)</f>
        <v>97265.1</v>
      </c>
      <c r="M30" s="117">
        <f t="shared" si="6"/>
        <v>107474.72718646843</v>
      </c>
      <c r="N30" s="8">
        <f t="shared" si="7"/>
        <v>997157.27650162671</v>
      </c>
      <c r="O30" s="75">
        <f t="shared" si="8"/>
        <v>889682.54931515828</v>
      </c>
      <c r="Q30" s="73">
        <f>R29+1</f>
        <v>42552</v>
      </c>
      <c r="R30" s="73">
        <f>EOMONTH(R29,3)</f>
        <v>42643</v>
      </c>
      <c r="S30" s="76">
        <f t="shared" ref="S30:S48" si="12">+I61+I93+I124+I154+I183+I211+I238+I264</f>
        <v>0</v>
      </c>
      <c r="T30" s="76">
        <f t="shared" ref="T30:T48" si="13">+J61+J93+J124+J154+J183+J211+J238+J264</f>
        <v>0</v>
      </c>
      <c r="U30" s="75">
        <f t="shared" si="9"/>
        <v>0</v>
      </c>
      <c r="V30" s="76">
        <f t="shared" ref="V30:V48" si="14">+L61+L93+L124+L154+L183+L211+L238+L264</f>
        <v>0</v>
      </c>
    </row>
    <row r="31" spans="1:22" x14ac:dyDescent="0.25">
      <c r="A31" s="17" t="s">
        <v>54</v>
      </c>
      <c r="B31" s="72" t="str">
        <f t="shared" si="10"/>
        <v>Q4/2016</v>
      </c>
      <c r="C31" s="73">
        <f t="shared" ref="C31:C48" si="15">D30+1</f>
        <v>42644</v>
      </c>
      <c r="D31" s="73">
        <f t="shared" si="3"/>
        <v>42735</v>
      </c>
      <c r="E31" s="72">
        <f t="shared" si="4"/>
        <v>92</v>
      </c>
      <c r="F31" s="74">
        <f>VLOOKUP(D31,'FERC Interest Rate'!$A:$B,2,TRUE)</f>
        <v>3.5000000000000003E-2</v>
      </c>
      <c r="G31" s="75">
        <f>O30+C11+C12</f>
        <v>924196.54931515828</v>
      </c>
      <c r="H31" s="75">
        <v>0</v>
      </c>
      <c r="I31" s="99">
        <f t="shared" ref="I31:I48" si="16">(SUM($H$29:$H$48)/20)</f>
        <v>794.25829528656732</v>
      </c>
      <c r="J31" s="76">
        <f t="shared" si="11"/>
        <v>8130.9095322262565</v>
      </c>
      <c r="K31" s="116">
        <f t="shared" si="5"/>
        <v>8925.1678275128234</v>
      </c>
      <c r="L31" s="76">
        <f>($G$29/20)+($C$11/18)+($C$12/18)</f>
        <v>50549.994444444448</v>
      </c>
      <c r="M31" s="117">
        <f t="shared" si="6"/>
        <v>59475.16227195727</v>
      </c>
      <c r="N31" s="8">
        <f t="shared" si="7"/>
        <v>932327.45884738455</v>
      </c>
      <c r="O31" s="75">
        <f t="shared" si="8"/>
        <v>872852.29657542729</v>
      </c>
      <c r="Q31" s="73">
        <f t="shared" ref="Q31:Q48" si="17">R30+1</f>
        <v>42644</v>
      </c>
      <c r="R31" s="73">
        <f t="shared" ref="R31:R48" si="18">EOMONTH(R30,3)</f>
        <v>42735</v>
      </c>
      <c r="S31" s="76">
        <f t="shared" si="12"/>
        <v>0</v>
      </c>
      <c r="T31" s="76">
        <f t="shared" si="13"/>
        <v>0</v>
      </c>
      <c r="U31" s="75">
        <f t="shared" si="9"/>
        <v>0</v>
      </c>
      <c r="V31" s="76">
        <f t="shared" si="14"/>
        <v>0</v>
      </c>
    </row>
    <row r="32" spans="1:22" x14ac:dyDescent="0.25">
      <c r="A32" s="17" t="s">
        <v>55</v>
      </c>
      <c r="B32" s="72" t="str">
        <f t="shared" si="10"/>
        <v>Q1/2017</v>
      </c>
      <c r="C32" s="73">
        <f t="shared" si="15"/>
        <v>42736</v>
      </c>
      <c r="D32" s="73">
        <f t="shared" si="3"/>
        <v>42825</v>
      </c>
      <c r="E32" s="72">
        <f t="shared" si="4"/>
        <v>90</v>
      </c>
      <c r="F32" s="74">
        <f>VLOOKUP(D32,'FERC Interest Rate'!$A:$B,2,TRUE)</f>
        <v>3.5000000000000003E-2</v>
      </c>
      <c r="G32" s="75">
        <f>O31+C13</f>
        <v>881290.29657542729</v>
      </c>
      <c r="H32" s="75">
        <v>0</v>
      </c>
      <c r="I32" s="99">
        <f t="shared" si="16"/>
        <v>794.25829528656732</v>
      </c>
      <c r="J32" s="76">
        <f t="shared" si="11"/>
        <v>7605.6559841440985</v>
      </c>
      <c r="K32" s="116">
        <f t="shared" si="5"/>
        <v>8399.9142794306663</v>
      </c>
      <c r="L32" s="76">
        <f>($G$29/20)+($C$11/18)+($C$12/18)+($C$13/17)</f>
        <v>51046.347385620917</v>
      </c>
      <c r="M32" s="117">
        <f t="shared" si="6"/>
        <v>59446.261665051585</v>
      </c>
      <c r="N32" s="8">
        <f t="shared" si="7"/>
        <v>888895.95255957136</v>
      </c>
      <c r="O32" s="75">
        <f t="shared" si="8"/>
        <v>829449.69089451979</v>
      </c>
      <c r="Q32" s="73">
        <f t="shared" si="17"/>
        <v>42736</v>
      </c>
      <c r="R32" s="73">
        <f t="shared" si="18"/>
        <v>42825</v>
      </c>
      <c r="S32" s="76">
        <f t="shared" si="12"/>
        <v>282.45856293147017</v>
      </c>
      <c r="T32" s="76">
        <f t="shared" si="13"/>
        <v>168.62996704107198</v>
      </c>
      <c r="U32" s="75">
        <f t="shared" si="9"/>
        <v>451.08852997254212</v>
      </c>
      <c r="V32" s="76">
        <f t="shared" si="14"/>
        <v>3659.2</v>
      </c>
    </row>
    <row r="33" spans="1:22" x14ac:dyDescent="0.25">
      <c r="A33" s="17" t="s">
        <v>56</v>
      </c>
      <c r="B33" s="72" t="str">
        <f t="shared" si="10"/>
        <v>Q2/2017</v>
      </c>
      <c r="C33" s="73">
        <f t="shared" si="15"/>
        <v>42826</v>
      </c>
      <c r="D33" s="73">
        <f t="shared" si="3"/>
        <v>42916</v>
      </c>
      <c r="E33" s="72">
        <f t="shared" si="4"/>
        <v>91</v>
      </c>
      <c r="F33" s="74">
        <f>VLOOKUP(D33,'FERC Interest Rate'!$A:$B,2,TRUE)</f>
        <v>3.7100000000000001E-2</v>
      </c>
      <c r="G33" s="75">
        <f>O32+C14+C15</f>
        <v>835642.69089451979</v>
      </c>
      <c r="H33" s="75">
        <v>0</v>
      </c>
      <c r="I33" s="99">
        <f t="shared" si="16"/>
        <v>794.25829528656732</v>
      </c>
      <c r="J33" s="76">
        <f t="shared" si="11"/>
        <v>7729.351475969831</v>
      </c>
      <c r="K33" s="116">
        <f t="shared" si="5"/>
        <v>8523.6097712563987</v>
      </c>
      <c r="L33" s="76">
        <f>($G$29/20)+($C$11/18)+($C$12/18)+($C$13/17)+($C$14/16)</f>
        <v>51361.159885620917</v>
      </c>
      <c r="M33" s="117">
        <f t="shared" si="6"/>
        <v>59884.769656877317</v>
      </c>
      <c r="N33" s="8">
        <f t="shared" si="7"/>
        <v>843372.04237048968</v>
      </c>
      <c r="O33" s="75">
        <f t="shared" si="8"/>
        <v>783487.2727136123</v>
      </c>
      <c r="Q33" s="73">
        <f t="shared" si="17"/>
        <v>42826</v>
      </c>
      <c r="R33" s="73">
        <f t="shared" si="18"/>
        <v>42916</v>
      </c>
      <c r="S33" s="76">
        <f t="shared" si="12"/>
        <v>70.614640732867542</v>
      </c>
      <c r="T33" s="76">
        <f t="shared" si="13"/>
        <v>145.8348873897308</v>
      </c>
      <c r="U33" s="75">
        <f t="shared" si="9"/>
        <v>216.44952812259834</v>
      </c>
      <c r="V33" s="76">
        <f t="shared" si="14"/>
        <v>914.8</v>
      </c>
    </row>
    <row r="34" spans="1:22" x14ac:dyDescent="0.25">
      <c r="A34" s="17" t="s">
        <v>57</v>
      </c>
      <c r="B34" s="72" t="str">
        <f t="shared" si="10"/>
        <v>Q3/2017</v>
      </c>
      <c r="C34" s="73">
        <f t="shared" si="15"/>
        <v>42917</v>
      </c>
      <c r="D34" s="73">
        <f t="shared" si="3"/>
        <v>43008</v>
      </c>
      <c r="E34" s="72">
        <f t="shared" si="4"/>
        <v>92</v>
      </c>
      <c r="F34" s="74">
        <f>VLOOKUP(D34,'FERC Interest Rate'!$A:$B,2,TRUE)</f>
        <v>3.9600000000000003E-2</v>
      </c>
      <c r="G34" s="75">
        <f t="shared" ref="G34:G48" si="19">O33</f>
        <v>783487.2727136123</v>
      </c>
      <c r="H34" s="75">
        <v>0</v>
      </c>
      <c r="I34" s="99">
        <f t="shared" si="16"/>
        <v>794.25829528656732</v>
      </c>
      <c r="J34" s="76">
        <f t="shared" si="11"/>
        <v>7820.2762519184453</v>
      </c>
      <c r="K34" s="116">
        <f t="shared" si="5"/>
        <v>8614.5345472050121</v>
      </c>
      <c r="L34" s="76">
        <f>($G$29/20)+($C$11/18)+($C$12/18)+($C$13/17)+($C$14/16)</f>
        <v>51361.159885620917</v>
      </c>
      <c r="M34" s="117">
        <f t="shared" si="6"/>
        <v>59975.694432825927</v>
      </c>
      <c r="N34" s="8">
        <f t="shared" si="7"/>
        <v>791307.5489655307</v>
      </c>
      <c r="O34" s="75">
        <f t="shared" si="8"/>
        <v>731331.85453270481</v>
      </c>
      <c r="Q34" s="73">
        <f t="shared" si="17"/>
        <v>42917</v>
      </c>
      <c r="R34" s="73">
        <f t="shared" si="18"/>
        <v>43008</v>
      </c>
      <c r="S34" s="76">
        <f t="shared" si="12"/>
        <v>70.614640732867542</v>
      </c>
      <c r="T34" s="76">
        <f t="shared" si="13"/>
        <v>147.53681996375272</v>
      </c>
      <c r="U34" s="75">
        <f t="shared" si="9"/>
        <v>218.15146069662026</v>
      </c>
      <c r="V34" s="76">
        <f t="shared" si="14"/>
        <v>914.8</v>
      </c>
    </row>
    <row r="35" spans="1:22" x14ac:dyDescent="0.25">
      <c r="A35" s="17" t="s">
        <v>58</v>
      </c>
      <c r="B35" s="72" t="str">
        <f t="shared" si="10"/>
        <v>Q4/2017</v>
      </c>
      <c r="C35" s="73">
        <f t="shared" si="15"/>
        <v>43009</v>
      </c>
      <c r="D35" s="73">
        <f t="shared" si="3"/>
        <v>43100</v>
      </c>
      <c r="E35" s="72">
        <f t="shared" si="4"/>
        <v>92</v>
      </c>
      <c r="F35" s="74">
        <f>VLOOKUP(D35,'FERC Interest Rate'!$A:$B,2,TRUE)</f>
        <v>4.2099999999999999E-2</v>
      </c>
      <c r="G35" s="75">
        <f t="shared" si="19"/>
        <v>731331.85453270481</v>
      </c>
      <c r="H35" s="75">
        <v>0</v>
      </c>
      <c r="I35" s="99">
        <f t="shared" si="16"/>
        <v>794.25829528656732</v>
      </c>
      <c r="J35" s="76">
        <f t="shared" si="11"/>
        <v>7760.5329834960894</v>
      </c>
      <c r="K35" s="116">
        <f t="shared" si="5"/>
        <v>8554.7912787826572</v>
      </c>
      <c r="L35" s="76">
        <f>($G$29/20)+($C$11/18)+($C$12/18)+($C$13/17)+($C$14/16)+($C$15/14)</f>
        <v>51443.731314192344</v>
      </c>
      <c r="M35" s="117">
        <f t="shared" si="6"/>
        <v>59998.522592975001</v>
      </c>
      <c r="N35" s="8">
        <f t="shared" si="7"/>
        <v>739092.38751620089</v>
      </c>
      <c r="O35" s="75">
        <f t="shared" si="8"/>
        <v>679093.86492322595</v>
      </c>
      <c r="Q35" s="73">
        <f t="shared" si="17"/>
        <v>43009</v>
      </c>
      <c r="R35" s="73">
        <f t="shared" si="18"/>
        <v>43100</v>
      </c>
      <c r="S35" s="76">
        <f t="shared" si="12"/>
        <v>70.614640732867542</v>
      </c>
      <c r="T35" s="76">
        <f t="shared" si="13"/>
        <v>146.39427893373039</v>
      </c>
      <c r="U35" s="75">
        <f t="shared" si="9"/>
        <v>217.00891966659793</v>
      </c>
      <c r="V35" s="76">
        <f t="shared" si="14"/>
        <v>914.8</v>
      </c>
    </row>
    <row r="36" spans="1:22" x14ac:dyDescent="0.25">
      <c r="A36" s="17" t="s">
        <v>59</v>
      </c>
      <c r="B36" s="72" t="str">
        <f t="shared" si="10"/>
        <v>Q1/2018</v>
      </c>
      <c r="C36" s="73">
        <f t="shared" si="15"/>
        <v>43101</v>
      </c>
      <c r="D36" s="73">
        <f t="shared" si="3"/>
        <v>43190</v>
      </c>
      <c r="E36" s="72">
        <f t="shared" si="4"/>
        <v>90</v>
      </c>
      <c r="F36" s="74">
        <f>VLOOKUP(D36,'FERC Interest Rate'!$A:$B,2,TRUE)</f>
        <v>4.2500000000000003E-2</v>
      </c>
      <c r="G36" s="75">
        <f t="shared" si="19"/>
        <v>679093.86492322595</v>
      </c>
      <c r="H36" s="75">
        <v>0</v>
      </c>
      <c r="I36" s="99">
        <f t="shared" si="16"/>
        <v>794.25829528656732</v>
      </c>
      <c r="J36" s="76">
        <f t="shared" si="11"/>
        <v>7116.5315981680524</v>
      </c>
      <c r="K36" s="116">
        <f t="shared" si="5"/>
        <v>7910.7898934546192</v>
      </c>
      <c r="L36" s="76">
        <f t="shared" ref="L36:L48" si="20">($G$29/20)+($C$11/18)+($C$12/18)+($C$13/17)+($C$14/16)+($C$15/14)</f>
        <v>51443.731314192344</v>
      </c>
      <c r="M36" s="117">
        <f t="shared" si="6"/>
        <v>59354.521207646962</v>
      </c>
      <c r="N36" s="8">
        <f t="shared" si="7"/>
        <v>686210.39652139402</v>
      </c>
      <c r="O36" s="75">
        <f t="shared" si="8"/>
        <v>626855.87531374709</v>
      </c>
      <c r="Q36" s="73">
        <f t="shared" si="17"/>
        <v>43101</v>
      </c>
      <c r="R36" s="73">
        <f t="shared" si="18"/>
        <v>43190</v>
      </c>
      <c r="S36" s="76">
        <f t="shared" si="12"/>
        <v>70.614640732867542</v>
      </c>
      <c r="T36" s="76">
        <f t="shared" si="13"/>
        <v>134.24587126148447</v>
      </c>
      <c r="U36" s="75">
        <f t="shared" si="9"/>
        <v>204.86051199435201</v>
      </c>
      <c r="V36" s="76">
        <f t="shared" si="14"/>
        <v>914.8</v>
      </c>
    </row>
    <row r="37" spans="1:22" x14ac:dyDescent="0.25">
      <c r="A37" s="17" t="s">
        <v>60</v>
      </c>
      <c r="B37" s="72" t="str">
        <f t="shared" si="10"/>
        <v>Q2/2018</v>
      </c>
      <c r="C37" s="73">
        <f t="shared" si="15"/>
        <v>43191</v>
      </c>
      <c r="D37" s="73">
        <f t="shared" si="3"/>
        <v>43281</v>
      </c>
      <c r="E37" s="72">
        <f t="shared" si="4"/>
        <v>91</v>
      </c>
      <c r="F37" s="74">
        <f>VLOOKUP(D37,'FERC Interest Rate'!$A:$B,2,TRUE)</f>
        <v>4.4699999999999997E-2</v>
      </c>
      <c r="G37" s="75">
        <f t="shared" si="19"/>
        <v>626855.87531374709</v>
      </c>
      <c r="H37" s="75">
        <v>0</v>
      </c>
      <c r="I37" s="99">
        <f t="shared" si="16"/>
        <v>794.25829528656732</v>
      </c>
      <c r="J37" s="76">
        <f t="shared" si="11"/>
        <v>6985.9223123663805</v>
      </c>
      <c r="K37" s="116">
        <f t="shared" si="5"/>
        <v>7780.1806076529483</v>
      </c>
      <c r="L37" s="76">
        <f t="shared" si="20"/>
        <v>51443.731314192344</v>
      </c>
      <c r="M37" s="117">
        <f t="shared" si="6"/>
        <v>59223.911921845291</v>
      </c>
      <c r="N37" s="8">
        <f t="shared" si="7"/>
        <v>633841.79762611352</v>
      </c>
      <c r="O37" s="75">
        <f t="shared" si="8"/>
        <v>574617.88570426824</v>
      </c>
      <c r="Q37" s="73">
        <f t="shared" si="17"/>
        <v>43191</v>
      </c>
      <c r="R37" s="73">
        <f t="shared" si="18"/>
        <v>43281</v>
      </c>
      <c r="S37" s="76">
        <f t="shared" si="12"/>
        <v>70.614640732867542</v>
      </c>
      <c r="T37" s="76">
        <f t="shared" si="13"/>
        <v>131.78206468303839</v>
      </c>
      <c r="U37" s="75">
        <f t="shared" si="9"/>
        <v>202.39670541590593</v>
      </c>
      <c r="V37" s="76">
        <f t="shared" si="14"/>
        <v>914.8</v>
      </c>
    </row>
    <row r="38" spans="1:22" x14ac:dyDescent="0.25">
      <c r="A38" s="17" t="s">
        <v>61</v>
      </c>
      <c r="B38" s="72" t="str">
        <f t="shared" si="10"/>
        <v>Q3/2018</v>
      </c>
      <c r="C38" s="73">
        <f t="shared" si="15"/>
        <v>43282</v>
      </c>
      <c r="D38" s="73">
        <f t="shared" si="3"/>
        <v>43373</v>
      </c>
      <c r="E38" s="72">
        <f t="shared" si="4"/>
        <v>92</v>
      </c>
      <c r="F38" s="74">
        <f>VLOOKUP(D38,'FERC Interest Rate'!$A:$B,2,TRUE)</f>
        <v>4.6899999999999997E-2</v>
      </c>
      <c r="G38" s="75">
        <f t="shared" si="19"/>
        <v>574617.88570426824</v>
      </c>
      <c r="H38" s="75">
        <v>0</v>
      </c>
      <c r="I38" s="99">
        <f t="shared" si="16"/>
        <v>794.25829528656732</v>
      </c>
      <c r="J38" s="76">
        <f t="shared" si="11"/>
        <v>6792.7705568130868</v>
      </c>
      <c r="K38" s="116">
        <f t="shared" si="5"/>
        <v>7587.0288520996546</v>
      </c>
      <c r="L38" s="76">
        <f t="shared" si="20"/>
        <v>51443.731314192344</v>
      </c>
      <c r="M38" s="117">
        <f t="shared" si="6"/>
        <v>59030.760166291999</v>
      </c>
      <c r="N38" s="8">
        <f t="shared" si="7"/>
        <v>581410.65626108134</v>
      </c>
      <c r="O38" s="75">
        <f t="shared" si="8"/>
        <v>522379.89609478932</v>
      </c>
      <c r="Q38" s="73">
        <f t="shared" si="17"/>
        <v>43282</v>
      </c>
      <c r="R38" s="73">
        <f t="shared" si="18"/>
        <v>43373</v>
      </c>
      <c r="S38" s="76">
        <f t="shared" si="12"/>
        <v>70.614640732867542</v>
      </c>
      <c r="T38" s="76">
        <f t="shared" si="13"/>
        <v>128.13846030185186</v>
      </c>
      <c r="U38" s="75">
        <f t="shared" si="9"/>
        <v>198.75310103471941</v>
      </c>
      <c r="V38" s="76">
        <f t="shared" si="14"/>
        <v>914.8</v>
      </c>
    </row>
    <row r="39" spans="1:22" x14ac:dyDescent="0.25">
      <c r="A39" s="17" t="s">
        <v>62</v>
      </c>
      <c r="B39" s="72" t="str">
        <f t="shared" si="10"/>
        <v>Q4/2018</v>
      </c>
      <c r="C39" s="73">
        <f t="shared" si="15"/>
        <v>43374</v>
      </c>
      <c r="D39" s="73">
        <f t="shared" si="3"/>
        <v>43465</v>
      </c>
      <c r="E39" s="72">
        <f t="shared" si="4"/>
        <v>92</v>
      </c>
      <c r="F39" s="74">
        <f>VLOOKUP(D39,'FERC Interest Rate'!$A:$B,2,TRUE)</f>
        <v>4.9599999999999998E-2</v>
      </c>
      <c r="G39" s="75">
        <f t="shared" si="19"/>
        <v>522379.89609478932</v>
      </c>
      <c r="H39" s="75">
        <v>0</v>
      </c>
      <c r="I39" s="99">
        <f t="shared" si="16"/>
        <v>794.25829528656732</v>
      </c>
      <c r="J39" s="76">
        <f t="shared" si="11"/>
        <v>6530.7505256431305</v>
      </c>
      <c r="K39" s="116">
        <f t="shared" si="5"/>
        <v>7325.0088209296973</v>
      </c>
      <c r="L39" s="76">
        <f t="shared" si="20"/>
        <v>51443.731314192344</v>
      </c>
      <c r="M39" s="117">
        <f t="shared" si="6"/>
        <v>58768.74013512204</v>
      </c>
      <c r="N39" s="8">
        <f t="shared" si="7"/>
        <v>528910.6466204325</v>
      </c>
      <c r="O39" s="75">
        <f t="shared" si="8"/>
        <v>470141.90648531041</v>
      </c>
      <c r="Q39" s="73">
        <f t="shared" si="17"/>
        <v>43374</v>
      </c>
      <c r="R39" s="73">
        <f t="shared" si="18"/>
        <v>43465</v>
      </c>
      <c r="S39" s="76">
        <f t="shared" si="12"/>
        <v>70.614640732867542</v>
      </c>
      <c r="T39" s="76">
        <f t="shared" si="13"/>
        <v>123.19572845458136</v>
      </c>
      <c r="U39" s="75">
        <f t="shared" si="9"/>
        <v>193.81036918744888</v>
      </c>
      <c r="V39" s="76">
        <f t="shared" si="14"/>
        <v>914.8</v>
      </c>
    </row>
    <row r="40" spans="1:22" x14ac:dyDescent="0.25">
      <c r="A40" s="17" t="s">
        <v>63</v>
      </c>
      <c r="B40" s="72" t="str">
        <f t="shared" si="10"/>
        <v>Q1/2019</v>
      </c>
      <c r="C40" s="73">
        <f t="shared" si="15"/>
        <v>43466</v>
      </c>
      <c r="D40" s="73">
        <f t="shared" si="3"/>
        <v>43555</v>
      </c>
      <c r="E40" s="72">
        <f t="shared" si="4"/>
        <v>90</v>
      </c>
      <c r="F40" s="74">
        <f>VLOOKUP(D40,'FERC Interest Rate'!$A:$B,2,TRUE)</f>
        <v>5.1799999999999999E-2</v>
      </c>
      <c r="G40" s="75">
        <f t="shared" si="19"/>
        <v>470141.90648531041</v>
      </c>
      <c r="H40" s="75">
        <v>0</v>
      </c>
      <c r="I40" s="99">
        <f t="shared" si="16"/>
        <v>794.25829528656732</v>
      </c>
      <c r="J40" s="76">
        <f t="shared" si="11"/>
        <v>6004.9358028342931</v>
      </c>
      <c r="K40" s="116">
        <f t="shared" si="5"/>
        <v>6799.1940981208609</v>
      </c>
      <c r="L40" s="76">
        <f t="shared" si="20"/>
        <v>51443.731314192344</v>
      </c>
      <c r="M40" s="117">
        <f t="shared" si="6"/>
        <v>58242.925412313205</v>
      </c>
      <c r="N40" s="8">
        <f t="shared" si="7"/>
        <v>476146.84228814469</v>
      </c>
      <c r="O40" s="75">
        <f t="shared" si="8"/>
        <v>417903.91687583149</v>
      </c>
      <c r="Q40" s="73">
        <f t="shared" si="17"/>
        <v>43466</v>
      </c>
      <c r="R40" s="73">
        <f t="shared" si="18"/>
        <v>43555</v>
      </c>
      <c r="S40" s="76">
        <f t="shared" si="12"/>
        <v>70.614640732867542</v>
      </c>
      <c r="T40" s="76">
        <f t="shared" si="13"/>
        <v>113.27678765991681</v>
      </c>
      <c r="U40" s="75">
        <f t="shared" si="9"/>
        <v>183.89142839278435</v>
      </c>
      <c r="V40" s="76">
        <f t="shared" si="14"/>
        <v>914.8</v>
      </c>
    </row>
    <row r="41" spans="1:22" x14ac:dyDescent="0.25">
      <c r="A41" s="17" t="s">
        <v>64</v>
      </c>
      <c r="B41" s="72" t="str">
        <f t="shared" si="10"/>
        <v>Q2/2019</v>
      </c>
      <c r="C41" s="73">
        <f t="shared" si="15"/>
        <v>43556</v>
      </c>
      <c r="D41" s="73">
        <f t="shared" si="3"/>
        <v>43646</v>
      </c>
      <c r="E41" s="72">
        <f t="shared" si="4"/>
        <v>91</v>
      </c>
      <c r="F41" s="74">
        <f>VLOOKUP(D41,'FERC Interest Rate'!$A:$B,2,TRUE)</f>
        <v>5.45E-2</v>
      </c>
      <c r="G41" s="75">
        <f t="shared" si="19"/>
        <v>417903.91687583149</v>
      </c>
      <c r="H41" s="75">
        <v>0</v>
      </c>
      <c r="I41" s="99">
        <f t="shared" si="16"/>
        <v>794.25829528656732</v>
      </c>
      <c r="J41" s="76">
        <f t="shared" si="11"/>
        <v>5678.3410294402365</v>
      </c>
      <c r="K41" s="116">
        <f t="shared" si="5"/>
        <v>6472.5993247268034</v>
      </c>
      <c r="L41" s="76">
        <f t="shared" si="20"/>
        <v>51443.731314192344</v>
      </c>
      <c r="M41" s="117">
        <f t="shared" si="6"/>
        <v>57916.330638919149</v>
      </c>
      <c r="N41" s="8">
        <f t="shared" si="7"/>
        <v>423582.25790527172</v>
      </c>
      <c r="O41" s="75">
        <f t="shared" si="8"/>
        <v>365665.92726635258</v>
      </c>
      <c r="Q41" s="73">
        <f t="shared" si="17"/>
        <v>43556</v>
      </c>
      <c r="R41" s="73">
        <f t="shared" si="18"/>
        <v>43646</v>
      </c>
      <c r="S41" s="76">
        <f t="shared" si="12"/>
        <v>70.614640732867542</v>
      </c>
      <c r="T41" s="76">
        <f t="shared" si="13"/>
        <v>107.11592133073214</v>
      </c>
      <c r="U41" s="75">
        <f t="shared" si="9"/>
        <v>177.73056206359968</v>
      </c>
      <c r="V41" s="76">
        <f t="shared" si="14"/>
        <v>914.8</v>
      </c>
    </row>
    <row r="42" spans="1:22" x14ac:dyDescent="0.25">
      <c r="A42" s="17" t="s">
        <v>65</v>
      </c>
      <c r="B42" s="72" t="str">
        <f t="shared" si="10"/>
        <v>Q3/2019</v>
      </c>
      <c r="C42" s="73">
        <f t="shared" si="15"/>
        <v>43647</v>
      </c>
      <c r="D42" s="73">
        <f t="shared" si="3"/>
        <v>43738</v>
      </c>
      <c r="E42" s="72">
        <f t="shared" si="4"/>
        <v>92</v>
      </c>
      <c r="F42" s="74">
        <f>VLOOKUP(D42,'FERC Interest Rate'!$A:$B,2,TRUE)</f>
        <v>5.5E-2</v>
      </c>
      <c r="G42" s="75">
        <f t="shared" si="19"/>
        <v>365665.92726635258</v>
      </c>
      <c r="H42" s="75">
        <v>0</v>
      </c>
      <c r="I42" s="99">
        <f t="shared" si="16"/>
        <v>794.25829528656732</v>
      </c>
      <c r="J42" s="76">
        <f t="shared" si="11"/>
        <v>5069.2317588157375</v>
      </c>
      <c r="K42" s="116">
        <f t="shared" si="5"/>
        <v>5863.4900541023053</v>
      </c>
      <c r="L42" s="76">
        <f t="shared" si="20"/>
        <v>51443.731314192344</v>
      </c>
      <c r="M42" s="117">
        <f t="shared" si="6"/>
        <v>57307.221368294646</v>
      </c>
      <c r="N42" s="8">
        <f t="shared" si="7"/>
        <v>370735.15902516834</v>
      </c>
      <c r="O42" s="75">
        <f t="shared" si="8"/>
        <v>313427.93765687366</v>
      </c>
      <c r="Q42" s="73">
        <f t="shared" si="17"/>
        <v>43647</v>
      </c>
      <c r="R42" s="73">
        <f t="shared" si="18"/>
        <v>43738</v>
      </c>
      <c r="S42" s="76">
        <f t="shared" si="12"/>
        <v>70.614640732867542</v>
      </c>
      <c r="T42" s="76">
        <f t="shared" si="13"/>
        <v>95.625716643173021</v>
      </c>
      <c r="U42" s="75">
        <f t="shared" si="9"/>
        <v>166.24035737604055</v>
      </c>
      <c r="V42" s="76">
        <f t="shared" si="14"/>
        <v>914.8</v>
      </c>
    </row>
    <row r="43" spans="1:22" x14ac:dyDescent="0.25">
      <c r="A43" s="17" t="s">
        <v>66</v>
      </c>
      <c r="B43" s="72" t="str">
        <f t="shared" si="10"/>
        <v>Q4/2019</v>
      </c>
      <c r="C43" s="73">
        <f t="shared" si="15"/>
        <v>43739</v>
      </c>
      <c r="D43" s="73">
        <f t="shared" si="3"/>
        <v>43830</v>
      </c>
      <c r="E43" s="72">
        <f t="shared" si="4"/>
        <v>92</v>
      </c>
      <c r="F43" s="74">
        <f>VLOOKUP(D43,'FERC Interest Rate'!$A:$B,2,TRUE)</f>
        <v>5.4199999999999998E-2</v>
      </c>
      <c r="G43" s="75">
        <f t="shared" si="19"/>
        <v>313427.93765687366</v>
      </c>
      <c r="H43" s="75">
        <v>0</v>
      </c>
      <c r="I43" s="99">
        <f t="shared" si="16"/>
        <v>794.25829528656732</v>
      </c>
      <c r="J43" s="76">
        <f t="shared" si="11"/>
        <v>4281.85498173215</v>
      </c>
      <c r="K43" s="116">
        <f t="shared" si="5"/>
        <v>5076.1132770187178</v>
      </c>
      <c r="L43" s="76">
        <f t="shared" si="20"/>
        <v>51443.731314192344</v>
      </c>
      <c r="M43" s="117">
        <f t="shared" si="6"/>
        <v>56519.844591211062</v>
      </c>
      <c r="N43" s="8">
        <f t="shared" si="7"/>
        <v>317709.79263860581</v>
      </c>
      <c r="O43" s="75">
        <f t="shared" si="8"/>
        <v>261189.94804739475</v>
      </c>
      <c r="Q43" s="73">
        <f t="shared" si="17"/>
        <v>43739</v>
      </c>
      <c r="R43" s="73">
        <f t="shared" si="18"/>
        <v>43830</v>
      </c>
      <c r="S43" s="76">
        <f t="shared" si="12"/>
        <v>70.614640732867542</v>
      </c>
      <c r="T43" s="76">
        <f t="shared" si="13"/>
        <v>80.772683252882743</v>
      </c>
      <c r="U43" s="75">
        <f t="shared" si="9"/>
        <v>151.3873239857503</v>
      </c>
      <c r="V43" s="76">
        <f t="shared" si="14"/>
        <v>914.8</v>
      </c>
    </row>
    <row r="44" spans="1:22" x14ac:dyDescent="0.25">
      <c r="A44" s="17" t="s">
        <v>67</v>
      </c>
      <c r="B44" s="72" t="str">
        <f t="shared" si="10"/>
        <v>Q1/2020</v>
      </c>
      <c r="C44" s="73">
        <f t="shared" si="15"/>
        <v>43831</v>
      </c>
      <c r="D44" s="73">
        <f t="shared" si="3"/>
        <v>43921</v>
      </c>
      <c r="E44" s="72">
        <f t="shared" si="4"/>
        <v>91</v>
      </c>
      <c r="F44" s="74">
        <f>VLOOKUP(D44,'FERC Interest Rate'!$A:$B,2,TRUE)</f>
        <v>4.9599999999999998E-2</v>
      </c>
      <c r="G44" s="75">
        <f t="shared" si="19"/>
        <v>261189.94804739475</v>
      </c>
      <c r="H44" s="75">
        <v>0</v>
      </c>
      <c r="I44" s="99">
        <f t="shared" si="16"/>
        <v>794.25829528656732</v>
      </c>
      <c r="J44" s="76">
        <f t="shared" si="11"/>
        <v>3221.0572390894017</v>
      </c>
      <c r="K44" s="116">
        <f t="shared" si="5"/>
        <v>4015.315534375969</v>
      </c>
      <c r="L44" s="76">
        <f t="shared" si="20"/>
        <v>51443.731314192344</v>
      </c>
      <c r="M44" s="117">
        <f t="shared" si="6"/>
        <v>55459.046848568316</v>
      </c>
      <c r="N44" s="8">
        <f t="shared" si="7"/>
        <v>264411.00528648414</v>
      </c>
      <c r="O44" s="75">
        <f t="shared" si="8"/>
        <v>208951.95843791583</v>
      </c>
      <c r="Q44" s="73">
        <f t="shared" si="17"/>
        <v>43831</v>
      </c>
      <c r="R44" s="73">
        <f t="shared" si="18"/>
        <v>43921</v>
      </c>
      <c r="S44" s="76">
        <f t="shared" si="12"/>
        <v>70.614640732867542</v>
      </c>
      <c r="T44" s="76">
        <f t="shared" si="13"/>
        <v>60.761851399069222</v>
      </c>
      <c r="U44" s="75">
        <f t="shared" si="9"/>
        <v>131.37649213193677</v>
      </c>
      <c r="V44" s="76">
        <f t="shared" si="14"/>
        <v>914.8</v>
      </c>
    </row>
    <row r="45" spans="1:22" x14ac:dyDescent="0.25">
      <c r="A45" s="17" t="s">
        <v>68</v>
      </c>
      <c r="B45" s="72" t="str">
        <f t="shared" si="10"/>
        <v>Q2/2020</v>
      </c>
      <c r="C45" s="73">
        <f t="shared" si="15"/>
        <v>43922</v>
      </c>
      <c r="D45" s="73">
        <f t="shared" si="3"/>
        <v>44012</v>
      </c>
      <c r="E45" s="72">
        <f t="shared" si="4"/>
        <v>91</v>
      </c>
      <c r="F45" s="74">
        <f>VLOOKUP(D45,'FERC Interest Rate'!$A:$B,2,TRUE)</f>
        <v>4.7503500000000004E-2</v>
      </c>
      <c r="G45" s="75">
        <f t="shared" si="19"/>
        <v>208951.95843791583</v>
      </c>
      <c r="H45" s="75">
        <v>0</v>
      </c>
      <c r="I45" s="99">
        <f t="shared" si="16"/>
        <v>794.25829528656732</v>
      </c>
      <c r="J45" s="76">
        <f t="shared" si="11"/>
        <v>2467.9272993077971</v>
      </c>
      <c r="K45" s="116">
        <f t="shared" si="5"/>
        <v>3262.1855945943644</v>
      </c>
      <c r="L45" s="76">
        <f t="shared" si="20"/>
        <v>51443.731314192344</v>
      </c>
      <c r="M45" s="117">
        <f t="shared" si="6"/>
        <v>54705.916908786705</v>
      </c>
      <c r="N45" s="8">
        <f t="shared" si="7"/>
        <v>211419.88573722364</v>
      </c>
      <c r="O45" s="75">
        <f t="shared" si="8"/>
        <v>156713.96882843692</v>
      </c>
      <c r="Q45" s="73">
        <f t="shared" si="17"/>
        <v>43922</v>
      </c>
      <c r="R45" s="73">
        <f t="shared" si="18"/>
        <v>44012</v>
      </c>
      <c r="S45" s="76">
        <f t="shared" si="12"/>
        <v>70.614640732867542</v>
      </c>
      <c r="T45" s="76">
        <f t="shared" si="13"/>
        <v>46.554848515091678</v>
      </c>
      <c r="U45" s="75">
        <f t="shared" si="9"/>
        <v>117.16948924795922</v>
      </c>
      <c r="V45" s="76">
        <f t="shared" si="14"/>
        <v>914.8</v>
      </c>
    </row>
    <row r="46" spans="1:22" x14ac:dyDescent="0.25">
      <c r="A46" s="17" t="s">
        <v>69</v>
      </c>
      <c r="B46" s="72" t="str">
        <f t="shared" si="10"/>
        <v>Q3/2020</v>
      </c>
      <c r="C46" s="73">
        <f t="shared" si="15"/>
        <v>44013</v>
      </c>
      <c r="D46" s="73">
        <f t="shared" si="3"/>
        <v>44104</v>
      </c>
      <c r="E46" s="72">
        <f t="shared" si="4"/>
        <v>92</v>
      </c>
      <c r="F46" s="74">
        <f>VLOOKUP(D46,'FERC Interest Rate'!$A:$B,2,TRUE)</f>
        <v>4.7507929999999997E-2</v>
      </c>
      <c r="G46" s="75">
        <f t="shared" si="19"/>
        <v>156713.96882843692</v>
      </c>
      <c r="H46" s="75">
        <v>0</v>
      </c>
      <c r="I46" s="99">
        <f t="shared" si="16"/>
        <v>794.25829528656732</v>
      </c>
      <c r="J46" s="76">
        <f t="shared" si="11"/>
        <v>1871.4600437796933</v>
      </c>
      <c r="K46" s="116">
        <f t="shared" si="5"/>
        <v>2665.7183390662603</v>
      </c>
      <c r="L46" s="76">
        <f t="shared" si="20"/>
        <v>51443.731314192344</v>
      </c>
      <c r="M46" s="117">
        <f t="shared" si="6"/>
        <v>54109.449653258605</v>
      </c>
      <c r="N46" s="8">
        <f t="shared" si="7"/>
        <v>158585.42887221661</v>
      </c>
      <c r="O46" s="75">
        <f t="shared" si="8"/>
        <v>104475.979218958</v>
      </c>
      <c r="Q46" s="73">
        <f t="shared" si="17"/>
        <v>44013</v>
      </c>
      <c r="R46" s="73">
        <f t="shared" si="18"/>
        <v>44104</v>
      </c>
      <c r="S46" s="76">
        <f t="shared" si="12"/>
        <v>70.614640732867542</v>
      </c>
      <c r="T46" s="76">
        <f t="shared" si="13"/>
        <v>35.303122123835394</v>
      </c>
      <c r="U46" s="75">
        <f t="shared" si="9"/>
        <v>105.91776285670294</v>
      </c>
      <c r="V46" s="76">
        <f t="shared" si="14"/>
        <v>914.8</v>
      </c>
    </row>
    <row r="47" spans="1:22" x14ac:dyDescent="0.25">
      <c r="A47" s="17" t="s">
        <v>70</v>
      </c>
      <c r="B47" s="72" t="str">
        <f t="shared" si="10"/>
        <v>Q4/2020</v>
      </c>
      <c r="C47" s="73">
        <f t="shared" si="15"/>
        <v>44105</v>
      </c>
      <c r="D47" s="73">
        <f t="shared" si="3"/>
        <v>44196</v>
      </c>
      <c r="E47" s="72">
        <f t="shared" si="4"/>
        <v>92</v>
      </c>
      <c r="F47" s="74">
        <f>VLOOKUP(D47,'FERC Interest Rate'!$A:$B,2,TRUE)</f>
        <v>4.7922320000000004E-2</v>
      </c>
      <c r="G47" s="75">
        <f t="shared" si="19"/>
        <v>104475.979218958</v>
      </c>
      <c r="H47" s="75">
        <v>0</v>
      </c>
      <c r="I47" s="99">
        <f t="shared" si="16"/>
        <v>794.25829528656732</v>
      </c>
      <c r="J47" s="76">
        <f t="shared" si="11"/>
        <v>1258.5226239805233</v>
      </c>
      <c r="K47" s="116">
        <f t="shared" si="5"/>
        <v>2052.7809192670907</v>
      </c>
      <c r="L47" s="76">
        <f t="shared" si="20"/>
        <v>51443.731314192344</v>
      </c>
      <c r="M47" s="117">
        <f t="shared" si="6"/>
        <v>53496.512233459434</v>
      </c>
      <c r="N47" s="8">
        <f t="shared" si="7"/>
        <v>105734.50184293852</v>
      </c>
      <c r="O47" s="75">
        <f t="shared" si="8"/>
        <v>52237.989609479089</v>
      </c>
      <c r="Q47" s="73">
        <f t="shared" si="17"/>
        <v>44105</v>
      </c>
      <c r="R47" s="73">
        <f t="shared" si="18"/>
        <v>44196</v>
      </c>
      <c r="S47" s="76">
        <f t="shared" si="12"/>
        <v>70.614640732867542</v>
      </c>
      <c r="T47" s="76">
        <f t="shared" si="13"/>
        <v>23.740703435089937</v>
      </c>
      <c r="U47" s="75">
        <f t="shared" si="9"/>
        <v>94.355344167957483</v>
      </c>
      <c r="V47" s="76">
        <f t="shared" si="14"/>
        <v>914.8</v>
      </c>
    </row>
    <row r="48" spans="1:22" x14ac:dyDescent="0.25">
      <c r="A48" s="17" t="s">
        <v>71</v>
      </c>
      <c r="B48" s="72" t="str">
        <f t="shared" si="10"/>
        <v>Q1/2021</v>
      </c>
      <c r="C48" s="73">
        <f t="shared" si="15"/>
        <v>44197</v>
      </c>
      <c r="D48" s="73">
        <f t="shared" si="3"/>
        <v>44286</v>
      </c>
      <c r="E48" s="72">
        <f t="shared" si="4"/>
        <v>90</v>
      </c>
      <c r="F48" s="74">
        <f>VLOOKUP(D48,'FERC Interest Rate'!$A:$B,2,TRUE)</f>
        <v>5.0023470000000007E-2</v>
      </c>
      <c r="G48" s="75">
        <f t="shared" si="19"/>
        <v>52237.989609479089</v>
      </c>
      <c r="H48" s="75">
        <v>0</v>
      </c>
      <c r="I48" s="99">
        <f t="shared" si="16"/>
        <v>794.25829528656732</v>
      </c>
      <c r="J48" s="76">
        <f t="shared" si="11"/>
        <v>644.33231657015904</v>
      </c>
      <c r="K48" s="116">
        <f t="shared" si="5"/>
        <v>1438.5906118567264</v>
      </c>
      <c r="L48" s="76">
        <f t="shared" si="20"/>
        <v>51443.731314192344</v>
      </c>
      <c r="M48" s="117">
        <f t="shared" si="6"/>
        <v>52882.321926049073</v>
      </c>
      <c r="N48" s="8">
        <f t="shared" si="7"/>
        <v>52882.321926049248</v>
      </c>
      <c r="O48" s="75">
        <f t="shared" si="8"/>
        <v>1.7780621419660747E-10</v>
      </c>
      <c r="Q48" s="73">
        <f t="shared" si="17"/>
        <v>44197</v>
      </c>
      <c r="R48" s="73">
        <f t="shared" si="18"/>
        <v>44286</v>
      </c>
      <c r="S48" s="76">
        <f t="shared" si="12"/>
        <v>70.614640732867542</v>
      </c>
      <c r="T48" s="76">
        <f t="shared" si="13"/>
        <v>12.154650341489058</v>
      </c>
      <c r="U48" s="75">
        <f t="shared" si="9"/>
        <v>82.769291074356602</v>
      </c>
      <c r="V48" s="76">
        <f t="shared" si="14"/>
        <v>914.8</v>
      </c>
    </row>
    <row r="49" spans="1:22" x14ac:dyDescent="0.25">
      <c r="B49" s="11"/>
      <c r="C49" s="111"/>
      <c r="D49" s="111"/>
      <c r="E49" s="10"/>
      <c r="F49" s="11"/>
      <c r="G49" s="76"/>
      <c r="H49" s="12"/>
      <c r="I49" s="101"/>
      <c r="J49" s="76"/>
      <c r="K49" s="103"/>
      <c r="L49" s="58"/>
      <c r="M49" s="118"/>
      <c r="O49" s="76"/>
      <c r="Q49" s="111"/>
      <c r="R49" s="111"/>
      <c r="S49" s="12"/>
      <c r="T49" s="76"/>
      <c r="U49" s="76"/>
    </row>
    <row r="50" spans="1:22" ht="13.5" thickBot="1" x14ac:dyDescent="0.35">
      <c r="A50" s="142"/>
      <c r="B50" s="143"/>
      <c r="C50" s="146"/>
      <c r="D50" s="146"/>
      <c r="E50" s="145"/>
      <c r="F50" s="143"/>
      <c r="G50" s="127">
        <f t="shared" ref="G50:O50" si="21">+SUM(G29:G49)</f>
        <v>10862171.773803839</v>
      </c>
      <c r="H50" s="127">
        <f t="shared" si="21"/>
        <v>15885.165905731346</v>
      </c>
      <c r="I50" s="128">
        <f t="shared" si="21"/>
        <v>15885.165905731341</v>
      </c>
      <c r="J50" s="127">
        <f t="shared" si="21"/>
        <v>105591.47491219064</v>
      </c>
      <c r="K50" s="127">
        <f t="shared" si="21"/>
        <v>121476.640817922</v>
      </c>
      <c r="L50" s="127">
        <f t="shared" si="21"/>
        <v>1021795.9999999997</v>
      </c>
      <c r="M50" s="129">
        <f t="shared" si="21"/>
        <v>1143272.6408179221</v>
      </c>
      <c r="N50" s="127">
        <f t="shared" si="21"/>
        <v>10983648.414621761</v>
      </c>
      <c r="O50" s="127">
        <f t="shared" si="21"/>
        <v>9840375.7738038432</v>
      </c>
      <c r="Q50" s="127"/>
      <c r="R50" s="127"/>
      <c r="S50" s="127">
        <f>+SUM(S29:S49)</f>
        <v>1412.2928146573504</v>
      </c>
      <c r="T50" s="127">
        <f>+SUM(T29:T49)</f>
        <v>1701.0643627305219</v>
      </c>
      <c r="U50" s="127">
        <f>+SUM(U29:U49)</f>
        <v>3113.357177387873</v>
      </c>
      <c r="V50" s="127">
        <f>+SUM(V29:V49)</f>
        <v>18295.999999999993</v>
      </c>
    </row>
    <row r="51" spans="1:22" ht="13" thickTop="1" x14ac:dyDescent="0.25">
      <c r="B51" s="103"/>
      <c r="C51" s="103"/>
      <c r="D51" s="103"/>
      <c r="E51" s="103"/>
      <c r="F51" s="103"/>
      <c r="G51" s="103"/>
      <c r="H51" s="103"/>
      <c r="I51" s="102"/>
      <c r="J51" s="103"/>
      <c r="K51" s="103"/>
      <c r="L51" s="103"/>
      <c r="M51" s="118"/>
      <c r="O51" s="103"/>
      <c r="S51" s="8">
        <f>+I81+I113+I144+I174+I203+I231+I258+I284</f>
        <v>1412.2928146573511</v>
      </c>
      <c r="T51" s="8">
        <f>+J81+J113+J144+J174+J203+J231+J258+J284</f>
        <v>1701.0643627305219</v>
      </c>
      <c r="U51" s="8">
        <f>+K81+K113+K144+K174+K203+K231+K258+K284</f>
        <v>3113.3571773878725</v>
      </c>
      <c r="V51" s="8">
        <f>+L81+L113+L144+L174+L203+L231+L258+L284</f>
        <v>18296.000000000004</v>
      </c>
    </row>
    <row r="52" spans="1:22" ht="39" x14ac:dyDescent="0.3">
      <c r="A52" s="77" t="s">
        <v>51</v>
      </c>
      <c r="B52" s="77" t="s">
        <v>3</v>
      </c>
      <c r="C52" s="77" t="s">
        <v>4</v>
      </c>
      <c r="D52" s="77" t="s">
        <v>5</v>
      </c>
      <c r="E52" s="77" t="s">
        <v>6</v>
      </c>
      <c r="F52" s="77" t="s">
        <v>7</v>
      </c>
      <c r="G52" s="77" t="s">
        <v>92</v>
      </c>
      <c r="H52" s="77" t="s">
        <v>93</v>
      </c>
      <c r="I52" s="94" t="s">
        <v>94</v>
      </c>
      <c r="J52" s="95" t="s">
        <v>95</v>
      </c>
      <c r="K52" s="95" t="s">
        <v>96</v>
      </c>
      <c r="L52" s="95" t="s">
        <v>97</v>
      </c>
      <c r="M52" s="96" t="s">
        <v>98</v>
      </c>
      <c r="N52" s="77" t="s">
        <v>99</v>
      </c>
      <c r="O52" s="77" t="s">
        <v>100</v>
      </c>
      <c r="S52" s="8">
        <f>+S51-S50</f>
        <v>0</v>
      </c>
      <c r="T52" s="8">
        <f>+T51-T50</f>
        <v>0</v>
      </c>
      <c r="U52" s="8">
        <f>+U51-U50</f>
        <v>0</v>
      </c>
      <c r="V52" s="8">
        <f>+V51-V50</f>
        <v>0</v>
      </c>
    </row>
    <row r="53" spans="1:22" ht="13" x14ac:dyDescent="0.3">
      <c r="A53" s="347" t="s">
        <v>14</v>
      </c>
      <c r="B53" s="347"/>
      <c r="C53" s="300">
        <f>VLOOKUP(B54,A$1:F$25,2,FALSE)</f>
        <v>41831</v>
      </c>
      <c r="D53" s="300">
        <f>DATE(YEAR(C53),IF(MONTH(C53)&lt;=3,3,IF(MONTH(C53)&lt;=6,6,IF(MONTH(C53)&lt;=9,9,12))),IF(OR(MONTH(C53)&lt;=3,MONTH(C53)&gt;=10),31,30))</f>
        <v>41912</v>
      </c>
      <c r="E53" s="301">
        <f>D53-C53+1</f>
        <v>82</v>
      </c>
      <c r="F53" s="302">
        <f>VLOOKUP(D53,'FERC Interest Rate'!$A:$B,2,TRUE)</f>
        <v>3.2500000000000001E-2</v>
      </c>
      <c r="G53" s="167">
        <f>VLOOKUP(B54,$A$1:$F$25,5,FALSE)</f>
        <v>820.99610606341548</v>
      </c>
      <c r="H53" s="167">
        <f t="shared" ref="H53:H63" si="22">G53*F53*(E53/(DATE(YEAR(D53),12,31)-DATE(YEAR(D53),1,1)+1))</f>
        <v>5.9943962264630199</v>
      </c>
      <c r="I53" s="319">
        <v>0</v>
      </c>
      <c r="J53" s="304">
        <v>0</v>
      </c>
      <c r="K53" s="304">
        <f t="shared" ref="K53:K79" si="23">+SUM(I53:J53)</f>
        <v>0</v>
      </c>
      <c r="L53" s="304">
        <v>0</v>
      </c>
      <c r="M53" s="320">
        <f t="shared" ref="M53:M79" si="24">+SUM(K53:L53)</f>
        <v>0</v>
      </c>
      <c r="N53" s="304">
        <f t="shared" ref="N53:N79" si="25">+G53+H53+J53</f>
        <v>826.99050228987846</v>
      </c>
      <c r="O53" s="167">
        <f t="shared" ref="O53:O79" si="26">G53+H53-L53-I53</f>
        <v>826.99050228987846</v>
      </c>
    </row>
    <row r="54" spans="1:22" ht="13" x14ac:dyDescent="0.3">
      <c r="A54" s="110" t="s">
        <v>40</v>
      </c>
      <c r="B54" s="141" t="s">
        <v>52</v>
      </c>
      <c r="C54" s="300">
        <f>D53+1</f>
        <v>41913</v>
      </c>
      <c r="D54" s="300">
        <f>EOMONTH(D53,3)</f>
        <v>42004</v>
      </c>
      <c r="E54" s="301">
        <f t="shared" ref="E54:E79" si="27">D54-C54+1</f>
        <v>92</v>
      </c>
      <c r="F54" s="302">
        <f>VLOOKUP(D54,'FERC Interest Rate'!$A:$B,2,TRUE)</f>
        <v>3.2500000000000001E-2</v>
      </c>
      <c r="G54" s="167">
        <f t="shared" ref="G54:G79" si="28">O53</f>
        <v>826.99050228987846</v>
      </c>
      <c r="H54" s="167">
        <f t="shared" si="22"/>
        <v>6.7745249365664026</v>
      </c>
      <c r="I54" s="319">
        <v>0</v>
      </c>
      <c r="J54" s="304">
        <v>0</v>
      </c>
      <c r="K54" s="304">
        <f t="shared" si="23"/>
        <v>0</v>
      </c>
      <c r="L54" s="304">
        <v>0</v>
      </c>
      <c r="M54" s="320">
        <f t="shared" si="24"/>
        <v>0</v>
      </c>
      <c r="N54" s="304">
        <f t="shared" si="25"/>
        <v>833.76502722644489</v>
      </c>
      <c r="O54" s="167">
        <f t="shared" si="26"/>
        <v>833.76502722644489</v>
      </c>
    </row>
    <row r="55" spans="1:22" ht="13" x14ac:dyDescent="0.3">
      <c r="A55" s="321"/>
      <c r="B55" s="301"/>
      <c r="C55" s="300">
        <f t="shared" ref="C55:C79" si="29">D54+1</f>
        <v>42005</v>
      </c>
      <c r="D55" s="300">
        <f t="shared" ref="D55:D79" si="30">EOMONTH(D54,3)</f>
        <v>42094</v>
      </c>
      <c r="E55" s="301">
        <f t="shared" si="27"/>
        <v>90</v>
      </c>
      <c r="F55" s="302">
        <f>VLOOKUP(D55,'FERC Interest Rate'!$A:$B,2,TRUE)</f>
        <v>3.2500000000000001E-2</v>
      </c>
      <c r="G55" s="167">
        <f t="shared" si="28"/>
        <v>833.76502722644489</v>
      </c>
      <c r="H55" s="167">
        <f t="shared" si="22"/>
        <v>6.6815416565406887</v>
      </c>
      <c r="I55" s="319">
        <v>0</v>
      </c>
      <c r="J55" s="304">
        <v>0</v>
      </c>
      <c r="K55" s="304">
        <f t="shared" si="23"/>
        <v>0</v>
      </c>
      <c r="L55" s="304">
        <v>0</v>
      </c>
      <c r="M55" s="320">
        <f t="shared" si="24"/>
        <v>0</v>
      </c>
      <c r="N55" s="304">
        <f t="shared" si="25"/>
        <v>840.44656888298562</v>
      </c>
      <c r="O55" s="167">
        <f t="shared" si="26"/>
        <v>840.44656888298562</v>
      </c>
    </row>
    <row r="56" spans="1:22" ht="13" x14ac:dyDescent="0.3">
      <c r="A56" s="321"/>
      <c r="B56" s="301"/>
      <c r="C56" s="300">
        <f t="shared" si="29"/>
        <v>42095</v>
      </c>
      <c r="D56" s="300">
        <f t="shared" si="30"/>
        <v>42185</v>
      </c>
      <c r="E56" s="301">
        <f t="shared" si="27"/>
        <v>91</v>
      </c>
      <c r="F56" s="302">
        <f>VLOOKUP(D56,'FERC Interest Rate'!$A:$B,2,TRUE)</f>
        <v>3.2500000000000001E-2</v>
      </c>
      <c r="G56" s="167">
        <f t="shared" si="28"/>
        <v>840.44656888298562</v>
      </c>
      <c r="H56" s="167">
        <f t="shared" si="22"/>
        <v>6.8099198012915894</v>
      </c>
      <c r="I56" s="319">
        <v>0</v>
      </c>
      <c r="J56" s="304">
        <v>0</v>
      </c>
      <c r="K56" s="304">
        <f t="shared" si="23"/>
        <v>0</v>
      </c>
      <c r="L56" s="304">
        <v>0</v>
      </c>
      <c r="M56" s="320">
        <f t="shared" si="24"/>
        <v>0</v>
      </c>
      <c r="N56" s="304">
        <f t="shared" si="25"/>
        <v>847.2564886842772</v>
      </c>
      <c r="O56" s="167">
        <f t="shared" si="26"/>
        <v>847.2564886842772</v>
      </c>
    </row>
    <row r="57" spans="1:22" ht="13" x14ac:dyDescent="0.3">
      <c r="A57" s="321"/>
      <c r="B57" s="301"/>
      <c r="C57" s="300">
        <f t="shared" si="29"/>
        <v>42186</v>
      </c>
      <c r="D57" s="300">
        <f t="shared" si="30"/>
        <v>42277</v>
      </c>
      <c r="E57" s="301">
        <f t="shared" si="27"/>
        <v>92</v>
      </c>
      <c r="F57" s="302">
        <f>VLOOKUP(D57,'FERC Interest Rate'!$A:$B,2,TRUE)</f>
        <v>3.2500000000000001E-2</v>
      </c>
      <c r="G57" s="167">
        <f t="shared" si="28"/>
        <v>847.2564886842772</v>
      </c>
      <c r="H57" s="167">
        <f t="shared" si="22"/>
        <v>6.9405394552492847</v>
      </c>
      <c r="I57" s="319">
        <v>0</v>
      </c>
      <c r="J57" s="304">
        <v>0</v>
      </c>
      <c r="K57" s="304">
        <f t="shared" si="23"/>
        <v>0</v>
      </c>
      <c r="L57" s="304">
        <v>0</v>
      </c>
      <c r="M57" s="320">
        <f t="shared" si="24"/>
        <v>0</v>
      </c>
      <c r="N57" s="304">
        <f t="shared" si="25"/>
        <v>854.19702813952654</v>
      </c>
      <c r="O57" s="167">
        <f t="shared" si="26"/>
        <v>854.19702813952654</v>
      </c>
    </row>
    <row r="58" spans="1:22" ht="13" x14ac:dyDescent="0.3">
      <c r="A58" s="321"/>
      <c r="B58" s="301"/>
      <c r="C58" s="300">
        <f t="shared" si="29"/>
        <v>42278</v>
      </c>
      <c r="D58" s="300">
        <f t="shared" si="30"/>
        <v>42369</v>
      </c>
      <c r="E58" s="301">
        <f t="shared" si="27"/>
        <v>92</v>
      </c>
      <c r="F58" s="302">
        <f>VLOOKUP(D58,'FERC Interest Rate'!$A:$B,2,TRUE)</f>
        <v>3.2500000000000001E-2</v>
      </c>
      <c r="G58" s="167">
        <f t="shared" si="28"/>
        <v>854.19702813952654</v>
      </c>
      <c r="H58" s="167">
        <f t="shared" si="22"/>
        <v>6.9973948332525602</v>
      </c>
      <c r="I58" s="319">
        <v>0</v>
      </c>
      <c r="J58" s="304">
        <v>0</v>
      </c>
      <c r="K58" s="304">
        <f t="shared" si="23"/>
        <v>0</v>
      </c>
      <c r="L58" s="304">
        <v>0</v>
      </c>
      <c r="M58" s="320">
        <f t="shared" si="24"/>
        <v>0</v>
      </c>
      <c r="N58" s="304">
        <f t="shared" si="25"/>
        <v>861.19442297277908</v>
      </c>
      <c r="O58" s="167">
        <f t="shared" si="26"/>
        <v>861.19442297277908</v>
      </c>
    </row>
    <row r="59" spans="1:22" ht="13" x14ac:dyDescent="0.3">
      <c r="A59" s="321"/>
      <c r="B59" s="301"/>
      <c r="C59" s="300">
        <f t="shared" si="29"/>
        <v>42370</v>
      </c>
      <c r="D59" s="300">
        <f t="shared" si="30"/>
        <v>42460</v>
      </c>
      <c r="E59" s="301">
        <f t="shared" si="27"/>
        <v>91</v>
      </c>
      <c r="F59" s="302">
        <f>VLOOKUP(D59,'FERC Interest Rate'!$A:$B,2,TRUE)</f>
        <v>3.2500000000000001E-2</v>
      </c>
      <c r="G59" s="167">
        <f t="shared" si="28"/>
        <v>861.19442297277908</v>
      </c>
      <c r="H59" s="167">
        <f t="shared" si="22"/>
        <v>6.9589685954699299</v>
      </c>
      <c r="I59" s="319">
        <v>0</v>
      </c>
      <c r="J59" s="304">
        <v>0</v>
      </c>
      <c r="K59" s="304">
        <f t="shared" si="23"/>
        <v>0</v>
      </c>
      <c r="L59" s="304">
        <v>0</v>
      </c>
      <c r="M59" s="320">
        <f t="shared" si="24"/>
        <v>0</v>
      </c>
      <c r="N59" s="304">
        <f t="shared" si="25"/>
        <v>868.15339156824905</v>
      </c>
      <c r="O59" s="167">
        <f t="shared" si="26"/>
        <v>868.15339156824905</v>
      </c>
    </row>
    <row r="60" spans="1:22" ht="13" x14ac:dyDescent="0.3">
      <c r="A60" s="78"/>
      <c r="B60" s="72"/>
      <c r="C60" s="73">
        <f t="shared" si="29"/>
        <v>42461</v>
      </c>
      <c r="D60" s="73">
        <f t="shared" si="30"/>
        <v>42551</v>
      </c>
      <c r="E60" s="72">
        <f t="shared" si="27"/>
        <v>91</v>
      </c>
      <c r="F60" s="74">
        <f>VLOOKUP(D60,'FERC Interest Rate'!$A:$B,2,TRUE)</f>
        <v>3.4599999999999999E-2</v>
      </c>
      <c r="G60" s="75">
        <f t="shared" si="28"/>
        <v>868.15339156824905</v>
      </c>
      <c r="H60" s="167">
        <f t="shared" si="22"/>
        <v>7.4684911712890409</v>
      </c>
      <c r="I60" s="180">
        <v>0</v>
      </c>
      <c r="J60" s="304">
        <v>0</v>
      </c>
      <c r="K60" s="76">
        <f t="shared" si="23"/>
        <v>0</v>
      </c>
      <c r="L60" s="76">
        <v>0</v>
      </c>
      <c r="M60" s="100">
        <f t="shared" si="24"/>
        <v>0</v>
      </c>
      <c r="N60" s="76">
        <f t="shared" si="25"/>
        <v>875.62188273953814</v>
      </c>
      <c r="O60" s="75">
        <f t="shared" si="26"/>
        <v>875.62188273953814</v>
      </c>
    </row>
    <row r="61" spans="1:22" x14ac:dyDescent="0.25">
      <c r="A61" s="78"/>
      <c r="B61" s="72"/>
      <c r="C61" s="73">
        <f t="shared" si="29"/>
        <v>42552</v>
      </c>
      <c r="D61" s="73">
        <f t="shared" si="30"/>
        <v>42643</v>
      </c>
      <c r="E61" s="72">
        <f t="shared" si="27"/>
        <v>92</v>
      </c>
      <c r="F61" s="74">
        <f>VLOOKUP(D61,'FERC Interest Rate'!$A:$B,2,TRUE)</f>
        <v>3.5000000000000003E-2</v>
      </c>
      <c r="G61" s="75">
        <f t="shared" si="28"/>
        <v>875.62188273953814</v>
      </c>
      <c r="H61" s="75">
        <f t="shared" si="22"/>
        <v>7.7035586404953911</v>
      </c>
      <c r="I61" s="99">
        <v>0</v>
      </c>
      <c r="J61" s="76">
        <v>0</v>
      </c>
      <c r="K61" s="76">
        <f t="shared" si="23"/>
        <v>0</v>
      </c>
      <c r="L61" s="76">
        <v>0</v>
      </c>
      <c r="M61" s="100">
        <f t="shared" si="24"/>
        <v>0</v>
      </c>
      <c r="N61" s="76">
        <f t="shared" si="25"/>
        <v>883.32544138003357</v>
      </c>
      <c r="O61" s="75">
        <f t="shared" si="26"/>
        <v>883.32544138003357</v>
      </c>
    </row>
    <row r="62" spans="1:22" x14ac:dyDescent="0.25">
      <c r="A62" s="78"/>
      <c r="B62" s="72"/>
      <c r="C62" s="73">
        <f t="shared" si="29"/>
        <v>42644</v>
      </c>
      <c r="D62" s="73">
        <f t="shared" si="30"/>
        <v>42735</v>
      </c>
      <c r="E62" s="72">
        <f t="shared" si="27"/>
        <v>92</v>
      </c>
      <c r="F62" s="74">
        <f>VLOOKUP(D62,'FERC Interest Rate'!$A:$B,2,TRUE)</f>
        <v>3.5000000000000003E-2</v>
      </c>
      <c r="G62" s="75">
        <f t="shared" si="28"/>
        <v>883.32544138003357</v>
      </c>
      <c r="H62" s="75">
        <f t="shared" si="22"/>
        <v>7.7713331181522092</v>
      </c>
      <c r="I62" s="99">
        <v>0</v>
      </c>
      <c r="J62" s="76">
        <v>0</v>
      </c>
      <c r="K62" s="76">
        <f t="shared" si="23"/>
        <v>0</v>
      </c>
      <c r="L62" s="76">
        <v>0</v>
      </c>
      <c r="M62" s="100">
        <f t="shared" si="24"/>
        <v>0</v>
      </c>
      <c r="N62" s="76">
        <f t="shared" si="25"/>
        <v>891.09677449818582</v>
      </c>
      <c r="O62" s="75">
        <f t="shared" si="26"/>
        <v>891.09677449818582</v>
      </c>
    </row>
    <row r="63" spans="1:22" x14ac:dyDescent="0.25">
      <c r="A63" s="78" t="s">
        <v>101</v>
      </c>
      <c r="B63" s="72" t="str">
        <f t="shared" ref="B63:B76" si="31">+IF(MONTH(C63)&lt;4,"Q1",IF(MONTH(C63)&lt;7,"Q2",IF(MONTH(C63)&lt;10,"Q3","Q4")))&amp;"/"&amp;YEAR(C63)</f>
        <v>Q1/2017</v>
      </c>
      <c r="C63" s="73">
        <f t="shared" si="29"/>
        <v>42736</v>
      </c>
      <c r="D63" s="73">
        <f t="shared" si="30"/>
        <v>42825</v>
      </c>
      <c r="E63" s="72">
        <f t="shared" si="27"/>
        <v>90</v>
      </c>
      <c r="F63" s="74">
        <f>VLOOKUP(D63,'FERC Interest Rate'!$A:$B,2,TRUE)</f>
        <v>3.5000000000000003E-2</v>
      </c>
      <c r="G63" s="75">
        <f t="shared" si="28"/>
        <v>891.09677449818582</v>
      </c>
      <c r="H63" s="75">
        <f t="shared" si="22"/>
        <v>7.690287231970645</v>
      </c>
      <c r="I63" s="99">
        <f>(SUM($H$53:$H$80)/20)*4</f>
        <v>15.558191133348151</v>
      </c>
      <c r="J63" s="76">
        <f>G63*F63*(E63/(DATE(YEAR(D63),12,31)-DATE(YEAR(D63),1,1)+1))</f>
        <v>7.690287231970645</v>
      </c>
      <c r="K63" s="76">
        <f t="shared" si="23"/>
        <v>23.248478365318796</v>
      </c>
      <c r="L63" s="76">
        <f>VLOOKUP($B$54,A$1:F$25,5,FALSE)/20*4</f>
        <v>164.19922121268309</v>
      </c>
      <c r="M63" s="100">
        <f t="shared" si="24"/>
        <v>187.44769957800187</v>
      </c>
      <c r="N63" s="76">
        <f t="shared" si="25"/>
        <v>906.47734896212705</v>
      </c>
      <c r="O63" s="75">
        <f t="shared" si="26"/>
        <v>719.02964938412515</v>
      </c>
    </row>
    <row r="64" spans="1:22" x14ac:dyDescent="0.25">
      <c r="A64" s="78" t="s">
        <v>56</v>
      </c>
      <c r="B64" s="72" t="str">
        <f t="shared" si="31"/>
        <v>Q2/2017</v>
      </c>
      <c r="C64" s="73">
        <f t="shared" si="29"/>
        <v>42826</v>
      </c>
      <c r="D64" s="73">
        <f t="shared" si="30"/>
        <v>42916</v>
      </c>
      <c r="E64" s="72">
        <f t="shared" si="27"/>
        <v>91</v>
      </c>
      <c r="F64" s="74">
        <f>VLOOKUP(D64,'FERC Interest Rate'!$A:$B,2,TRUE)</f>
        <v>3.7100000000000001E-2</v>
      </c>
      <c r="G64" s="75">
        <f t="shared" si="28"/>
        <v>719.02964938412515</v>
      </c>
      <c r="H64" s="75">
        <v>0</v>
      </c>
      <c r="I64" s="99">
        <f t="shared" ref="I64:I79" si="32">(SUM($H$53:$H$80)/20)</f>
        <v>3.8895477833370378</v>
      </c>
      <c r="J64" s="76">
        <f t="shared" ref="J64:J79" si="33">G64*F64*(E64/(DATE(YEAR(D64),12,31)-DATE(YEAR(D64),1,1)+1))</f>
        <v>6.6507287651664253</v>
      </c>
      <c r="K64" s="116">
        <f t="shared" si="23"/>
        <v>10.540276548503464</v>
      </c>
      <c r="L64" s="76">
        <f t="shared" ref="L64:L79" si="34">VLOOKUP($B$54,A$1:F$25,5,FALSE)/20</f>
        <v>41.049805303170771</v>
      </c>
      <c r="M64" s="117">
        <f t="shared" si="24"/>
        <v>51.590081851674235</v>
      </c>
      <c r="N64" s="8">
        <f t="shared" si="25"/>
        <v>725.68037814929153</v>
      </c>
      <c r="O64" s="75">
        <f t="shared" si="26"/>
        <v>674.09029629761733</v>
      </c>
    </row>
    <row r="65" spans="1:15" x14ac:dyDescent="0.25">
      <c r="A65" s="78" t="s">
        <v>57</v>
      </c>
      <c r="B65" s="72" t="str">
        <f t="shared" si="31"/>
        <v>Q3/2017</v>
      </c>
      <c r="C65" s="73">
        <f t="shared" si="29"/>
        <v>42917</v>
      </c>
      <c r="D65" s="73">
        <f t="shared" si="30"/>
        <v>43008</v>
      </c>
      <c r="E65" s="72">
        <f t="shared" si="27"/>
        <v>92</v>
      </c>
      <c r="F65" s="74">
        <f>VLOOKUP(D65,'FERC Interest Rate'!$A:$B,2,TRUE)</f>
        <v>3.9600000000000003E-2</v>
      </c>
      <c r="G65" s="75">
        <f t="shared" si="28"/>
        <v>674.09029629761733</v>
      </c>
      <c r="H65" s="75">
        <v>0</v>
      </c>
      <c r="I65" s="99">
        <f t="shared" si="32"/>
        <v>3.8895477833370378</v>
      </c>
      <c r="J65" s="76">
        <f t="shared" si="33"/>
        <v>6.7283445684150136</v>
      </c>
      <c r="K65" s="116">
        <f t="shared" si="23"/>
        <v>10.617892351752051</v>
      </c>
      <c r="L65" s="76">
        <f t="shared" si="34"/>
        <v>41.049805303170771</v>
      </c>
      <c r="M65" s="117">
        <f t="shared" si="24"/>
        <v>51.667697654922819</v>
      </c>
      <c r="N65" s="8">
        <f t="shared" si="25"/>
        <v>680.8186408660323</v>
      </c>
      <c r="O65" s="75">
        <f t="shared" si="26"/>
        <v>629.15094321110951</v>
      </c>
    </row>
    <row r="66" spans="1:15" x14ac:dyDescent="0.25">
      <c r="A66" s="78" t="s">
        <v>58</v>
      </c>
      <c r="B66" s="72" t="str">
        <f t="shared" si="31"/>
        <v>Q4/2017</v>
      </c>
      <c r="C66" s="73">
        <f t="shared" si="29"/>
        <v>43009</v>
      </c>
      <c r="D66" s="73">
        <f t="shared" si="30"/>
        <v>43100</v>
      </c>
      <c r="E66" s="72">
        <f t="shared" si="27"/>
        <v>92</v>
      </c>
      <c r="F66" s="74">
        <f>VLOOKUP(D66,'FERC Interest Rate'!$A:$B,2,TRUE)</f>
        <v>4.2099999999999999E-2</v>
      </c>
      <c r="G66" s="75">
        <f t="shared" si="28"/>
        <v>629.15094321110951</v>
      </c>
      <c r="H66" s="75">
        <v>0</v>
      </c>
      <c r="I66" s="99">
        <f t="shared" si="32"/>
        <v>3.8895477833370378</v>
      </c>
      <c r="J66" s="76">
        <f t="shared" si="33"/>
        <v>6.6762395431377248</v>
      </c>
      <c r="K66" s="116">
        <f t="shared" si="23"/>
        <v>10.565787326474762</v>
      </c>
      <c r="L66" s="76">
        <f t="shared" si="34"/>
        <v>41.049805303170771</v>
      </c>
      <c r="M66" s="117">
        <f t="shared" si="24"/>
        <v>51.615592629645533</v>
      </c>
      <c r="N66" s="8">
        <f t="shared" si="25"/>
        <v>635.82718275424725</v>
      </c>
      <c r="O66" s="75">
        <f t="shared" si="26"/>
        <v>584.21159012460168</v>
      </c>
    </row>
    <row r="67" spans="1:15" x14ac:dyDescent="0.25">
      <c r="A67" s="78" t="s">
        <v>59</v>
      </c>
      <c r="B67" s="72" t="str">
        <f t="shared" si="31"/>
        <v>Q1/2018</v>
      </c>
      <c r="C67" s="73">
        <f t="shared" si="29"/>
        <v>43101</v>
      </c>
      <c r="D67" s="73">
        <f t="shared" si="30"/>
        <v>43190</v>
      </c>
      <c r="E67" s="72">
        <f t="shared" si="27"/>
        <v>90</v>
      </c>
      <c r="F67" s="74">
        <f>VLOOKUP(D67,'FERC Interest Rate'!$A:$B,2,TRUE)</f>
        <v>4.2500000000000003E-2</v>
      </c>
      <c r="G67" s="75">
        <f t="shared" si="28"/>
        <v>584.21159012460168</v>
      </c>
      <c r="H67" s="75">
        <v>0</v>
      </c>
      <c r="I67" s="99">
        <f t="shared" si="32"/>
        <v>3.8895477833370378</v>
      </c>
      <c r="J67" s="76">
        <f t="shared" si="33"/>
        <v>6.1222173485660312</v>
      </c>
      <c r="K67" s="116">
        <f t="shared" si="23"/>
        <v>10.011765131903068</v>
      </c>
      <c r="L67" s="76">
        <f t="shared" si="34"/>
        <v>41.049805303170771</v>
      </c>
      <c r="M67" s="117">
        <f t="shared" si="24"/>
        <v>51.06157043507384</v>
      </c>
      <c r="N67" s="8">
        <f t="shared" si="25"/>
        <v>590.33380747316767</v>
      </c>
      <c r="O67" s="75">
        <f t="shared" si="26"/>
        <v>539.27223703809386</v>
      </c>
    </row>
    <row r="68" spans="1:15" x14ac:dyDescent="0.25">
      <c r="A68" s="78" t="s">
        <v>60</v>
      </c>
      <c r="B68" s="72" t="str">
        <f t="shared" si="31"/>
        <v>Q2/2018</v>
      </c>
      <c r="C68" s="73">
        <f t="shared" si="29"/>
        <v>43191</v>
      </c>
      <c r="D68" s="73">
        <f t="shared" si="30"/>
        <v>43281</v>
      </c>
      <c r="E68" s="72">
        <f t="shared" si="27"/>
        <v>91</v>
      </c>
      <c r="F68" s="74">
        <f>VLOOKUP(D68,'FERC Interest Rate'!$A:$B,2,TRUE)</f>
        <v>4.4699999999999997E-2</v>
      </c>
      <c r="G68" s="75">
        <f t="shared" si="28"/>
        <v>539.27223703809386</v>
      </c>
      <c r="H68" s="75">
        <v>0</v>
      </c>
      <c r="I68" s="99">
        <f t="shared" si="32"/>
        <v>3.8895477833370378</v>
      </c>
      <c r="J68" s="76">
        <f t="shared" si="33"/>
        <v>6.0098566536982307</v>
      </c>
      <c r="K68" s="116">
        <f t="shared" si="23"/>
        <v>9.899404437035269</v>
      </c>
      <c r="L68" s="76">
        <f t="shared" si="34"/>
        <v>41.049805303170771</v>
      </c>
      <c r="M68" s="117">
        <f t="shared" si="24"/>
        <v>50.949209740206044</v>
      </c>
      <c r="N68" s="8">
        <f t="shared" si="25"/>
        <v>545.28209369179206</v>
      </c>
      <c r="O68" s="75">
        <f t="shared" si="26"/>
        <v>494.33288395158604</v>
      </c>
    </row>
    <row r="69" spans="1:15" x14ac:dyDescent="0.25">
      <c r="A69" s="78" t="s">
        <v>61</v>
      </c>
      <c r="B69" s="72" t="str">
        <f t="shared" si="31"/>
        <v>Q3/2018</v>
      </c>
      <c r="C69" s="73">
        <f t="shared" si="29"/>
        <v>43282</v>
      </c>
      <c r="D69" s="73">
        <f t="shared" si="30"/>
        <v>43373</v>
      </c>
      <c r="E69" s="72">
        <f t="shared" si="27"/>
        <v>92</v>
      </c>
      <c r="F69" s="74">
        <f>VLOOKUP(D69,'FERC Interest Rate'!$A:$B,2,TRUE)</f>
        <v>4.6899999999999997E-2</v>
      </c>
      <c r="G69" s="75">
        <f t="shared" si="28"/>
        <v>494.33288395158604</v>
      </c>
      <c r="H69" s="75">
        <v>0</v>
      </c>
      <c r="I69" s="99">
        <f t="shared" si="32"/>
        <v>3.8895477833370378</v>
      </c>
      <c r="J69" s="76">
        <f t="shared" si="33"/>
        <v>5.8436918566419278</v>
      </c>
      <c r="K69" s="116">
        <f t="shared" si="23"/>
        <v>9.7332396399789651</v>
      </c>
      <c r="L69" s="76">
        <f t="shared" si="34"/>
        <v>41.049805303170771</v>
      </c>
      <c r="M69" s="117">
        <f t="shared" si="24"/>
        <v>50.783044943149733</v>
      </c>
      <c r="N69" s="8">
        <f t="shared" si="25"/>
        <v>500.17657580822799</v>
      </c>
      <c r="O69" s="75">
        <f t="shared" si="26"/>
        <v>449.39353086507822</v>
      </c>
    </row>
    <row r="70" spans="1:15" x14ac:dyDescent="0.25">
      <c r="A70" s="78" t="s">
        <v>62</v>
      </c>
      <c r="B70" s="72" t="str">
        <f t="shared" si="31"/>
        <v>Q4/2018</v>
      </c>
      <c r="C70" s="73">
        <f t="shared" si="29"/>
        <v>43374</v>
      </c>
      <c r="D70" s="73">
        <f t="shared" si="30"/>
        <v>43465</v>
      </c>
      <c r="E70" s="72">
        <f t="shared" si="27"/>
        <v>92</v>
      </c>
      <c r="F70" s="74">
        <f>VLOOKUP(D70,'FERC Interest Rate'!$A:$B,2,TRUE)</f>
        <v>4.9599999999999998E-2</v>
      </c>
      <c r="G70" s="75">
        <f t="shared" si="28"/>
        <v>449.39353086507822</v>
      </c>
      <c r="H70" s="75">
        <v>0</v>
      </c>
      <c r="I70" s="99">
        <f t="shared" si="32"/>
        <v>3.8895477833370378</v>
      </c>
      <c r="J70" s="76">
        <f t="shared" si="33"/>
        <v>5.6182809864206167</v>
      </c>
      <c r="K70" s="116">
        <f t="shared" si="23"/>
        <v>9.5078287697576549</v>
      </c>
      <c r="L70" s="76">
        <f t="shared" si="34"/>
        <v>41.049805303170771</v>
      </c>
      <c r="M70" s="117">
        <f t="shared" si="24"/>
        <v>50.557634072928423</v>
      </c>
      <c r="N70" s="8">
        <f t="shared" si="25"/>
        <v>455.01181185149886</v>
      </c>
      <c r="O70" s="75">
        <f t="shared" si="26"/>
        <v>404.4541777785704</v>
      </c>
    </row>
    <row r="71" spans="1:15" x14ac:dyDescent="0.25">
      <c r="A71" s="78" t="s">
        <v>63</v>
      </c>
      <c r="B71" s="72" t="str">
        <f t="shared" si="31"/>
        <v>Q1/2019</v>
      </c>
      <c r="C71" s="73">
        <f t="shared" si="29"/>
        <v>43466</v>
      </c>
      <c r="D71" s="73">
        <f t="shared" si="30"/>
        <v>43555</v>
      </c>
      <c r="E71" s="72">
        <f t="shared" si="27"/>
        <v>90</v>
      </c>
      <c r="F71" s="74">
        <f>VLOOKUP(D71,'FERC Interest Rate'!$A:$B,2,TRUE)</f>
        <v>5.1799999999999999E-2</v>
      </c>
      <c r="G71" s="75">
        <f t="shared" si="28"/>
        <v>404.4541777785704</v>
      </c>
      <c r="H71" s="75">
        <v>0</v>
      </c>
      <c r="I71" s="99">
        <f t="shared" si="32"/>
        <v>3.8895477833370378</v>
      </c>
      <c r="J71" s="76">
        <f t="shared" si="33"/>
        <v>5.1659325391882058</v>
      </c>
      <c r="K71" s="116">
        <f t="shared" si="23"/>
        <v>9.0554803225252432</v>
      </c>
      <c r="L71" s="76">
        <f t="shared" si="34"/>
        <v>41.049805303170771</v>
      </c>
      <c r="M71" s="117">
        <f t="shared" si="24"/>
        <v>50.105285625696013</v>
      </c>
      <c r="N71" s="8">
        <f t="shared" si="25"/>
        <v>409.62011031775859</v>
      </c>
      <c r="O71" s="75">
        <f t="shared" si="26"/>
        <v>359.51482469206258</v>
      </c>
    </row>
    <row r="72" spans="1:15" x14ac:dyDescent="0.25">
      <c r="A72" s="78" t="s">
        <v>64</v>
      </c>
      <c r="B72" s="72" t="str">
        <f t="shared" si="31"/>
        <v>Q2/2019</v>
      </c>
      <c r="C72" s="73">
        <f t="shared" si="29"/>
        <v>43556</v>
      </c>
      <c r="D72" s="73">
        <f t="shared" si="30"/>
        <v>43646</v>
      </c>
      <c r="E72" s="72">
        <f t="shared" si="27"/>
        <v>91</v>
      </c>
      <c r="F72" s="74">
        <f>VLOOKUP(D72,'FERC Interest Rate'!$A:$B,2,TRUE)</f>
        <v>5.45E-2</v>
      </c>
      <c r="G72" s="75">
        <f t="shared" si="28"/>
        <v>359.51482469206258</v>
      </c>
      <c r="H72" s="75">
        <v>0</v>
      </c>
      <c r="I72" s="99">
        <f t="shared" si="32"/>
        <v>3.8895477833370378</v>
      </c>
      <c r="J72" s="76">
        <f t="shared" si="33"/>
        <v>4.8849692412610528</v>
      </c>
      <c r="K72" s="116">
        <f t="shared" si="23"/>
        <v>8.7745170245980901</v>
      </c>
      <c r="L72" s="76">
        <f t="shared" si="34"/>
        <v>41.049805303170771</v>
      </c>
      <c r="M72" s="117">
        <f t="shared" si="24"/>
        <v>49.824322327768861</v>
      </c>
      <c r="N72" s="8">
        <f t="shared" si="25"/>
        <v>364.39979393332362</v>
      </c>
      <c r="O72" s="75">
        <f t="shared" si="26"/>
        <v>314.57547160555475</v>
      </c>
    </row>
    <row r="73" spans="1:15" x14ac:dyDescent="0.25">
      <c r="A73" s="78" t="s">
        <v>65</v>
      </c>
      <c r="B73" s="72" t="str">
        <f t="shared" si="31"/>
        <v>Q3/2019</v>
      </c>
      <c r="C73" s="73">
        <f t="shared" si="29"/>
        <v>43647</v>
      </c>
      <c r="D73" s="73">
        <f t="shared" si="30"/>
        <v>43738</v>
      </c>
      <c r="E73" s="72">
        <f t="shared" si="27"/>
        <v>92</v>
      </c>
      <c r="F73" s="74">
        <f>VLOOKUP(D73,'FERC Interest Rate'!$A:$B,2,TRUE)</f>
        <v>5.5E-2</v>
      </c>
      <c r="G73" s="75">
        <f t="shared" si="28"/>
        <v>314.57547160555475</v>
      </c>
      <c r="H73" s="75">
        <v>0</v>
      </c>
      <c r="I73" s="99">
        <f t="shared" si="32"/>
        <v>3.8895477833370378</v>
      </c>
      <c r="J73" s="76">
        <f t="shared" si="33"/>
        <v>4.3609640721208409</v>
      </c>
      <c r="K73" s="116">
        <f t="shared" si="23"/>
        <v>8.2505118554578782</v>
      </c>
      <c r="L73" s="76">
        <f t="shared" si="34"/>
        <v>41.049805303170771</v>
      </c>
      <c r="M73" s="117">
        <f t="shared" si="24"/>
        <v>49.300317158628651</v>
      </c>
      <c r="N73" s="8">
        <f t="shared" si="25"/>
        <v>318.9364356776756</v>
      </c>
      <c r="O73" s="75">
        <f t="shared" si="26"/>
        <v>269.63611851904693</v>
      </c>
    </row>
    <row r="74" spans="1:15" x14ac:dyDescent="0.25">
      <c r="A74" s="78" t="s">
        <v>66</v>
      </c>
      <c r="B74" s="72" t="str">
        <f t="shared" si="31"/>
        <v>Q4/2019</v>
      </c>
      <c r="C74" s="73">
        <f t="shared" si="29"/>
        <v>43739</v>
      </c>
      <c r="D74" s="73">
        <f t="shared" si="30"/>
        <v>43830</v>
      </c>
      <c r="E74" s="72">
        <f t="shared" si="27"/>
        <v>92</v>
      </c>
      <c r="F74" s="74">
        <f>VLOOKUP(D74,'FERC Interest Rate'!$A:$B,2,TRUE)</f>
        <v>5.4199999999999998E-2</v>
      </c>
      <c r="G74" s="75">
        <f t="shared" si="28"/>
        <v>269.63611851904693</v>
      </c>
      <c r="H74" s="75">
        <v>0</v>
      </c>
      <c r="I74" s="99">
        <f t="shared" si="32"/>
        <v>3.8895477833370378</v>
      </c>
      <c r="J74" s="76">
        <f t="shared" si="33"/>
        <v>3.683598743516098</v>
      </c>
      <c r="K74" s="116">
        <f t="shared" si="23"/>
        <v>7.5731465268531357</v>
      </c>
      <c r="L74" s="76">
        <f t="shared" si="34"/>
        <v>41.049805303170771</v>
      </c>
      <c r="M74" s="117">
        <f t="shared" si="24"/>
        <v>48.622951830023908</v>
      </c>
      <c r="N74" s="8">
        <f t="shared" si="25"/>
        <v>273.31971726256302</v>
      </c>
      <c r="O74" s="75">
        <f t="shared" si="26"/>
        <v>224.69676543253911</v>
      </c>
    </row>
    <row r="75" spans="1:15" x14ac:dyDescent="0.25">
      <c r="A75" s="78" t="s">
        <v>67</v>
      </c>
      <c r="B75" s="72" t="str">
        <f t="shared" si="31"/>
        <v>Q1/2020</v>
      </c>
      <c r="C75" s="73">
        <f t="shared" si="29"/>
        <v>43831</v>
      </c>
      <c r="D75" s="73">
        <f t="shared" si="30"/>
        <v>43921</v>
      </c>
      <c r="E75" s="72">
        <f t="shared" si="27"/>
        <v>91</v>
      </c>
      <c r="F75" s="74">
        <f>VLOOKUP(D75,'FERC Interest Rate'!$A:$B,2,TRUE)</f>
        <v>4.9599999999999998E-2</v>
      </c>
      <c r="G75" s="75">
        <f t="shared" si="28"/>
        <v>224.69676543253911</v>
      </c>
      <c r="H75" s="75">
        <v>0</v>
      </c>
      <c r="I75" s="99">
        <f t="shared" si="32"/>
        <v>3.8895477833370378</v>
      </c>
      <c r="J75" s="76">
        <f t="shared" si="33"/>
        <v>2.7710145367658701</v>
      </c>
      <c r="K75" s="116">
        <f t="shared" si="23"/>
        <v>6.6605623201029083</v>
      </c>
      <c r="L75" s="76">
        <f t="shared" si="34"/>
        <v>41.049805303170771</v>
      </c>
      <c r="M75" s="117">
        <f t="shared" si="24"/>
        <v>47.710367623273683</v>
      </c>
      <c r="N75" s="8">
        <f t="shared" si="25"/>
        <v>227.46777996930498</v>
      </c>
      <c r="O75" s="75">
        <f t="shared" si="26"/>
        <v>179.75741234603129</v>
      </c>
    </row>
    <row r="76" spans="1:15" x14ac:dyDescent="0.25">
      <c r="A76" s="78" t="s">
        <v>68</v>
      </c>
      <c r="B76" s="72" t="str">
        <f t="shared" si="31"/>
        <v>Q2/2020</v>
      </c>
      <c r="C76" s="73">
        <f t="shared" si="29"/>
        <v>43922</v>
      </c>
      <c r="D76" s="73">
        <f t="shared" si="30"/>
        <v>44012</v>
      </c>
      <c r="E76" s="72">
        <f t="shared" si="27"/>
        <v>91</v>
      </c>
      <c r="F76" s="74">
        <f>VLOOKUP(D76,'FERC Interest Rate'!$A:$B,2,TRUE)</f>
        <v>4.7503500000000004E-2</v>
      </c>
      <c r="G76" s="75">
        <f t="shared" si="28"/>
        <v>179.75741234603129</v>
      </c>
      <c r="H76" s="75">
        <v>0</v>
      </c>
      <c r="I76" s="99">
        <f t="shared" si="32"/>
        <v>3.8895477833370378</v>
      </c>
      <c r="J76" s="76">
        <f t="shared" si="33"/>
        <v>2.1231111136654439</v>
      </c>
      <c r="K76" s="116">
        <f t="shared" si="23"/>
        <v>6.0126588970024812</v>
      </c>
      <c r="L76" s="76">
        <f t="shared" si="34"/>
        <v>41.049805303170771</v>
      </c>
      <c r="M76" s="117">
        <f t="shared" si="24"/>
        <v>47.062464200173252</v>
      </c>
      <c r="N76" s="8">
        <f t="shared" si="25"/>
        <v>181.88052345969672</v>
      </c>
      <c r="O76" s="75">
        <f t="shared" si="26"/>
        <v>134.81805925952347</v>
      </c>
    </row>
    <row r="77" spans="1:15" x14ac:dyDescent="0.25">
      <c r="A77" s="78" t="s">
        <v>69</v>
      </c>
      <c r="B77" s="72" t="str">
        <f>+IF(MONTH(C77)&lt;4,"Q1",IF(MONTH(C77)&lt;7,"Q2",IF(MONTH(C77)&lt;10,"Q3","Q4")))&amp;"/"&amp;YEAR(C77)</f>
        <v>Q3/2020</v>
      </c>
      <c r="C77" s="73">
        <f t="shared" si="29"/>
        <v>44013</v>
      </c>
      <c r="D77" s="73">
        <f t="shared" si="30"/>
        <v>44104</v>
      </c>
      <c r="E77" s="72">
        <f t="shared" si="27"/>
        <v>92</v>
      </c>
      <c r="F77" s="74">
        <f>VLOOKUP(D77,'FERC Interest Rate'!$A:$B,2,TRUE)</f>
        <v>4.7507929999999997E-2</v>
      </c>
      <c r="G77" s="75">
        <f t="shared" si="28"/>
        <v>134.81805925952347</v>
      </c>
      <c r="H77" s="75">
        <v>0</v>
      </c>
      <c r="I77" s="99">
        <f t="shared" si="32"/>
        <v>3.8895477833370378</v>
      </c>
      <c r="J77" s="76">
        <f t="shared" si="33"/>
        <v>1.6099816306760408</v>
      </c>
      <c r="K77" s="116">
        <f t="shared" si="23"/>
        <v>5.4995294140130788</v>
      </c>
      <c r="L77" s="76">
        <f t="shared" si="34"/>
        <v>41.049805303170771</v>
      </c>
      <c r="M77" s="117">
        <f t="shared" si="24"/>
        <v>46.549334717183854</v>
      </c>
      <c r="N77" s="8">
        <f t="shared" si="25"/>
        <v>136.4280408901995</v>
      </c>
      <c r="O77" s="75">
        <f t="shared" si="26"/>
        <v>89.878706173015658</v>
      </c>
    </row>
    <row r="78" spans="1:15" x14ac:dyDescent="0.25">
      <c r="A78" s="78" t="s">
        <v>70</v>
      </c>
      <c r="B78" s="72" t="str">
        <f>+IF(MONTH(C78)&lt;4,"Q1",IF(MONTH(C78)&lt;7,"Q2",IF(MONTH(C78)&lt;10,"Q3","Q4")))&amp;"/"&amp;YEAR(C78)</f>
        <v>Q4/2020</v>
      </c>
      <c r="C78" s="73">
        <f t="shared" si="29"/>
        <v>44105</v>
      </c>
      <c r="D78" s="73">
        <f t="shared" si="30"/>
        <v>44196</v>
      </c>
      <c r="E78" s="72">
        <f t="shared" si="27"/>
        <v>92</v>
      </c>
      <c r="F78" s="74">
        <f>VLOOKUP(D78,'FERC Interest Rate'!$A:$B,2,TRUE)</f>
        <v>4.7922320000000004E-2</v>
      </c>
      <c r="G78" s="75">
        <f t="shared" si="28"/>
        <v>89.878706173015658</v>
      </c>
      <c r="H78" s="75">
        <v>0</v>
      </c>
      <c r="I78" s="99">
        <f t="shared" si="32"/>
        <v>3.8895477833370378</v>
      </c>
      <c r="J78" s="76">
        <f t="shared" si="33"/>
        <v>1.0826831773050529</v>
      </c>
      <c r="K78" s="116">
        <f t="shared" si="23"/>
        <v>4.9722309606420909</v>
      </c>
      <c r="L78" s="76">
        <f t="shared" si="34"/>
        <v>41.049805303170771</v>
      </c>
      <c r="M78" s="117">
        <f t="shared" si="24"/>
        <v>46.022036263812865</v>
      </c>
      <c r="N78" s="8">
        <f t="shared" si="25"/>
        <v>90.961389350320715</v>
      </c>
      <c r="O78" s="75">
        <f t="shared" si="26"/>
        <v>44.93935308650785</v>
      </c>
    </row>
    <row r="79" spans="1:15" x14ac:dyDescent="0.25">
      <c r="A79" s="78" t="s">
        <v>71</v>
      </c>
      <c r="B79" s="72" t="str">
        <f>+IF(MONTH(C79)&lt;4,"Q1",IF(MONTH(C79)&lt;7,"Q2",IF(MONTH(C79)&lt;10,"Q3","Q4")))&amp;"/"&amp;YEAR(C79)</f>
        <v>Q1/2021</v>
      </c>
      <c r="C79" s="73">
        <f t="shared" si="29"/>
        <v>44197</v>
      </c>
      <c r="D79" s="73">
        <f t="shared" si="30"/>
        <v>44286</v>
      </c>
      <c r="E79" s="72">
        <f t="shared" si="27"/>
        <v>90</v>
      </c>
      <c r="F79" s="74">
        <f>VLOOKUP(D79,'FERC Interest Rate'!$A:$B,2,TRUE)</f>
        <v>5.0023470000000007E-2</v>
      </c>
      <c r="G79" s="75">
        <f t="shared" si="28"/>
        <v>44.93935308650785</v>
      </c>
      <c r="H79" s="75">
        <v>0</v>
      </c>
      <c r="I79" s="99">
        <f t="shared" si="32"/>
        <v>3.8895477833370378</v>
      </c>
      <c r="J79" s="76">
        <f t="shared" si="33"/>
        <v>0.55430688845153409</v>
      </c>
      <c r="K79" s="116">
        <f t="shared" si="23"/>
        <v>4.4438546717885714</v>
      </c>
      <c r="L79" s="76">
        <f t="shared" si="34"/>
        <v>41.049805303170771</v>
      </c>
      <c r="M79" s="117">
        <f t="shared" si="24"/>
        <v>45.493659974959343</v>
      </c>
      <c r="N79" s="8">
        <f t="shared" si="25"/>
        <v>45.493659974959385</v>
      </c>
      <c r="O79" s="75">
        <f t="shared" si="26"/>
        <v>4.1300296516055823E-14</v>
      </c>
    </row>
    <row r="80" spans="1:15" x14ac:dyDescent="0.25">
      <c r="B80" s="72"/>
      <c r="C80" s="73"/>
      <c r="D80" s="73"/>
      <c r="E80" s="72"/>
      <c r="F80" s="74"/>
      <c r="G80" s="75"/>
      <c r="H80" s="75"/>
      <c r="I80" s="99"/>
      <c r="J80" s="76"/>
      <c r="K80" s="116"/>
      <c r="L80" s="76"/>
      <c r="M80" s="117"/>
      <c r="N80" s="8"/>
      <c r="O80" s="75"/>
    </row>
    <row r="81" spans="1:15" ht="13.5" thickBot="1" x14ac:dyDescent="0.35">
      <c r="A81" s="142"/>
      <c r="B81" s="143"/>
      <c r="C81" s="144"/>
      <c r="D81" s="144"/>
      <c r="E81" s="145"/>
      <c r="F81" s="143"/>
      <c r="G81" s="131">
        <f>+SUM(G53:G80)</f>
        <v>15514.795654210377</v>
      </c>
      <c r="H81" s="131">
        <f t="shared" ref="H81:O81" si="35">+SUM(H53:H80)</f>
        <v>77.790955666740757</v>
      </c>
      <c r="I81" s="125">
        <f t="shared" si="35"/>
        <v>77.790955666740743</v>
      </c>
      <c r="J81" s="124">
        <f t="shared" si="35"/>
        <v>77.576208896966762</v>
      </c>
      <c r="K81" s="124">
        <f t="shared" si="35"/>
        <v>155.36716456370749</v>
      </c>
      <c r="L81" s="124">
        <f t="shared" si="35"/>
        <v>820.99610606341525</v>
      </c>
      <c r="M81" s="126">
        <f t="shared" si="35"/>
        <v>976.36327062712314</v>
      </c>
      <c r="N81" s="124">
        <f t="shared" si="35"/>
        <v>15670.162818774084</v>
      </c>
      <c r="O81" s="124">
        <f t="shared" si="35"/>
        <v>14693.799548146961</v>
      </c>
    </row>
    <row r="82" spans="1:15" ht="13" thickTop="1" x14ac:dyDescent="0.25">
      <c r="B82" s="11"/>
      <c r="C82" s="79"/>
      <c r="D82" s="79"/>
      <c r="E82" s="10"/>
      <c r="F82" s="11"/>
      <c r="G82" s="76"/>
      <c r="H82" s="76"/>
      <c r="I82" s="119"/>
      <c r="J82" s="58"/>
      <c r="K82" s="116"/>
      <c r="L82" s="58"/>
      <c r="M82" s="117"/>
      <c r="N82" s="8"/>
    </row>
    <row r="83" spans="1:15" x14ac:dyDescent="0.25">
      <c r="B83" s="11"/>
      <c r="C83" s="79"/>
      <c r="D83" s="79"/>
      <c r="E83" s="10"/>
      <c r="F83" s="11"/>
      <c r="G83" s="76"/>
      <c r="H83" s="76"/>
      <c r="I83" s="119"/>
      <c r="J83" s="58"/>
      <c r="K83" s="116"/>
      <c r="L83" s="58"/>
      <c r="M83" s="117"/>
      <c r="N83" s="8"/>
    </row>
    <row r="84" spans="1:15" ht="39" x14ac:dyDescent="0.3">
      <c r="A84" s="77" t="s">
        <v>51</v>
      </c>
      <c r="B84" s="77" t="s">
        <v>3</v>
      </c>
      <c r="C84" s="77" t="s">
        <v>4</v>
      </c>
      <c r="D84" s="77" t="s">
        <v>5</v>
      </c>
      <c r="E84" s="77" t="s">
        <v>6</v>
      </c>
      <c r="F84" s="77" t="s">
        <v>7</v>
      </c>
      <c r="G84" s="77" t="s">
        <v>92</v>
      </c>
      <c r="H84" s="77" t="s">
        <v>93</v>
      </c>
      <c r="I84" s="94" t="s">
        <v>94</v>
      </c>
      <c r="J84" s="95" t="s">
        <v>95</v>
      </c>
      <c r="K84" s="95" t="s">
        <v>96</v>
      </c>
      <c r="L84" s="95" t="s">
        <v>97</v>
      </c>
      <c r="M84" s="96" t="s">
        <v>98</v>
      </c>
      <c r="N84" s="77" t="s">
        <v>99</v>
      </c>
      <c r="O84" s="77" t="s">
        <v>100</v>
      </c>
    </row>
    <row r="85" spans="1:15" ht="13" x14ac:dyDescent="0.3">
      <c r="A85" s="347" t="s">
        <v>14</v>
      </c>
      <c r="B85" s="347"/>
      <c r="C85" s="300">
        <f>VLOOKUP(B86,A$1:F$25,2,FALSE)</f>
        <v>41831</v>
      </c>
      <c r="D85" s="300">
        <f>DATE(YEAR(C85),IF(MONTH(C85)&lt;=3,3,IF(MONTH(C85)&lt;=6,6,IF(MONTH(C85)&lt;=9,9,12))),IF(OR(MONTH(C85)&lt;=3,MONTH(C85)&gt;=10),31,30))</f>
        <v>41912</v>
      </c>
      <c r="E85" s="301">
        <f>D85-C85+1</f>
        <v>82</v>
      </c>
      <c r="F85" s="302">
        <f>VLOOKUP(D85,'FERC Interest Rate'!$A:$B,2,TRUE)</f>
        <v>3.2500000000000001E-2</v>
      </c>
      <c r="G85" s="167">
        <f>VLOOKUP(B86,$A$1:$F$29,5,FALSE)</f>
        <v>1709.5604178255765</v>
      </c>
      <c r="H85" s="167">
        <f t="shared" ref="H85:H95" si="36">G85*F85*(E85/(DATE(YEAR(D85),12,31)-DATE(YEAR(D85),1,1)+1))</f>
        <v>12.482132913712769</v>
      </c>
      <c r="I85" s="319">
        <v>0</v>
      </c>
      <c r="J85" s="304">
        <v>0</v>
      </c>
      <c r="K85" s="305">
        <f>+SUM(I85:J85)</f>
        <v>0</v>
      </c>
      <c r="L85" s="304">
        <v>0</v>
      </c>
      <c r="M85" s="306">
        <f>+SUM(K85:L85)</f>
        <v>0</v>
      </c>
      <c r="N85" s="307">
        <f>+G85+H85+J85</f>
        <v>1722.0425507392893</v>
      </c>
      <c r="O85" s="167">
        <f t="shared" ref="O85:O111" si="37">G85+H85-L85-I85</f>
        <v>1722.0425507392893</v>
      </c>
    </row>
    <row r="86" spans="1:15" ht="13" x14ac:dyDescent="0.3">
      <c r="A86" s="110" t="s">
        <v>40</v>
      </c>
      <c r="B86" s="141" t="s">
        <v>53</v>
      </c>
      <c r="C86" s="300">
        <f>D85+1</f>
        <v>41913</v>
      </c>
      <c r="D86" s="300">
        <f>EOMONTH(D85,3)</f>
        <v>42004</v>
      </c>
      <c r="E86" s="301">
        <f t="shared" ref="E86:E111" si="38">D86-C86+1</f>
        <v>92</v>
      </c>
      <c r="F86" s="302">
        <f>VLOOKUP(D86,'FERC Interest Rate'!$A:$B,2,TRUE)</f>
        <v>3.2500000000000001E-2</v>
      </c>
      <c r="G86" s="167">
        <f t="shared" ref="G86:G111" si="39">O85</f>
        <v>1722.0425507392893</v>
      </c>
      <c r="H86" s="167">
        <f t="shared" si="36"/>
        <v>14.106595141672535</v>
      </c>
      <c r="I86" s="319">
        <v>0</v>
      </c>
      <c r="J86" s="304">
        <v>0</v>
      </c>
      <c r="K86" s="305">
        <f t="shared" ref="K86:K111" si="40">+SUM(I86:J86)</f>
        <v>0</v>
      </c>
      <c r="L86" s="304">
        <v>0</v>
      </c>
      <c r="M86" s="306">
        <f t="shared" ref="M86:M111" si="41">+SUM(K86:L86)</f>
        <v>0</v>
      </c>
      <c r="N86" s="307">
        <f t="shared" ref="N86:N111" si="42">+G86+H86+J86</f>
        <v>1736.1491458809619</v>
      </c>
      <c r="O86" s="167">
        <f t="shared" si="37"/>
        <v>1736.1491458809619</v>
      </c>
    </row>
    <row r="87" spans="1:15" ht="13" x14ac:dyDescent="0.3">
      <c r="B87" s="301"/>
      <c r="C87" s="300">
        <f t="shared" ref="C87:C111" si="43">D86+1</f>
        <v>42005</v>
      </c>
      <c r="D87" s="300">
        <f t="shared" ref="D87:D111" si="44">EOMONTH(D86,3)</f>
        <v>42094</v>
      </c>
      <c r="E87" s="301">
        <f t="shared" si="38"/>
        <v>90</v>
      </c>
      <c r="F87" s="302">
        <f>VLOOKUP(D87,'FERC Interest Rate'!$A:$B,2,TRUE)</f>
        <v>3.2500000000000001E-2</v>
      </c>
      <c r="G87" s="167">
        <f t="shared" si="39"/>
        <v>1736.1491458809619</v>
      </c>
      <c r="H87" s="167">
        <f t="shared" si="36"/>
        <v>13.912976032059762</v>
      </c>
      <c r="I87" s="319">
        <v>0</v>
      </c>
      <c r="J87" s="304">
        <v>0</v>
      </c>
      <c r="K87" s="305">
        <f t="shared" si="40"/>
        <v>0</v>
      </c>
      <c r="L87" s="304">
        <v>0</v>
      </c>
      <c r="M87" s="306">
        <f t="shared" si="41"/>
        <v>0</v>
      </c>
      <c r="N87" s="307">
        <f t="shared" si="42"/>
        <v>1750.0621219130217</v>
      </c>
      <c r="O87" s="167">
        <f t="shared" si="37"/>
        <v>1750.0621219130217</v>
      </c>
    </row>
    <row r="88" spans="1:15" ht="13" x14ac:dyDescent="0.3">
      <c r="B88" s="301"/>
      <c r="C88" s="300">
        <f t="shared" si="43"/>
        <v>42095</v>
      </c>
      <c r="D88" s="300">
        <f t="shared" si="44"/>
        <v>42185</v>
      </c>
      <c r="E88" s="301">
        <f t="shared" si="38"/>
        <v>91</v>
      </c>
      <c r="F88" s="302">
        <f>VLOOKUP(D88,'FERC Interest Rate'!$A:$B,2,TRUE)</f>
        <v>3.2500000000000001E-2</v>
      </c>
      <c r="G88" s="167">
        <f t="shared" si="39"/>
        <v>1750.0621219130217</v>
      </c>
      <c r="H88" s="167">
        <f t="shared" si="36"/>
        <v>14.180297878240443</v>
      </c>
      <c r="I88" s="319">
        <v>0</v>
      </c>
      <c r="J88" s="304">
        <v>0</v>
      </c>
      <c r="K88" s="305">
        <f t="shared" si="40"/>
        <v>0</v>
      </c>
      <c r="L88" s="304">
        <v>0</v>
      </c>
      <c r="M88" s="306">
        <f t="shared" si="41"/>
        <v>0</v>
      </c>
      <c r="N88" s="307">
        <f t="shared" si="42"/>
        <v>1764.2424197912621</v>
      </c>
      <c r="O88" s="167">
        <f t="shared" si="37"/>
        <v>1764.2424197912621</v>
      </c>
    </row>
    <row r="89" spans="1:15" ht="13" x14ac:dyDescent="0.3">
      <c r="B89" s="301"/>
      <c r="C89" s="300">
        <f t="shared" si="43"/>
        <v>42186</v>
      </c>
      <c r="D89" s="300">
        <f t="shared" si="44"/>
        <v>42277</v>
      </c>
      <c r="E89" s="301">
        <f t="shared" si="38"/>
        <v>92</v>
      </c>
      <c r="F89" s="302">
        <f>VLOOKUP(D89,'FERC Interest Rate'!$A:$B,2,TRUE)</f>
        <v>3.2500000000000001E-2</v>
      </c>
      <c r="G89" s="167">
        <f t="shared" si="39"/>
        <v>1764.2424197912621</v>
      </c>
      <c r="H89" s="167">
        <f t="shared" si="36"/>
        <v>14.452287219659929</v>
      </c>
      <c r="I89" s="319">
        <v>0</v>
      </c>
      <c r="J89" s="304">
        <v>0</v>
      </c>
      <c r="K89" s="305">
        <f t="shared" si="40"/>
        <v>0</v>
      </c>
      <c r="L89" s="304">
        <v>0</v>
      </c>
      <c r="M89" s="306">
        <f t="shared" si="41"/>
        <v>0</v>
      </c>
      <c r="N89" s="307">
        <f t="shared" si="42"/>
        <v>1778.694707010922</v>
      </c>
      <c r="O89" s="167">
        <f t="shared" si="37"/>
        <v>1778.694707010922</v>
      </c>
    </row>
    <row r="90" spans="1:15" ht="13" x14ac:dyDescent="0.3">
      <c r="B90" s="301"/>
      <c r="C90" s="300">
        <f t="shared" si="43"/>
        <v>42278</v>
      </c>
      <c r="D90" s="300">
        <f t="shared" si="44"/>
        <v>42369</v>
      </c>
      <c r="E90" s="301">
        <f t="shared" si="38"/>
        <v>92</v>
      </c>
      <c r="F90" s="302">
        <f>VLOOKUP(D90,'FERC Interest Rate'!$A:$B,2,TRUE)</f>
        <v>3.2500000000000001E-2</v>
      </c>
      <c r="G90" s="167">
        <f t="shared" si="39"/>
        <v>1778.694707010922</v>
      </c>
      <c r="H90" s="167">
        <f t="shared" si="36"/>
        <v>14.570677188938788</v>
      </c>
      <c r="I90" s="319">
        <v>0</v>
      </c>
      <c r="J90" s="304">
        <v>0</v>
      </c>
      <c r="K90" s="305">
        <f t="shared" si="40"/>
        <v>0</v>
      </c>
      <c r="L90" s="304">
        <v>0</v>
      </c>
      <c r="M90" s="306">
        <f t="shared" si="41"/>
        <v>0</v>
      </c>
      <c r="N90" s="307">
        <f t="shared" si="42"/>
        <v>1793.2653841998608</v>
      </c>
      <c r="O90" s="167">
        <f t="shared" si="37"/>
        <v>1793.2653841998608</v>
      </c>
    </row>
    <row r="91" spans="1:15" ht="13" x14ac:dyDescent="0.3">
      <c r="B91" s="301"/>
      <c r="C91" s="300">
        <f t="shared" si="43"/>
        <v>42370</v>
      </c>
      <c r="D91" s="300">
        <f t="shared" si="44"/>
        <v>42460</v>
      </c>
      <c r="E91" s="301">
        <f t="shared" si="38"/>
        <v>91</v>
      </c>
      <c r="F91" s="302">
        <f>VLOOKUP(D91,'FERC Interest Rate'!$A:$B,2,TRUE)</f>
        <v>3.2500000000000001E-2</v>
      </c>
      <c r="G91" s="167">
        <f t="shared" si="39"/>
        <v>1793.2653841998608</v>
      </c>
      <c r="H91" s="167">
        <f t="shared" si="36"/>
        <v>14.490662223418274</v>
      </c>
      <c r="I91" s="319">
        <v>0</v>
      </c>
      <c r="J91" s="304">
        <v>0</v>
      </c>
      <c r="K91" s="305">
        <f t="shared" si="40"/>
        <v>0</v>
      </c>
      <c r="L91" s="304">
        <v>0</v>
      </c>
      <c r="M91" s="306">
        <f t="shared" si="41"/>
        <v>0</v>
      </c>
      <c r="N91" s="307">
        <f t="shared" si="42"/>
        <v>1807.756046423279</v>
      </c>
      <c r="O91" s="167">
        <f t="shared" si="37"/>
        <v>1807.756046423279</v>
      </c>
    </row>
    <row r="92" spans="1:15" ht="13" x14ac:dyDescent="0.3">
      <c r="A92" s="78"/>
      <c r="B92" s="72"/>
      <c r="C92" s="73">
        <f t="shared" si="43"/>
        <v>42461</v>
      </c>
      <c r="D92" s="73">
        <f t="shared" si="44"/>
        <v>42551</v>
      </c>
      <c r="E92" s="72">
        <f t="shared" si="38"/>
        <v>91</v>
      </c>
      <c r="F92" s="74">
        <f>VLOOKUP(D92,'FERC Interest Rate'!$A:$B,2,TRUE)</f>
        <v>3.4599999999999999E-2</v>
      </c>
      <c r="G92" s="75">
        <f t="shared" si="39"/>
        <v>1807.756046423279</v>
      </c>
      <c r="H92" s="167">
        <f t="shared" si="36"/>
        <v>15.551641223410755</v>
      </c>
      <c r="I92" s="180">
        <v>0</v>
      </c>
      <c r="J92" s="304">
        <v>0</v>
      </c>
      <c r="K92" s="116">
        <f t="shared" si="40"/>
        <v>0</v>
      </c>
      <c r="L92" s="76">
        <v>0</v>
      </c>
      <c r="M92" s="117">
        <f t="shared" si="41"/>
        <v>0</v>
      </c>
      <c r="N92" s="8">
        <f t="shared" si="42"/>
        <v>1823.3076876466898</v>
      </c>
      <c r="O92" s="75">
        <f t="shared" si="37"/>
        <v>1823.3076876466898</v>
      </c>
    </row>
    <row r="93" spans="1:15" x14ac:dyDescent="0.25">
      <c r="A93" s="78"/>
      <c r="B93" s="72"/>
      <c r="C93" s="73">
        <f t="shared" si="43"/>
        <v>42552</v>
      </c>
      <c r="D93" s="73">
        <f t="shared" si="44"/>
        <v>42643</v>
      </c>
      <c r="E93" s="72">
        <f t="shared" si="38"/>
        <v>92</v>
      </c>
      <c r="F93" s="74">
        <f>VLOOKUP(D93,'FERC Interest Rate'!$A:$B,2,TRUE)</f>
        <v>3.5000000000000003E-2</v>
      </c>
      <c r="G93" s="75">
        <f t="shared" si="39"/>
        <v>1823.3076876466898</v>
      </c>
      <c r="H93" s="75">
        <f t="shared" si="36"/>
        <v>16.041122279296015</v>
      </c>
      <c r="I93" s="180">
        <v>0</v>
      </c>
      <c r="J93" s="76">
        <v>0</v>
      </c>
      <c r="K93" s="116">
        <f t="shared" si="40"/>
        <v>0</v>
      </c>
      <c r="L93" s="76">
        <v>0</v>
      </c>
      <c r="M93" s="117">
        <f t="shared" si="41"/>
        <v>0</v>
      </c>
      <c r="N93" s="8">
        <f t="shared" si="42"/>
        <v>1839.3488099259857</v>
      </c>
      <c r="O93" s="75">
        <f t="shared" si="37"/>
        <v>1839.3488099259857</v>
      </c>
    </row>
    <row r="94" spans="1:15" x14ac:dyDescent="0.25">
      <c r="A94" s="78"/>
      <c r="B94" s="72"/>
      <c r="C94" s="73">
        <f t="shared" si="43"/>
        <v>42644</v>
      </c>
      <c r="D94" s="73">
        <f t="shared" si="44"/>
        <v>42735</v>
      </c>
      <c r="E94" s="72">
        <f t="shared" si="38"/>
        <v>92</v>
      </c>
      <c r="F94" s="74">
        <f>VLOOKUP(D94,'FERC Interest Rate'!$A:$B,2,TRUE)</f>
        <v>3.5000000000000003E-2</v>
      </c>
      <c r="G94" s="75">
        <f t="shared" si="39"/>
        <v>1839.3488099259857</v>
      </c>
      <c r="H94" s="75">
        <f t="shared" si="36"/>
        <v>16.182249092791462</v>
      </c>
      <c r="I94" s="180">
        <v>0</v>
      </c>
      <c r="J94" s="76">
        <v>0</v>
      </c>
      <c r="K94" s="116">
        <f t="shared" si="40"/>
        <v>0</v>
      </c>
      <c r="L94" s="76">
        <v>0</v>
      </c>
      <c r="M94" s="117">
        <f t="shared" si="41"/>
        <v>0</v>
      </c>
      <c r="N94" s="8">
        <f t="shared" si="42"/>
        <v>1855.5310590187771</v>
      </c>
      <c r="O94" s="75">
        <f t="shared" si="37"/>
        <v>1855.5310590187771</v>
      </c>
    </row>
    <row r="95" spans="1:15" x14ac:dyDescent="0.25">
      <c r="A95" s="78" t="s">
        <v>101</v>
      </c>
      <c r="B95" s="72" t="str">
        <f t="shared" ref="B95:B108" si="45">+IF(MONTH(C95)&lt;4,"Q1",IF(MONTH(C95)&lt;7,"Q2",IF(MONTH(C95)&lt;10,"Q3","Q4")))&amp;"/"&amp;YEAR(C95)</f>
        <v>Q1/2017</v>
      </c>
      <c r="C95" s="73">
        <f t="shared" si="43"/>
        <v>42736</v>
      </c>
      <c r="D95" s="73">
        <f t="shared" si="44"/>
        <v>42825</v>
      </c>
      <c r="E95" s="72">
        <f t="shared" si="38"/>
        <v>90</v>
      </c>
      <c r="F95" s="74">
        <f>VLOOKUP(D95,'FERC Interest Rate'!$A:$B,2,TRUE)</f>
        <v>3.5000000000000003E-2</v>
      </c>
      <c r="G95" s="75">
        <f t="shared" si="39"/>
        <v>1855.5310590187771</v>
      </c>
      <c r="H95" s="75">
        <f t="shared" si="36"/>
        <v>16.0134872216689</v>
      </c>
      <c r="I95" s="99">
        <f>(SUM($H$85:$H$112)/20)*4</f>
        <v>32.396825682973926</v>
      </c>
      <c r="J95" s="76">
        <f>G95*F95*(E95/(DATE(YEAR(D95),12,31)-DATE(YEAR(D95),1,1)+1))</f>
        <v>16.0134872216689</v>
      </c>
      <c r="K95" s="116">
        <f t="shared" si="40"/>
        <v>48.410312904642822</v>
      </c>
      <c r="L95" s="76">
        <f>VLOOKUP($B$86,A$1:F$25,5,FALSE)/20*4</f>
        <v>341.91208356511527</v>
      </c>
      <c r="M95" s="117">
        <f t="shared" si="41"/>
        <v>390.32239646975808</v>
      </c>
      <c r="N95" s="8">
        <f t="shared" si="42"/>
        <v>1887.5580334621147</v>
      </c>
      <c r="O95" s="75">
        <f t="shared" si="37"/>
        <v>1497.2356369923568</v>
      </c>
    </row>
    <row r="96" spans="1:15" x14ac:dyDescent="0.25">
      <c r="A96" s="78" t="s">
        <v>56</v>
      </c>
      <c r="B96" s="72" t="str">
        <f t="shared" si="45"/>
        <v>Q2/2017</v>
      </c>
      <c r="C96" s="73">
        <f t="shared" si="43"/>
        <v>42826</v>
      </c>
      <c r="D96" s="73">
        <f t="shared" si="44"/>
        <v>42916</v>
      </c>
      <c r="E96" s="72">
        <f t="shared" si="38"/>
        <v>91</v>
      </c>
      <c r="F96" s="74">
        <f>VLOOKUP(D96,'FERC Interest Rate'!$A:$B,2,TRUE)</f>
        <v>3.7100000000000001E-2</v>
      </c>
      <c r="G96" s="75">
        <f t="shared" si="39"/>
        <v>1497.2356369923568</v>
      </c>
      <c r="H96" s="75">
        <v>0</v>
      </c>
      <c r="I96" s="99">
        <f t="shared" ref="I96:I111" si="46">(SUM($H$85:$H$112)/20)</f>
        <v>8.0992064207434815</v>
      </c>
      <c r="J96" s="76">
        <f t="shared" ref="J96:J111" si="47">G96*F96*(E96/(DATE(YEAR(D96),12,31)-DATE(YEAR(D96),1,1)+1))</f>
        <v>13.848814339862729</v>
      </c>
      <c r="K96" s="116">
        <f t="shared" si="40"/>
        <v>21.948020760606212</v>
      </c>
      <c r="L96" s="76">
        <f t="shared" ref="L96:L111" si="48">VLOOKUP($B$86,A$1:F$25,5,FALSE)/20</f>
        <v>85.478020891278817</v>
      </c>
      <c r="M96" s="117">
        <f t="shared" si="41"/>
        <v>107.42604165188503</v>
      </c>
      <c r="N96" s="8">
        <f t="shared" si="42"/>
        <v>1511.0844513322195</v>
      </c>
      <c r="O96" s="75">
        <f t="shared" si="37"/>
        <v>1403.6584096803344</v>
      </c>
    </row>
    <row r="97" spans="1:15" x14ac:dyDescent="0.25">
      <c r="A97" s="78" t="s">
        <v>57</v>
      </c>
      <c r="B97" s="72" t="str">
        <f t="shared" si="45"/>
        <v>Q3/2017</v>
      </c>
      <c r="C97" s="73">
        <f t="shared" si="43"/>
        <v>42917</v>
      </c>
      <c r="D97" s="73">
        <f t="shared" si="44"/>
        <v>43008</v>
      </c>
      <c r="E97" s="72">
        <f t="shared" si="38"/>
        <v>92</v>
      </c>
      <c r="F97" s="74">
        <f>VLOOKUP(D97,'FERC Interest Rate'!$A:$B,2,TRUE)</f>
        <v>3.9600000000000003E-2</v>
      </c>
      <c r="G97" s="75">
        <f t="shared" si="39"/>
        <v>1403.6584096803344</v>
      </c>
      <c r="H97" s="75">
        <v>0</v>
      </c>
      <c r="I97" s="99">
        <f t="shared" si="46"/>
        <v>8.0992064207434815</v>
      </c>
      <c r="J97" s="76">
        <f t="shared" si="47"/>
        <v>14.010433748349028</v>
      </c>
      <c r="K97" s="116">
        <f t="shared" si="40"/>
        <v>22.109640169092508</v>
      </c>
      <c r="L97" s="76">
        <f t="shared" si="48"/>
        <v>85.478020891278817</v>
      </c>
      <c r="M97" s="117">
        <f t="shared" si="41"/>
        <v>107.58766106037132</v>
      </c>
      <c r="N97" s="8">
        <f t="shared" si="42"/>
        <v>1417.6688434286834</v>
      </c>
      <c r="O97" s="75">
        <f t="shared" si="37"/>
        <v>1310.0811823683121</v>
      </c>
    </row>
    <row r="98" spans="1:15" x14ac:dyDescent="0.25">
      <c r="A98" s="78" t="s">
        <v>58</v>
      </c>
      <c r="B98" s="72" t="str">
        <f t="shared" si="45"/>
        <v>Q4/2017</v>
      </c>
      <c r="C98" s="73">
        <f t="shared" si="43"/>
        <v>43009</v>
      </c>
      <c r="D98" s="73">
        <f t="shared" si="44"/>
        <v>43100</v>
      </c>
      <c r="E98" s="72">
        <f t="shared" si="38"/>
        <v>92</v>
      </c>
      <c r="F98" s="74">
        <f>VLOOKUP(D98,'FERC Interest Rate'!$A:$B,2,TRUE)</f>
        <v>4.2099999999999999E-2</v>
      </c>
      <c r="G98" s="75">
        <f t="shared" si="39"/>
        <v>1310.0811823683121</v>
      </c>
      <c r="H98" s="75">
        <v>0</v>
      </c>
      <c r="I98" s="99">
        <f t="shared" si="46"/>
        <v>8.0992064207434815</v>
      </c>
      <c r="J98" s="76">
        <f t="shared" si="47"/>
        <v>13.901935439860127</v>
      </c>
      <c r="K98" s="116">
        <f t="shared" si="40"/>
        <v>22.00114186060361</v>
      </c>
      <c r="L98" s="76">
        <f t="shared" si="48"/>
        <v>85.478020891278817</v>
      </c>
      <c r="M98" s="117">
        <f t="shared" si="41"/>
        <v>107.47916275188243</v>
      </c>
      <c r="N98" s="8">
        <f t="shared" si="42"/>
        <v>1323.9831178081722</v>
      </c>
      <c r="O98" s="75">
        <f t="shared" si="37"/>
        <v>1216.5039550562897</v>
      </c>
    </row>
    <row r="99" spans="1:15" x14ac:dyDescent="0.25">
      <c r="A99" s="78" t="s">
        <v>59</v>
      </c>
      <c r="B99" s="72" t="str">
        <f t="shared" si="45"/>
        <v>Q1/2018</v>
      </c>
      <c r="C99" s="73">
        <f t="shared" si="43"/>
        <v>43101</v>
      </c>
      <c r="D99" s="73">
        <f t="shared" si="44"/>
        <v>43190</v>
      </c>
      <c r="E99" s="72">
        <f t="shared" si="38"/>
        <v>90</v>
      </c>
      <c r="F99" s="74">
        <f>VLOOKUP(D99,'FERC Interest Rate'!$A:$B,2,TRUE)</f>
        <v>4.2500000000000003E-2</v>
      </c>
      <c r="G99" s="75">
        <f t="shared" si="39"/>
        <v>1216.5039550562897</v>
      </c>
      <c r="H99" s="75">
        <v>0</v>
      </c>
      <c r="I99" s="99">
        <f t="shared" si="46"/>
        <v>8.0992064207434815</v>
      </c>
      <c r="J99" s="76">
        <f t="shared" si="47"/>
        <v>12.748294871480295</v>
      </c>
      <c r="K99" s="116">
        <f t="shared" si="40"/>
        <v>20.847501292223775</v>
      </c>
      <c r="L99" s="76">
        <f t="shared" si="48"/>
        <v>85.478020891278817</v>
      </c>
      <c r="M99" s="117">
        <f t="shared" si="41"/>
        <v>106.32552218350258</v>
      </c>
      <c r="N99" s="8">
        <f t="shared" si="42"/>
        <v>1229.25224992777</v>
      </c>
      <c r="O99" s="75">
        <f t="shared" si="37"/>
        <v>1122.9267277442673</v>
      </c>
    </row>
    <row r="100" spans="1:15" x14ac:dyDescent="0.25">
      <c r="A100" s="78" t="s">
        <v>60</v>
      </c>
      <c r="B100" s="72" t="str">
        <f t="shared" si="45"/>
        <v>Q2/2018</v>
      </c>
      <c r="C100" s="73">
        <f t="shared" si="43"/>
        <v>43191</v>
      </c>
      <c r="D100" s="73">
        <f t="shared" si="44"/>
        <v>43281</v>
      </c>
      <c r="E100" s="72">
        <f t="shared" si="38"/>
        <v>91</v>
      </c>
      <c r="F100" s="74">
        <f>VLOOKUP(D100,'FERC Interest Rate'!$A:$B,2,TRUE)</f>
        <v>4.4699999999999997E-2</v>
      </c>
      <c r="G100" s="75">
        <f t="shared" si="39"/>
        <v>1122.9267277442673</v>
      </c>
      <c r="H100" s="75">
        <v>0</v>
      </c>
      <c r="I100" s="99">
        <f t="shared" si="46"/>
        <v>8.0992064207434815</v>
      </c>
      <c r="J100" s="76">
        <f t="shared" si="47"/>
        <v>12.514326165603713</v>
      </c>
      <c r="K100" s="116">
        <f t="shared" si="40"/>
        <v>20.613532586347194</v>
      </c>
      <c r="L100" s="76">
        <f t="shared" si="48"/>
        <v>85.478020891278817</v>
      </c>
      <c r="M100" s="117">
        <f t="shared" si="41"/>
        <v>106.09155347762601</v>
      </c>
      <c r="N100" s="8">
        <f t="shared" si="42"/>
        <v>1135.441053909871</v>
      </c>
      <c r="O100" s="75">
        <f t="shared" si="37"/>
        <v>1029.3495004322449</v>
      </c>
    </row>
    <row r="101" spans="1:15" x14ac:dyDescent="0.25">
      <c r="A101" s="78" t="s">
        <v>61</v>
      </c>
      <c r="B101" s="72" t="str">
        <f t="shared" si="45"/>
        <v>Q3/2018</v>
      </c>
      <c r="C101" s="73">
        <f t="shared" si="43"/>
        <v>43282</v>
      </c>
      <c r="D101" s="73">
        <f t="shared" si="44"/>
        <v>43373</v>
      </c>
      <c r="E101" s="72">
        <f t="shared" si="38"/>
        <v>92</v>
      </c>
      <c r="F101" s="74">
        <f>VLOOKUP(D101,'FERC Interest Rate'!$A:$B,2,TRUE)</f>
        <v>4.6899999999999997E-2</v>
      </c>
      <c r="G101" s="75">
        <f t="shared" si="39"/>
        <v>1029.3495004322449</v>
      </c>
      <c r="H101" s="75">
        <v>0</v>
      </c>
      <c r="I101" s="99">
        <f t="shared" si="46"/>
        <v>8.0992064207434815</v>
      </c>
      <c r="J101" s="76">
        <f t="shared" si="47"/>
        <v>12.168321162917946</v>
      </c>
      <c r="K101" s="116">
        <f t="shared" si="40"/>
        <v>20.267527583661426</v>
      </c>
      <c r="L101" s="76">
        <f t="shared" si="48"/>
        <v>85.478020891278817</v>
      </c>
      <c r="M101" s="117">
        <f t="shared" si="41"/>
        <v>105.74554847494025</v>
      </c>
      <c r="N101" s="8">
        <f t="shared" si="42"/>
        <v>1041.5178215951628</v>
      </c>
      <c r="O101" s="75">
        <f t="shared" si="37"/>
        <v>935.77227312022262</v>
      </c>
    </row>
    <row r="102" spans="1:15" x14ac:dyDescent="0.25">
      <c r="A102" s="78" t="s">
        <v>62</v>
      </c>
      <c r="B102" s="72" t="str">
        <f t="shared" si="45"/>
        <v>Q4/2018</v>
      </c>
      <c r="C102" s="73">
        <f t="shared" si="43"/>
        <v>43374</v>
      </c>
      <c r="D102" s="73">
        <f t="shared" si="44"/>
        <v>43465</v>
      </c>
      <c r="E102" s="72">
        <f t="shared" si="38"/>
        <v>92</v>
      </c>
      <c r="F102" s="74">
        <f>VLOOKUP(D102,'FERC Interest Rate'!$A:$B,2,TRUE)</f>
        <v>4.9599999999999998E-2</v>
      </c>
      <c r="G102" s="75">
        <f t="shared" si="39"/>
        <v>935.77227312022262</v>
      </c>
      <c r="H102" s="75">
        <v>0</v>
      </c>
      <c r="I102" s="99">
        <f t="shared" si="46"/>
        <v>8.0992064207434815</v>
      </c>
      <c r="J102" s="76">
        <f t="shared" si="47"/>
        <v>11.698948045759453</v>
      </c>
      <c r="K102" s="116">
        <f t="shared" si="40"/>
        <v>19.798154466502936</v>
      </c>
      <c r="L102" s="76">
        <f t="shared" si="48"/>
        <v>85.478020891278817</v>
      </c>
      <c r="M102" s="117">
        <f t="shared" si="41"/>
        <v>105.27617535778175</v>
      </c>
      <c r="N102" s="8">
        <f t="shared" si="42"/>
        <v>947.47122116598212</v>
      </c>
      <c r="O102" s="75">
        <f t="shared" si="37"/>
        <v>842.19504580820035</v>
      </c>
    </row>
    <row r="103" spans="1:15" x14ac:dyDescent="0.25">
      <c r="A103" s="78" t="s">
        <v>63</v>
      </c>
      <c r="B103" s="72" t="str">
        <f t="shared" si="45"/>
        <v>Q1/2019</v>
      </c>
      <c r="C103" s="73">
        <f t="shared" si="43"/>
        <v>43466</v>
      </c>
      <c r="D103" s="73">
        <f t="shared" si="44"/>
        <v>43555</v>
      </c>
      <c r="E103" s="72">
        <f t="shared" si="38"/>
        <v>90</v>
      </c>
      <c r="F103" s="74">
        <f>VLOOKUP(D103,'FERC Interest Rate'!$A:$B,2,TRUE)</f>
        <v>5.1799999999999999E-2</v>
      </c>
      <c r="G103" s="75">
        <f t="shared" si="39"/>
        <v>842.19504580820035</v>
      </c>
      <c r="H103" s="75">
        <v>0</v>
      </c>
      <c r="I103" s="99">
        <f t="shared" si="46"/>
        <v>8.0992064207434815</v>
      </c>
      <c r="J103" s="76">
        <f t="shared" si="47"/>
        <v>10.757022749473506</v>
      </c>
      <c r="K103" s="116">
        <f t="shared" si="40"/>
        <v>18.856229170216988</v>
      </c>
      <c r="L103" s="76">
        <f t="shared" si="48"/>
        <v>85.478020891278817</v>
      </c>
      <c r="M103" s="117">
        <f t="shared" si="41"/>
        <v>104.33425006149581</v>
      </c>
      <c r="N103" s="8">
        <f t="shared" si="42"/>
        <v>852.9520685576739</v>
      </c>
      <c r="O103" s="75">
        <f t="shared" si="37"/>
        <v>748.61781849617807</v>
      </c>
    </row>
    <row r="104" spans="1:15" x14ac:dyDescent="0.25">
      <c r="A104" s="78" t="s">
        <v>64</v>
      </c>
      <c r="B104" s="72" t="str">
        <f t="shared" si="45"/>
        <v>Q2/2019</v>
      </c>
      <c r="C104" s="73">
        <f t="shared" si="43"/>
        <v>43556</v>
      </c>
      <c r="D104" s="73">
        <f t="shared" si="44"/>
        <v>43646</v>
      </c>
      <c r="E104" s="72">
        <f t="shared" si="38"/>
        <v>91</v>
      </c>
      <c r="F104" s="74">
        <f>VLOOKUP(D104,'FERC Interest Rate'!$A:$B,2,TRUE)</f>
        <v>5.45E-2</v>
      </c>
      <c r="G104" s="75">
        <f t="shared" si="39"/>
        <v>748.61781849617807</v>
      </c>
      <c r="H104" s="75">
        <v>0</v>
      </c>
      <c r="I104" s="99">
        <f t="shared" si="46"/>
        <v>8.0992064207434815</v>
      </c>
      <c r="J104" s="76">
        <f t="shared" si="47"/>
        <v>10.171972796799439</v>
      </c>
      <c r="K104" s="116">
        <f t="shared" si="40"/>
        <v>18.271179217542922</v>
      </c>
      <c r="L104" s="76">
        <f t="shared" si="48"/>
        <v>85.478020891278817</v>
      </c>
      <c r="M104" s="117">
        <f t="shared" si="41"/>
        <v>103.74920010882174</v>
      </c>
      <c r="N104" s="8">
        <f t="shared" si="42"/>
        <v>758.7897912929775</v>
      </c>
      <c r="O104" s="75">
        <f t="shared" si="37"/>
        <v>655.0405911841558</v>
      </c>
    </row>
    <row r="105" spans="1:15" x14ac:dyDescent="0.25">
      <c r="A105" s="78" t="s">
        <v>65</v>
      </c>
      <c r="B105" s="72" t="str">
        <f t="shared" si="45"/>
        <v>Q3/2019</v>
      </c>
      <c r="C105" s="73">
        <f t="shared" si="43"/>
        <v>43647</v>
      </c>
      <c r="D105" s="73">
        <f t="shared" si="44"/>
        <v>43738</v>
      </c>
      <c r="E105" s="72">
        <f t="shared" si="38"/>
        <v>92</v>
      </c>
      <c r="F105" s="74">
        <f>VLOOKUP(D105,'FERC Interest Rate'!$A:$B,2,TRUE)</f>
        <v>5.5E-2</v>
      </c>
      <c r="G105" s="75">
        <f t="shared" si="39"/>
        <v>655.0405911841558</v>
      </c>
      <c r="H105" s="75">
        <v>0</v>
      </c>
      <c r="I105" s="99">
        <f t="shared" si="46"/>
        <v>8.0992064207434815</v>
      </c>
      <c r="J105" s="76">
        <f t="shared" si="47"/>
        <v>9.0808366887447356</v>
      </c>
      <c r="K105" s="116">
        <f t="shared" si="40"/>
        <v>17.180043109488217</v>
      </c>
      <c r="L105" s="76">
        <f t="shared" si="48"/>
        <v>85.478020891278817</v>
      </c>
      <c r="M105" s="117">
        <f t="shared" si="41"/>
        <v>102.65806400076704</v>
      </c>
      <c r="N105" s="8">
        <f t="shared" si="42"/>
        <v>664.12142787290054</v>
      </c>
      <c r="O105" s="75">
        <f t="shared" si="37"/>
        <v>561.46336387213353</v>
      </c>
    </row>
    <row r="106" spans="1:15" x14ac:dyDescent="0.25">
      <c r="A106" s="78" t="s">
        <v>66</v>
      </c>
      <c r="B106" s="72" t="str">
        <f t="shared" si="45"/>
        <v>Q4/2019</v>
      </c>
      <c r="C106" s="73">
        <f t="shared" si="43"/>
        <v>43739</v>
      </c>
      <c r="D106" s="73">
        <f t="shared" si="44"/>
        <v>43830</v>
      </c>
      <c r="E106" s="72">
        <f t="shared" si="38"/>
        <v>92</v>
      </c>
      <c r="F106" s="74">
        <f>VLOOKUP(D106,'FERC Interest Rate'!$A:$B,2,TRUE)</f>
        <v>5.4199999999999998E-2</v>
      </c>
      <c r="G106" s="75">
        <f t="shared" si="39"/>
        <v>561.46336387213353</v>
      </c>
      <c r="H106" s="75">
        <v>0</v>
      </c>
      <c r="I106" s="99">
        <f t="shared" si="46"/>
        <v>8.0992064207434815</v>
      </c>
      <c r="J106" s="76">
        <f t="shared" si="47"/>
        <v>7.6703586783890589</v>
      </c>
      <c r="K106" s="116">
        <f t="shared" si="40"/>
        <v>15.76956509913254</v>
      </c>
      <c r="L106" s="76">
        <f t="shared" si="48"/>
        <v>85.478020891278817</v>
      </c>
      <c r="M106" s="117">
        <f t="shared" si="41"/>
        <v>101.24758599041135</v>
      </c>
      <c r="N106" s="8">
        <f t="shared" si="42"/>
        <v>569.13372255052263</v>
      </c>
      <c r="O106" s="75">
        <f t="shared" si="37"/>
        <v>467.88613656011125</v>
      </c>
    </row>
    <row r="107" spans="1:15" x14ac:dyDescent="0.25">
      <c r="A107" s="78" t="s">
        <v>67</v>
      </c>
      <c r="B107" s="72" t="str">
        <f t="shared" si="45"/>
        <v>Q1/2020</v>
      </c>
      <c r="C107" s="73">
        <f t="shared" si="43"/>
        <v>43831</v>
      </c>
      <c r="D107" s="73">
        <f t="shared" si="44"/>
        <v>43921</v>
      </c>
      <c r="E107" s="72">
        <f t="shared" si="38"/>
        <v>91</v>
      </c>
      <c r="F107" s="74">
        <f>VLOOKUP(D107,'FERC Interest Rate'!$A:$B,2,TRUE)</f>
        <v>4.9599999999999998E-2</v>
      </c>
      <c r="G107" s="75">
        <f t="shared" si="39"/>
        <v>467.88613656011125</v>
      </c>
      <c r="H107" s="75">
        <v>0</v>
      </c>
      <c r="I107" s="99">
        <f t="shared" si="46"/>
        <v>8.0992064207434815</v>
      </c>
      <c r="J107" s="76">
        <f t="shared" si="47"/>
        <v>5.7700843332724538</v>
      </c>
      <c r="K107" s="116">
        <f t="shared" si="40"/>
        <v>13.869290754015935</v>
      </c>
      <c r="L107" s="76">
        <f t="shared" si="48"/>
        <v>85.478020891278817</v>
      </c>
      <c r="M107" s="117">
        <f t="shared" si="41"/>
        <v>99.347311645294752</v>
      </c>
      <c r="N107" s="8">
        <f t="shared" si="42"/>
        <v>473.6562208933837</v>
      </c>
      <c r="O107" s="75">
        <f t="shared" si="37"/>
        <v>374.30890924808898</v>
      </c>
    </row>
    <row r="108" spans="1:15" x14ac:dyDescent="0.25">
      <c r="A108" s="78" t="s">
        <v>68</v>
      </c>
      <c r="B108" s="72" t="str">
        <f t="shared" si="45"/>
        <v>Q2/2020</v>
      </c>
      <c r="C108" s="73">
        <f t="shared" si="43"/>
        <v>43922</v>
      </c>
      <c r="D108" s="73">
        <f t="shared" si="44"/>
        <v>44012</v>
      </c>
      <c r="E108" s="72">
        <f t="shared" si="38"/>
        <v>91</v>
      </c>
      <c r="F108" s="74">
        <f>VLOOKUP(D108,'FERC Interest Rate'!$A:$B,2,TRUE)</f>
        <v>4.7503500000000004E-2</v>
      </c>
      <c r="G108" s="75">
        <f t="shared" si="39"/>
        <v>374.30890924808898</v>
      </c>
      <c r="H108" s="75">
        <v>0</v>
      </c>
      <c r="I108" s="99">
        <f t="shared" si="46"/>
        <v>8.0992064207434815</v>
      </c>
      <c r="J108" s="76">
        <f t="shared" si="47"/>
        <v>4.4209548568646451</v>
      </c>
      <c r="K108" s="116">
        <f t="shared" si="40"/>
        <v>12.520161277608127</v>
      </c>
      <c r="L108" s="76">
        <f t="shared" si="48"/>
        <v>85.478020891278817</v>
      </c>
      <c r="M108" s="117">
        <f t="shared" si="41"/>
        <v>97.998182168886942</v>
      </c>
      <c r="N108" s="8">
        <f t="shared" si="42"/>
        <v>378.72986410495361</v>
      </c>
      <c r="O108" s="75">
        <f t="shared" si="37"/>
        <v>280.73168193606671</v>
      </c>
    </row>
    <row r="109" spans="1:15" x14ac:dyDescent="0.25">
      <c r="A109" s="78" t="s">
        <v>69</v>
      </c>
      <c r="B109" s="72" t="str">
        <f>+IF(MONTH(C109)&lt;4,"Q1",IF(MONTH(C109)&lt;7,"Q2",IF(MONTH(C109)&lt;10,"Q3","Q4")))&amp;"/"&amp;YEAR(C109)</f>
        <v>Q3/2020</v>
      </c>
      <c r="C109" s="73">
        <f t="shared" si="43"/>
        <v>44013</v>
      </c>
      <c r="D109" s="73">
        <f t="shared" si="44"/>
        <v>44104</v>
      </c>
      <c r="E109" s="72">
        <f t="shared" si="38"/>
        <v>92</v>
      </c>
      <c r="F109" s="74">
        <f>VLOOKUP(D109,'FERC Interest Rate'!$A:$B,2,TRUE)</f>
        <v>4.7507929999999997E-2</v>
      </c>
      <c r="G109" s="75">
        <f t="shared" si="39"/>
        <v>280.73168193606671</v>
      </c>
      <c r="H109" s="75">
        <v>0</v>
      </c>
      <c r="I109" s="99">
        <f t="shared" si="46"/>
        <v>8.0992064207434815</v>
      </c>
      <c r="J109" s="76">
        <f t="shared" si="47"/>
        <v>3.3524651930778271</v>
      </c>
      <c r="K109" s="116">
        <f t="shared" si="40"/>
        <v>11.451671613821308</v>
      </c>
      <c r="L109" s="76">
        <f t="shared" si="48"/>
        <v>85.478020891278817</v>
      </c>
      <c r="M109" s="117">
        <f t="shared" si="41"/>
        <v>96.929692505100121</v>
      </c>
      <c r="N109" s="8">
        <f t="shared" si="42"/>
        <v>284.08414712914453</v>
      </c>
      <c r="O109" s="75">
        <f t="shared" si="37"/>
        <v>187.1544546240444</v>
      </c>
    </row>
    <row r="110" spans="1:15" x14ac:dyDescent="0.25">
      <c r="A110" s="78" t="s">
        <v>70</v>
      </c>
      <c r="B110" s="72" t="str">
        <f>+IF(MONTH(C110)&lt;4,"Q1",IF(MONTH(C110)&lt;7,"Q2",IF(MONTH(C110)&lt;10,"Q3","Q4")))&amp;"/"&amp;YEAR(C110)</f>
        <v>Q4/2020</v>
      </c>
      <c r="C110" s="73">
        <f t="shared" si="43"/>
        <v>44105</v>
      </c>
      <c r="D110" s="73">
        <f t="shared" si="44"/>
        <v>44196</v>
      </c>
      <c r="E110" s="72">
        <f t="shared" si="38"/>
        <v>92</v>
      </c>
      <c r="F110" s="74">
        <f>VLOOKUP(D110,'FERC Interest Rate'!$A:$B,2,TRUE)</f>
        <v>4.7922320000000004E-2</v>
      </c>
      <c r="G110" s="75">
        <f t="shared" si="39"/>
        <v>187.1544546240444</v>
      </c>
      <c r="H110" s="75">
        <v>0</v>
      </c>
      <c r="I110" s="99">
        <f t="shared" si="46"/>
        <v>8.0992064207434815</v>
      </c>
      <c r="J110" s="76">
        <f t="shared" si="47"/>
        <v>2.2544714783621371</v>
      </c>
      <c r="K110" s="116">
        <f t="shared" si="40"/>
        <v>10.35367789910562</v>
      </c>
      <c r="L110" s="76">
        <f t="shared" si="48"/>
        <v>85.478020891278817</v>
      </c>
      <c r="M110" s="117">
        <f t="shared" si="41"/>
        <v>95.831698790384436</v>
      </c>
      <c r="N110" s="8">
        <f t="shared" si="42"/>
        <v>189.40892610240655</v>
      </c>
      <c r="O110" s="75">
        <f t="shared" si="37"/>
        <v>93.577227312022103</v>
      </c>
    </row>
    <row r="111" spans="1:15" x14ac:dyDescent="0.25">
      <c r="A111" s="78" t="s">
        <v>71</v>
      </c>
      <c r="B111" s="72" t="str">
        <f>+IF(MONTH(C111)&lt;4,"Q1",IF(MONTH(C111)&lt;7,"Q2",IF(MONTH(C111)&lt;10,"Q3","Q4")))&amp;"/"&amp;YEAR(C111)</f>
        <v>Q1/2021</v>
      </c>
      <c r="C111" s="73">
        <f t="shared" si="43"/>
        <v>44197</v>
      </c>
      <c r="D111" s="73">
        <f t="shared" si="44"/>
        <v>44286</v>
      </c>
      <c r="E111" s="72">
        <f t="shared" si="38"/>
        <v>90</v>
      </c>
      <c r="F111" s="74">
        <f>VLOOKUP(D111,'FERC Interest Rate'!$A:$B,2,TRUE)</f>
        <v>5.0023470000000007E-2</v>
      </c>
      <c r="G111" s="75">
        <f t="shared" si="39"/>
        <v>93.577227312022103</v>
      </c>
      <c r="H111" s="75">
        <v>0</v>
      </c>
      <c r="I111" s="99">
        <f t="shared" si="46"/>
        <v>8.0992064207434815</v>
      </c>
      <c r="J111" s="76">
        <f t="shared" si="47"/>
        <v>1.1542333865242485</v>
      </c>
      <c r="K111" s="116">
        <f t="shared" si="40"/>
        <v>9.2534398072677302</v>
      </c>
      <c r="L111" s="76">
        <f t="shared" si="48"/>
        <v>85.478020891278817</v>
      </c>
      <c r="M111" s="117">
        <f t="shared" si="41"/>
        <v>94.731460698546542</v>
      </c>
      <c r="N111" s="8">
        <f t="shared" si="42"/>
        <v>94.731460698546357</v>
      </c>
      <c r="O111" s="75">
        <f t="shared" si="37"/>
        <v>-1.9539925233402755E-13</v>
      </c>
    </row>
    <row r="112" spans="1:15" x14ac:dyDescent="0.25">
      <c r="A112" s="78"/>
      <c r="B112" s="72"/>
      <c r="C112" s="73"/>
      <c r="D112" s="73"/>
      <c r="E112" s="72"/>
      <c r="F112" s="74"/>
      <c r="G112" s="75"/>
      <c r="H112" s="75"/>
      <c r="I112" s="99"/>
      <c r="J112" s="76"/>
      <c r="K112" s="116"/>
      <c r="L112" s="76"/>
      <c r="M112" s="117"/>
      <c r="N112" s="8"/>
      <c r="O112" s="75"/>
    </row>
    <row r="113" spans="1:15" ht="13.5" thickBot="1" x14ac:dyDescent="0.35">
      <c r="A113" s="142"/>
      <c r="B113" s="143"/>
      <c r="C113" s="144"/>
      <c r="D113" s="144"/>
      <c r="E113" s="145"/>
      <c r="F113" s="143"/>
      <c r="G113" s="124">
        <f>SUM(G85:G112)</f>
        <v>32306.463264810656</v>
      </c>
      <c r="H113" s="124">
        <f>SUM(H85:H112)</f>
        <v>161.98412841486962</v>
      </c>
      <c r="I113" s="125">
        <f t="shared" ref="I113:O113" si="49">SUM(I85:I112)</f>
        <v>161.98412841486967</v>
      </c>
      <c r="J113" s="124">
        <f t="shared" si="49"/>
        <v>161.53696115701024</v>
      </c>
      <c r="K113" s="124">
        <f t="shared" si="49"/>
        <v>323.52108957187983</v>
      </c>
      <c r="L113" s="124">
        <f t="shared" si="49"/>
        <v>1709.5604178255769</v>
      </c>
      <c r="M113" s="126">
        <f t="shared" si="49"/>
        <v>2033.0815073974561</v>
      </c>
      <c r="N113" s="124">
        <f t="shared" si="49"/>
        <v>32629.984354382537</v>
      </c>
      <c r="O113" s="124">
        <f t="shared" si="49"/>
        <v>30596.902846985082</v>
      </c>
    </row>
    <row r="114" spans="1:15" ht="13" thickTop="1" x14ac:dyDescent="0.25">
      <c r="B114" s="103"/>
      <c r="C114" s="103"/>
      <c r="D114" s="103"/>
      <c r="E114" s="103"/>
      <c r="F114" s="103"/>
      <c r="G114" s="103"/>
      <c r="H114" s="103"/>
      <c r="I114" s="102"/>
      <c r="J114" s="103"/>
      <c r="K114" s="103"/>
      <c r="L114" s="103"/>
      <c r="M114" s="118"/>
      <c r="O114" s="103"/>
    </row>
    <row r="115" spans="1:15" ht="39" x14ac:dyDescent="0.3">
      <c r="A115" s="77" t="s">
        <v>51</v>
      </c>
      <c r="B115" s="77" t="s">
        <v>3</v>
      </c>
      <c r="C115" s="77" t="s">
        <v>4</v>
      </c>
      <c r="D115" s="77" t="s">
        <v>5</v>
      </c>
      <c r="E115" s="77" t="s">
        <v>6</v>
      </c>
      <c r="F115" s="77" t="s">
        <v>7</v>
      </c>
      <c r="G115" s="77" t="s">
        <v>92</v>
      </c>
      <c r="H115" s="77" t="s">
        <v>93</v>
      </c>
      <c r="I115" s="94" t="s">
        <v>94</v>
      </c>
      <c r="J115" s="95" t="s">
        <v>95</v>
      </c>
      <c r="K115" s="95" t="s">
        <v>96</v>
      </c>
      <c r="L115" s="95" t="s">
        <v>97</v>
      </c>
      <c r="M115" s="96" t="s">
        <v>98</v>
      </c>
      <c r="N115" s="77" t="s">
        <v>99</v>
      </c>
      <c r="O115" s="77" t="s">
        <v>100</v>
      </c>
    </row>
    <row r="116" spans="1:15" ht="13" x14ac:dyDescent="0.3">
      <c r="A116" s="347" t="s">
        <v>14</v>
      </c>
      <c r="B116" s="347"/>
      <c r="C116" s="300">
        <f>VLOOKUP(B117,A$1:F$25,2,FALSE)</f>
        <v>41873</v>
      </c>
      <c r="D116" s="300">
        <f>DATE(YEAR(C116),IF(MONTH(C116)&lt;=3,3,IF(MONTH(C116)&lt;=6,6,IF(MONTH(C116)&lt;=9,9,12))),IF(OR(MONTH(C116)&lt;=3,MONTH(C116)&gt;=10),31,30))</f>
        <v>41912</v>
      </c>
      <c r="E116" s="301">
        <f>D116-C116+1</f>
        <v>40</v>
      </c>
      <c r="F116" s="302">
        <f>VLOOKUP(D116,'FERC Interest Rate'!$A:$B,2,TRUE)</f>
        <v>3.2500000000000001E-2</v>
      </c>
      <c r="G116" s="167">
        <f>VLOOKUP(B117,$A$1:$F$25,5,FALSE)</f>
        <v>3018.2349959824464</v>
      </c>
      <c r="H116" s="167">
        <f t="shared" ref="H116:H126" si="50">G116*F116*(E116/(DATE(YEAR(D116),12,31)-DATE(YEAR(D116),1,1)+1))</f>
        <v>10.749878067882685</v>
      </c>
      <c r="I116" s="319">
        <v>0</v>
      </c>
      <c r="J116" s="304">
        <v>0</v>
      </c>
      <c r="K116" s="305">
        <f t="shared" ref="K116:K141" si="51">+SUM(I116:J116)</f>
        <v>0</v>
      </c>
      <c r="L116" s="304">
        <v>0</v>
      </c>
      <c r="M116" s="306">
        <f t="shared" ref="M116:M141" si="52">+SUM(K116:L116)</f>
        <v>0</v>
      </c>
      <c r="N116" s="307">
        <f t="shared" ref="N116:N141" si="53">+G116+H116+J116</f>
        <v>3028.9848740503289</v>
      </c>
      <c r="O116" s="167">
        <f t="shared" ref="O116:O141" si="54">G116+H116-L116-I116</f>
        <v>3028.9848740503289</v>
      </c>
    </row>
    <row r="117" spans="1:15" ht="13" x14ac:dyDescent="0.3">
      <c r="A117" s="110" t="s">
        <v>40</v>
      </c>
      <c r="B117" s="141" t="s">
        <v>54</v>
      </c>
      <c r="C117" s="300">
        <f>D116+1</f>
        <v>41913</v>
      </c>
      <c r="D117" s="300">
        <f>EOMONTH(D116,3)</f>
        <v>42004</v>
      </c>
      <c r="E117" s="301">
        <f t="shared" ref="E117:E141" si="55">D117-C117+1</f>
        <v>92</v>
      </c>
      <c r="F117" s="302">
        <f>VLOOKUP(D117,'FERC Interest Rate'!$A:$B,2,TRUE)</f>
        <v>3.2500000000000001E-2</v>
      </c>
      <c r="G117" s="167">
        <f t="shared" ref="G117:G141" si="56">O116</f>
        <v>3028.9848740503289</v>
      </c>
      <c r="H117" s="167">
        <f t="shared" si="50"/>
        <v>24.812780201124614</v>
      </c>
      <c r="I117" s="319">
        <v>0</v>
      </c>
      <c r="J117" s="304">
        <v>0</v>
      </c>
      <c r="K117" s="305">
        <f t="shared" si="51"/>
        <v>0</v>
      </c>
      <c r="L117" s="304">
        <v>0</v>
      </c>
      <c r="M117" s="306">
        <f t="shared" si="52"/>
        <v>0</v>
      </c>
      <c r="N117" s="307">
        <f t="shared" si="53"/>
        <v>3053.7976542514534</v>
      </c>
      <c r="O117" s="167">
        <f t="shared" si="54"/>
        <v>3053.7976542514534</v>
      </c>
    </row>
    <row r="118" spans="1:15" ht="13" x14ac:dyDescent="0.3">
      <c r="B118" s="301"/>
      <c r="C118" s="300">
        <f t="shared" ref="C118:C141" si="57">D117+1</f>
        <v>42005</v>
      </c>
      <c r="D118" s="300">
        <f t="shared" ref="D118:D142" si="58">EOMONTH(D117,3)</f>
        <v>42094</v>
      </c>
      <c r="E118" s="301">
        <f t="shared" si="55"/>
        <v>90</v>
      </c>
      <c r="F118" s="302">
        <f>VLOOKUP(D118,'FERC Interest Rate'!$A:$B,2,TRUE)</f>
        <v>3.2500000000000001E-2</v>
      </c>
      <c r="G118" s="167">
        <f t="shared" si="56"/>
        <v>3053.7976542514534</v>
      </c>
      <c r="H118" s="167">
        <f t="shared" si="50"/>
        <v>24.472214078590415</v>
      </c>
      <c r="I118" s="319">
        <v>0</v>
      </c>
      <c r="J118" s="304">
        <v>0</v>
      </c>
      <c r="K118" s="305">
        <f t="shared" si="51"/>
        <v>0</v>
      </c>
      <c r="L118" s="304">
        <v>0</v>
      </c>
      <c r="M118" s="306">
        <f t="shared" si="52"/>
        <v>0</v>
      </c>
      <c r="N118" s="307">
        <f t="shared" si="53"/>
        <v>3078.2698683300437</v>
      </c>
      <c r="O118" s="167">
        <f t="shared" si="54"/>
        <v>3078.2698683300437</v>
      </c>
    </row>
    <row r="119" spans="1:15" ht="13" x14ac:dyDescent="0.3">
      <c r="B119" s="301"/>
      <c r="C119" s="300">
        <f t="shared" si="57"/>
        <v>42095</v>
      </c>
      <c r="D119" s="300">
        <f t="shared" si="58"/>
        <v>42185</v>
      </c>
      <c r="E119" s="301">
        <f t="shared" si="55"/>
        <v>91</v>
      </c>
      <c r="F119" s="302">
        <f>VLOOKUP(D119,'FERC Interest Rate'!$A:$B,2,TRUE)</f>
        <v>3.2500000000000001E-2</v>
      </c>
      <c r="G119" s="167">
        <f t="shared" si="56"/>
        <v>3078.2698683300437</v>
      </c>
      <c r="H119" s="167">
        <f t="shared" si="50"/>
        <v>24.942419549550973</v>
      </c>
      <c r="I119" s="319">
        <v>0</v>
      </c>
      <c r="J119" s="304">
        <v>0</v>
      </c>
      <c r="K119" s="305">
        <f t="shared" si="51"/>
        <v>0</v>
      </c>
      <c r="L119" s="304">
        <v>0</v>
      </c>
      <c r="M119" s="306">
        <f t="shared" si="52"/>
        <v>0</v>
      </c>
      <c r="N119" s="307">
        <f t="shared" si="53"/>
        <v>3103.2122878795944</v>
      </c>
      <c r="O119" s="167">
        <f t="shared" si="54"/>
        <v>3103.2122878795944</v>
      </c>
    </row>
    <row r="120" spans="1:15" ht="13" x14ac:dyDescent="0.3">
      <c r="B120" s="301"/>
      <c r="C120" s="300">
        <f t="shared" si="57"/>
        <v>42186</v>
      </c>
      <c r="D120" s="300">
        <f t="shared" si="58"/>
        <v>42277</v>
      </c>
      <c r="E120" s="301">
        <f t="shared" si="55"/>
        <v>92</v>
      </c>
      <c r="F120" s="302">
        <f>VLOOKUP(D120,'FERC Interest Rate'!$A:$B,2,TRUE)</f>
        <v>3.2500000000000001E-2</v>
      </c>
      <c r="G120" s="167">
        <f t="shared" si="56"/>
        <v>3103.2122878795944</v>
      </c>
      <c r="H120" s="167">
        <f t="shared" si="50"/>
        <v>25.420834906191747</v>
      </c>
      <c r="I120" s="319">
        <v>0</v>
      </c>
      <c r="J120" s="304">
        <v>0</v>
      </c>
      <c r="K120" s="305">
        <f t="shared" si="51"/>
        <v>0</v>
      </c>
      <c r="L120" s="304">
        <v>0</v>
      </c>
      <c r="M120" s="306">
        <f t="shared" si="52"/>
        <v>0</v>
      </c>
      <c r="N120" s="307">
        <f t="shared" si="53"/>
        <v>3128.6331227857863</v>
      </c>
      <c r="O120" s="167">
        <f t="shared" si="54"/>
        <v>3128.6331227857863</v>
      </c>
    </row>
    <row r="121" spans="1:15" ht="13" x14ac:dyDescent="0.3">
      <c r="B121" s="301"/>
      <c r="C121" s="300">
        <f t="shared" si="57"/>
        <v>42278</v>
      </c>
      <c r="D121" s="300">
        <f t="shared" si="58"/>
        <v>42369</v>
      </c>
      <c r="E121" s="301">
        <f t="shared" si="55"/>
        <v>92</v>
      </c>
      <c r="F121" s="302">
        <f>VLOOKUP(D121,'FERC Interest Rate'!$A:$B,2,TRUE)</f>
        <v>3.2500000000000001E-2</v>
      </c>
      <c r="G121" s="167">
        <f t="shared" si="56"/>
        <v>3128.6331227857863</v>
      </c>
      <c r="H121" s="167">
        <f t="shared" si="50"/>
        <v>25.62907681405343</v>
      </c>
      <c r="I121" s="319">
        <v>0</v>
      </c>
      <c r="J121" s="304">
        <v>0</v>
      </c>
      <c r="K121" s="305">
        <f t="shared" si="51"/>
        <v>0</v>
      </c>
      <c r="L121" s="304">
        <v>0</v>
      </c>
      <c r="M121" s="306">
        <f t="shared" si="52"/>
        <v>0</v>
      </c>
      <c r="N121" s="307">
        <f t="shared" si="53"/>
        <v>3154.2621995998397</v>
      </c>
      <c r="O121" s="167">
        <f t="shared" si="54"/>
        <v>3154.2621995998397</v>
      </c>
    </row>
    <row r="122" spans="1:15" ht="13" x14ac:dyDescent="0.3">
      <c r="B122" s="72"/>
      <c r="C122" s="300">
        <f t="shared" si="57"/>
        <v>42370</v>
      </c>
      <c r="D122" s="300">
        <f t="shared" si="58"/>
        <v>42460</v>
      </c>
      <c r="E122" s="301">
        <f t="shared" si="55"/>
        <v>91</v>
      </c>
      <c r="F122" s="302">
        <f>VLOOKUP(D122,'FERC Interest Rate'!$A:$B,2,TRUE)</f>
        <v>3.2500000000000001E-2</v>
      </c>
      <c r="G122" s="167">
        <f t="shared" si="56"/>
        <v>3154.2621995998397</v>
      </c>
      <c r="H122" s="167">
        <f t="shared" si="50"/>
        <v>25.488334577367556</v>
      </c>
      <c r="I122" s="319">
        <v>0</v>
      </c>
      <c r="J122" s="304">
        <v>0</v>
      </c>
      <c r="K122" s="305">
        <f t="shared" si="51"/>
        <v>0</v>
      </c>
      <c r="L122" s="304">
        <v>0</v>
      </c>
      <c r="M122" s="306">
        <f t="shared" si="52"/>
        <v>0</v>
      </c>
      <c r="N122" s="307">
        <f t="shared" si="53"/>
        <v>3179.7505341772071</v>
      </c>
      <c r="O122" s="167">
        <f t="shared" si="54"/>
        <v>3179.7505341772071</v>
      </c>
    </row>
    <row r="123" spans="1:15" ht="13" x14ac:dyDescent="0.3">
      <c r="A123" s="78"/>
      <c r="B123" s="72"/>
      <c r="C123" s="73">
        <f t="shared" si="57"/>
        <v>42461</v>
      </c>
      <c r="D123" s="73">
        <f t="shared" si="58"/>
        <v>42551</v>
      </c>
      <c r="E123" s="72">
        <f t="shared" si="55"/>
        <v>91</v>
      </c>
      <c r="F123" s="74">
        <f>VLOOKUP(D123,'FERC Interest Rate'!$A:$B,2,TRUE)</f>
        <v>3.4599999999999999E-2</v>
      </c>
      <c r="G123" s="75">
        <f t="shared" si="56"/>
        <v>3179.7505341772071</v>
      </c>
      <c r="H123" s="167">
        <f t="shared" si="50"/>
        <v>27.354542436913537</v>
      </c>
      <c r="I123" s="99">
        <v>0</v>
      </c>
      <c r="J123" s="304">
        <v>0</v>
      </c>
      <c r="K123" s="116">
        <f t="shared" si="51"/>
        <v>0</v>
      </c>
      <c r="L123" s="76">
        <v>0</v>
      </c>
      <c r="M123" s="117">
        <f t="shared" si="52"/>
        <v>0</v>
      </c>
      <c r="N123" s="8">
        <f t="shared" si="53"/>
        <v>3207.1050766141207</v>
      </c>
      <c r="O123" s="75">
        <f t="shared" si="54"/>
        <v>3207.1050766141207</v>
      </c>
    </row>
    <row r="124" spans="1:15" x14ac:dyDescent="0.25">
      <c r="A124" s="78"/>
      <c r="B124" s="72"/>
      <c r="C124" s="73">
        <f t="shared" si="57"/>
        <v>42552</v>
      </c>
      <c r="D124" s="73">
        <f t="shared" si="58"/>
        <v>42643</v>
      </c>
      <c r="E124" s="72">
        <f t="shared" si="55"/>
        <v>92</v>
      </c>
      <c r="F124" s="74">
        <f>VLOOKUP(D124,'FERC Interest Rate'!$A:$B,2,TRUE)</f>
        <v>3.5000000000000003E-2</v>
      </c>
      <c r="G124" s="75">
        <f t="shared" si="56"/>
        <v>3207.1050766141207</v>
      </c>
      <c r="H124" s="75">
        <f t="shared" si="50"/>
        <v>28.215514608463032</v>
      </c>
      <c r="I124" s="99">
        <v>0</v>
      </c>
      <c r="J124" s="76">
        <v>0</v>
      </c>
      <c r="K124" s="116">
        <f t="shared" si="51"/>
        <v>0</v>
      </c>
      <c r="L124" s="76">
        <v>0</v>
      </c>
      <c r="M124" s="117">
        <f t="shared" si="52"/>
        <v>0</v>
      </c>
      <c r="N124" s="8">
        <f t="shared" si="53"/>
        <v>3235.3205912225835</v>
      </c>
      <c r="O124" s="75">
        <f t="shared" si="54"/>
        <v>3235.3205912225835</v>
      </c>
    </row>
    <row r="125" spans="1:15" x14ac:dyDescent="0.25">
      <c r="A125" s="78"/>
      <c r="B125" s="72"/>
      <c r="C125" s="73">
        <f t="shared" si="57"/>
        <v>42644</v>
      </c>
      <c r="D125" s="73">
        <f t="shared" si="58"/>
        <v>42735</v>
      </c>
      <c r="E125" s="72">
        <f t="shared" si="55"/>
        <v>92</v>
      </c>
      <c r="F125" s="74">
        <f>VLOOKUP(D125,'FERC Interest Rate'!$A:$B,2,TRUE)</f>
        <v>3.5000000000000003E-2</v>
      </c>
      <c r="G125" s="75">
        <f t="shared" si="56"/>
        <v>3235.3205912225835</v>
      </c>
      <c r="H125" s="75">
        <f t="shared" si="50"/>
        <v>28.46374946376153</v>
      </c>
      <c r="I125" s="99">
        <v>0</v>
      </c>
      <c r="J125" s="76">
        <v>0</v>
      </c>
      <c r="K125" s="116">
        <f t="shared" si="51"/>
        <v>0</v>
      </c>
      <c r="L125" s="76">
        <v>0</v>
      </c>
      <c r="M125" s="117">
        <f t="shared" si="52"/>
        <v>0</v>
      </c>
      <c r="N125" s="8">
        <f t="shared" si="53"/>
        <v>3263.7843406863449</v>
      </c>
      <c r="O125" s="75">
        <f t="shared" si="54"/>
        <v>3263.7843406863449</v>
      </c>
    </row>
    <row r="126" spans="1:15" x14ac:dyDescent="0.25">
      <c r="A126" s="78" t="s">
        <v>101</v>
      </c>
      <c r="B126" s="72" t="str">
        <f t="shared" ref="B126:B139" si="59">+IF(MONTH(C126)&lt;4,"Q1",IF(MONTH(C126)&lt;7,"Q2",IF(MONTH(C126)&lt;10,"Q3","Q4")))&amp;"/"&amp;YEAR(C126)</f>
        <v>Q1/2017</v>
      </c>
      <c r="C126" s="73">
        <f t="shared" si="57"/>
        <v>42736</v>
      </c>
      <c r="D126" s="73">
        <f t="shared" si="58"/>
        <v>42825</v>
      </c>
      <c r="E126" s="72">
        <f t="shared" si="55"/>
        <v>90</v>
      </c>
      <c r="F126" s="74">
        <f>VLOOKUP(D126,'FERC Interest Rate'!$A:$B,2,TRUE)</f>
        <v>3.5000000000000003E-2</v>
      </c>
      <c r="G126" s="75">
        <f t="shared" si="56"/>
        <v>3263.7843406863449</v>
      </c>
      <c r="H126" s="75">
        <f t="shared" si="50"/>
        <v>28.166905953868458</v>
      </c>
      <c r="I126" s="99">
        <f>SUM($H$116:$H$143)/20*4</f>
        <v>54.743250131553602</v>
      </c>
      <c r="J126" s="76">
        <f t="shared" ref="J126:J142" si="60">G126*F126*(E126/(DATE(YEAR(D126),12,31)-DATE(YEAR(D126),1,1)+1))</f>
        <v>28.166905953868458</v>
      </c>
      <c r="K126" s="116">
        <f t="shared" si="51"/>
        <v>82.910156085422059</v>
      </c>
      <c r="L126" s="76">
        <f>VLOOKUP($B$117,A$1:F$25,5,FALSE)/20*4</f>
        <v>603.64699919648933</v>
      </c>
      <c r="M126" s="117">
        <f t="shared" si="52"/>
        <v>686.55715528191138</v>
      </c>
      <c r="N126" s="8">
        <f t="shared" si="53"/>
        <v>3320.1181525940819</v>
      </c>
      <c r="O126" s="75">
        <f t="shared" si="54"/>
        <v>2633.5609973121709</v>
      </c>
    </row>
    <row r="127" spans="1:15" x14ac:dyDescent="0.25">
      <c r="A127" s="78" t="s">
        <v>56</v>
      </c>
      <c r="B127" s="72" t="str">
        <f t="shared" si="59"/>
        <v>Q2/2017</v>
      </c>
      <c r="C127" s="73">
        <f t="shared" si="57"/>
        <v>42826</v>
      </c>
      <c r="D127" s="73">
        <f t="shared" si="58"/>
        <v>42916</v>
      </c>
      <c r="E127" s="72">
        <f t="shared" si="55"/>
        <v>91</v>
      </c>
      <c r="F127" s="74">
        <f>VLOOKUP(D127,'FERC Interest Rate'!$A:$B,2,TRUE)</f>
        <v>3.7100000000000001E-2</v>
      </c>
      <c r="G127" s="75">
        <f t="shared" si="56"/>
        <v>2633.5609973121709</v>
      </c>
      <c r="H127" s="75">
        <v>0</v>
      </c>
      <c r="I127" s="99">
        <f t="shared" ref="I127:I142" si="61">SUM($H$116:$H$143)/20</f>
        <v>13.6858125328884</v>
      </c>
      <c r="J127" s="76">
        <f t="shared" si="60"/>
        <v>24.359356939796221</v>
      </c>
      <c r="K127" s="116">
        <f t="shared" si="51"/>
        <v>38.04516947268462</v>
      </c>
      <c r="L127" s="76">
        <f t="shared" ref="L127:L142" si="62">VLOOKUP($B$117,A$1:F$25,5,FALSE)/20</f>
        <v>150.91174979912233</v>
      </c>
      <c r="M127" s="117">
        <f t="shared" si="52"/>
        <v>188.95691927180695</v>
      </c>
      <c r="N127" s="8">
        <f t="shared" si="53"/>
        <v>2657.9203542519672</v>
      </c>
      <c r="O127" s="75">
        <f t="shared" si="54"/>
        <v>2468.9634349801599</v>
      </c>
    </row>
    <row r="128" spans="1:15" x14ac:dyDescent="0.25">
      <c r="A128" s="78" t="s">
        <v>57</v>
      </c>
      <c r="B128" s="72" t="str">
        <f t="shared" si="59"/>
        <v>Q3/2017</v>
      </c>
      <c r="C128" s="73">
        <f t="shared" si="57"/>
        <v>42917</v>
      </c>
      <c r="D128" s="73">
        <f t="shared" si="58"/>
        <v>43008</v>
      </c>
      <c r="E128" s="72">
        <f t="shared" si="55"/>
        <v>92</v>
      </c>
      <c r="F128" s="74">
        <f>VLOOKUP(D128,'FERC Interest Rate'!$A:$B,2,TRUE)</f>
        <v>3.9600000000000003E-2</v>
      </c>
      <c r="G128" s="75">
        <f t="shared" si="56"/>
        <v>2468.9634349801599</v>
      </c>
      <c r="H128" s="75">
        <v>0</v>
      </c>
      <c r="I128" s="99">
        <f t="shared" si="61"/>
        <v>13.6858125328884</v>
      </c>
      <c r="J128" s="76">
        <f t="shared" si="60"/>
        <v>24.643637222793753</v>
      </c>
      <c r="K128" s="116">
        <f t="shared" si="51"/>
        <v>38.329449755682155</v>
      </c>
      <c r="L128" s="76">
        <f t="shared" si="62"/>
        <v>150.91174979912233</v>
      </c>
      <c r="M128" s="117">
        <f t="shared" si="52"/>
        <v>189.2411995548045</v>
      </c>
      <c r="N128" s="8">
        <f t="shared" si="53"/>
        <v>2493.6070722029535</v>
      </c>
      <c r="O128" s="75">
        <f t="shared" si="54"/>
        <v>2304.365872648149</v>
      </c>
    </row>
    <row r="129" spans="1:15" x14ac:dyDescent="0.25">
      <c r="A129" s="78" t="s">
        <v>58</v>
      </c>
      <c r="B129" s="72" t="str">
        <f t="shared" si="59"/>
        <v>Q4/2017</v>
      </c>
      <c r="C129" s="73">
        <f t="shared" si="57"/>
        <v>43009</v>
      </c>
      <c r="D129" s="73">
        <f t="shared" si="58"/>
        <v>43100</v>
      </c>
      <c r="E129" s="72">
        <f t="shared" si="55"/>
        <v>92</v>
      </c>
      <c r="F129" s="74">
        <f>VLOOKUP(D129,'FERC Interest Rate'!$A:$B,2,TRUE)</f>
        <v>4.2099999999999999E-2</v>
      </c>
      <c r="G129" s="75">
        <f t="shared" si="56"/>
        <v>2304.365872648149</v>
      </c>
      <c r="H129" s="75">
        <v>0</v>
      </c>
      <c r="I129" s="99">
        <f t="shared" si="61"/>
        <v>13.6858125328884</v>
      </c>
      <c r="J129" s="76">
        <f t="shared" si="60"/>
        <v>24.452794240933731</v>
      </c>
      <c r="K129" s="116">
        <f t="shared" si="51"/>
        <v>38.138606773822133</v>
      </c>
      <c r="L129" s="76">
        <f t="shared" si="62"/>
        <v>150.91174979912233</v>
      </c>
      <c r="M129" s="117">
        <f t="shared" si="52"/>
        <v>189.05035657294445</v>
      </c>
      <c r="N129" s="8">
        <f t="shared" si="53"/>
        <v>2328.8186668890826</v>
      </c>
      <c r="O129" s="75">
        <f t="shared" si="54"/>
        <v>2139.768310316138</v>
      </c>
    </row>
    <row r="130" spans="1:15" x14ac:dyDescent="0.25">
      <c r="A130" s="78" t="s">
        <v>59</v>
      </c>
      <c r="B130" s="72" t="str">
        <f t="shared" si="59"/>
        <v>Q1/2018</v>
      </c>
      <c r="C130" s="73">
        <f t="shared" si="57"/>
        <v>43101</v>
      </c>
      <c r="D130" s="73">
        <f t="shared" si="58"/>
        <v>43190</v>
      </c>
      <c r="E130" s="72">
        <f t="shared" si="55"/>
        <v>90</v>
      </c>
      <c r="F130" s="74">
        <f>VLOOKUP(D130,'FERC Interest Rate'!$A:$B,2,TRUE)</f>
        <v>4.2500000000000003E-2</v>
      </c>
      <c r="G130" s="75">
        <f t="shared" si="56"/>
        <v>2139.768310316138</v>
      </c>
      <c r="H130" s="75">
        <v>0</v>
      </c>
      <c r="I130" s="99">
        <f t="shared" si="61"/>
        <v>13.6858125328884</v>
      </c>
      <c r="J130" s="76">
        <f t="shared" si="60"/>
        <v>22.423599416326653</v>
      </c>
      <c r="K130" s="116">
        <f t="shared" si="51"/>
        <v>36.109411949215051</v>
      </c>
      <c r="L130" s="76">
        <f t="shared" si="62"/>
        <v>150.91174979912233</v>
      </c>
      <c r="M130" s="117">
        <f t="shared" si="52"/>
        <v>187.02116174833739</v>
      </c>
      <c r="N130" s="8">
        <f t="shared" si="53"/>
        <v>2162.1919097324649</v>
      </c>
      <c r="O130" s="75">
        <f t="shared" si="54"/>
        <v>1975.1707479841273</v>
      </c>
    </row>
    <row r="131" spans="1:15" x14ac:dyDescent="0.25">
      <c r="A131" s="78" t="s">
        <v>60</v>
      </c>
      <c r="B131" s="72" t="str">
        <f t="shared" si="59"/>
        <v>Q2/2018</v>
      </c>
      <c r="C131" s="73">
        <f t="shared" si="57"/>
        <v>43191</v>
      </c>
      <c r="D131" s="73">
        <f t="shared" si="58"/>
        <v>43281</v>
      </c>
      <c r="E131" s="72">
        <f t="shared" si="55"/>
        <v>91</v>
      </c>
      <c r="F131" s="74">
        <f>VLOOKUP(D131,'FERC Interest Rate'!$A:$B,2,TRUE)</f>
        <v>4.4699999999999997E-2</v>
      </c>
      <c r="G131" s="75">
        <f t="shared" si="56"/>
        <v>1975.1707479841273</v>
      </c>
      <c r="H131" s="75">
        <v>0</v>
      </c>
      <c r="I131" s="99">
        <f t="shared" si="61"/>
        <v>13.6858125328884</v>
      </c>
      <c r="J131" s="76">
        <f t="shared" si="60"/>
        <v>22.012060415274064</v>
      </c>
      <c r="K131" s="116">
        <f t="shared" si="51"/>
        <v>35.697872948162463</v>
      </c>
      <c r="L131" s="76">
        <f t="shared" si="62"/>
        <v>150.91174979912233</v>
      </c>
      <c r="M131" s="117">
        <f t="shared" si="52"/>
        <v>186.60962274728479</v>
      </c>
      <c r="N131" s="8">
        <f t="shared" si="53"/>
        <v>1997.1828083994014</v>
      </c>
      <c r="O131" s="75">
        <f t="shared" si="54"/>
        <v>1810.5731856521165</v>
      </c>
    </row>
    <row r="132" spans="1:15" x14ac:dyDescent="0.25">
      <c r="A132" s="78" t="s">
        <v>61</v>
      </c>
      <c r="B132" s="72" t="str">
        <f t="shared" si="59"/>
        <v>Q3/2018</v>
      </c>
      <c r="C132" s="73">
        <f t="shared" si="57"/>
        <v>43282</v>
      </c>
      <c r="D132" s="73">
        <f t="shared" si="58"/>
        <v>43373</v>
      </c>
      <c r="E132" s="72">
        <f t="shared" si="55"/>
        <v>92</v>
      </c>
      <c r="F132" s="74">
        <f>VLOOKUP(D132,'FERC Interest Rate'!$A:$B,2,TRUE)</f>
        <v>4.6899999999999997E-2</v>
      </c>
      <c r="G132" s="75">
        <f t="shared" si="56"/>
        <v>1810.5731856521165</v>
      </c>
      <c r="H132" s="75">
        <v>0</v>
      </c>
      <c r="I132" s="99">
        <f t="shared" si="61"/>
        <v>13.6858125328884</v>
      </c>
      <c r="J132" s="76">
        <f t="shared" si="60"/>
        <v>21.403455291648637</v>
      </c>
      <c r="K132" s="116">
        <f t="shared" si="51"/>
        <v>35.089267824537039</v>
      </c>
      <c r="L132" s="76">
        <f t="shared" si="62"/>
        <v>150.91174979912233</v>
      </c>
      <c r="M132" s="117">
        <f t="shared" si="52"/>
        <v>186.00101762365938</v>
      </c>
      <c r="N132" s="8">
        <f t="shared" si="53"/>
        <v>1831.9766409437652</v>
      </c>
      <c r="O132" s="75">
        <f t="shared" si="54"/>
        <v>1645.9756233201058</v>
      </c>
    </row>
    <row r="133" spans="1:15" x14ac:dyDescent="0.25">
      <c r="A133" s="78" t="s">
        <v>62</v>
      </c>
      <c r="B133" s="72" t="str">
        <f t="shared" si="59"/>
        <v>Q4/2018</v>
      </c>
      <c r="C133" s="73">
        <f t="shared" si="57"/>
        <v>43374</v>
      </c>
      <c r="D133" s="73">
        <f t="shared" si="58"/>
        <v>43465</v>
      </c>
      <c r="E133" s="72">
        <f t="shared" si="55"/>
        <v>92</v>
      </c>
      <c r="F133" s="74">
        <f>VLOOKUP(D133,'FERC Interest Rate'!$A:$B,2,TRUE)</f>
        <v>4.9599999999999998E-2</v>
      </c>
      <c r="G133" s="75">
        <f t="shared" si="56"/>
        <v>1645.9756233201058</v>
      </c>
      <c r="H133" s="75">
        <v>0</v>
      </c>
      <c r="I133" s="99">
        <f t="shared" si="61"/>
        <v>13.6858125328884</v>
      </c>
      <c r="J133" s="76">
        <f t="shared" si="60"/>
        <v>20.577851957080295</v>
      </c>
      <c r="K133" s="116">
        <f t="shared" si="51"/>
        <v>34.263664489968697</v>
      </c>
      <c r="L133" s="76">
        <f t="shared" si="62"/>
        <v>150.91174979912233</v>
      </c>
      <c r="M133" s="117">
        <f t="shared" si="52"/>
        <v>185.17541428909104</v>
      </c>
      <c r="N133" s="8">
        <f t="shared" si="53"/>
        <v>1666.5534752771862</v>
      </c>
      <c r="O133" s="75">
        <f t="shared" si="54"/>
        <v>1481.3780609880951</v>
      </c>
    </row>
    <row r="134" spans="1:15" x14ac:dyDescent="0.25">
      <c r="A134" s="78" t="s">
        <v>63</v>
      </c>
      <c r="B134" s="72" t="str">
        <f t="shared" si="59"/>
        <v>Q1/2019</v>
      </c>
      <c r="C134" s="73">
        <f t="shared" si="57"/>
        <v>43466</v>
      </c>
      <c r="D134" s="73">
        <f t="shared" si="58"/>
        <v>43555</v>
      </c>
      <c r="E134" s="72">
        <f t="shared" si="55"/>
        <v>90</v>
      </c>
      <c r="F134" s="74">
        <f>VLOOKUP(D134,'FERC Interest Rate'!$A:$B,2,TRUE)</f>
        <v>5.1799999999999999E-2</v>
      </c>
      <c r="G134" s="75">
        <f t="shared" si="56"/>
        <v>1481.3780609880951</v>
      </c>
      <c r="H134" s="75">
        <v>0</v>
      </c>
      <c r="I134" s="99">
        <f t="shared" si="61"/>
        <v>13.6858125328884</v>
      </c>
      <c r="J134" s="76">
        <f t="shared" si="60"/>
        <v>18.921053480346572</v>
      </c>
      <c r="K134" s="116">
        <f t="shared" si="51"/>
        <v>32.606866013234971</v>
      </c>
      <c r="L134" s="76">
        <f t="shared" si="62"/>
        <v>150.91174979912233</v>
      </c>
      <c r="M134" s="117">
        <f t="shared" si="52"/>
        <v>183.5186158123573</v>
      </c>
      <c r="N134" s="8">
        <f t="shared" si="53"/>
        <v>1500.2991144684415</v>
      </c>
      <c r="O134" s="75">
        <f t="shared" si="54"/>
        <v>1316.7804986560843</v>
      </c>
    </row>
    <row r="135" spans="1:15" x14ac:dyDescent="0.25">
      <c r="A135" s="78" t="s">
        <v>64</v>
      </c>
      <c r="B135" s="72" t="str">
        <f t="shared" si="59"/>
        <v>Q2/2019</v>
      </c>
      <c r="C135" s="73">
        <f t="shared" si="57"/>
        <v>43556</v>
      </c>
      <c r="D135" s="73">
        <f t="shared" si="58"/>
        <v>43646</v>
      </c>
      <c r="E135" s="72">
        <f t="shared" si="55"/>
        <v>91</v>
      </c>
      <c r="F135" s="74">
        <f>VLOOKUP(D135,'FERC Interest Rate'!$A:$B,2,TRUE)</f>
        <v>5.45E-2</v>
      </c>
      <c r="G135" s="75">
        <f t="shared" si="56"/>
        <v>1316.7804986560843</v>
      </c>
      <c r="H135" s="75">
        <v>0</v>
      </c>
      <c r="I135" s="99">
        <f t="shared" si="61"/>
        <v>13.6858125328884</v>
      </c>
      <c r="J135" s="76">
        <f t="shared" si="60"/>
        <v>17.89198050160233</v>
      </c>
      <c r="K135" s="116">
        <f t="shared" si="51"/>
        <v>31.577793034490732</v>
      </c>
      <c r="L135" s="76">
        <f t="shared" si="62"/>
        <v>150.91174979912233</v>
      </c>
      <c r="M135" s="117">
        <f t="shared" si="52"/>
        <v>182.48954283361306</v>
      </c>
      <c r="N135" s="8">
        <f t="shared" si="53"/>
        <v>1334.6724791576867</v>
      </c>
      <c r="O135" s="75">
        <f t="shared" si="54"/>
        <v>1152.1829363240736</v>
      </c>
    </row>
    <row r="136" spans="1:15" x14ac:dyDescent="0.25">
      <c r="A136" s="78" t="s">
        <v>65</v>
      </c>
      <c r="B136" s="72" t="str">
        <f t="shared" si="59"/>
        <v>Q3/2019</v>
      </c>
      <c r="C136" s="73">
        <f t="shared" si="57"/>
        <v>43647</v>
      </c>
      <c r="D136" s="73">
        <f t="shared" si="58"/>
        <v>43738</v>
      </c>
      <c r="E136" s="72">
        <f t="shared" si="55"/>
        <v>92</v>
      </c>
      <c r="F136" s="74">
        <f>VLOOKUP(D136,'FERC Interest Rate'!$A:$B,2,TRUE)</f>
        <v>5.5E-2</v>
      </c>
      <c r="G136" s="75">
        <f t="shared" si="56"/>
        <v>1152.1829363240736</v>
      </c>
      <c r="H136" s="75">
        <v>0</v>
      </c>
      <c r="I136" s="99">
        <f t="shared" si="61"/>
        <v>13.6858125328884</v>
      </c>
      <c r="J136" s="76">
        <f t="shared" si="60"/>
        <v>15.972727829588528</v>
      </c>
      <c r="K136" s="116">
        <f t="shared" si="51"/>
        <v>29.658540362476927</v>
      </c>
      <c r="L136" s="76">
        <f t="shared" si="62"/>
        <v>150.91174979912233</v>
      </c>
      <c r="M136" s="117">
        <f t="shared" si="52"/>
        <v>180.57029016159925</v>
      </c>
      <c r="N136" s="8">
        <f t="shared" si="53"/>
        <v>1168.1556641536622</v>
      </c>
      <c r="O136" s="75">
        <f t="shared" si="54"/>
        <v>987.58537399206284</v>
      </c>
    </row>
    <row r="137" spans="1:15" x14ac:dyDescent="0.25">
      <c r="A137" s="78" t="s">
        <v>66</v>
      </c>
      <c r="B137" s="72" t="str">
        <f t="shared" si="59"/>
        <v>Q4/2019</v>
      </c>
      <c r="C137" s="73">
        <f t="shared" si="57"/>
        <v>43739</v>
      </c>
      <c r="D137" s="73">
        <f t="shared" si="58"/>
        <v>43830</v>
      </c>
      <c r="E137" s="72">
        <f t="shared" si="55"/>
        <v>92</v>
      </c>
      <c r="F137" s="74">
        <f>VLOOKUP(D137,'FERC Interest Rate'!$A:$B,2,TRUE)</f>
        <v>5.4199999999999998E-2</v>
      </c>
      <c r="G137" s="75">
        <f t="shared" si="56"/>
        <v>987.58537399206284</v>
      </c>
      <c r="H137" s="75">
        <v>0</v>
      </c>
      <c r="I137" s="99">
        <f t="shared" si="61"/>
        <v>13.6858125328884</v>
      </c>
      <c r="J137" s="76">
        <f t="shared" si="60"/>
        <v>13.491769065408279</v>
      </c>
      <c r="K137" s="116">
        <f t="shared" si="51"/>
        <v>27.17758159829668</v>
      </c>
      <c r="L137" s="76">
        <f t="shared" si="62"/>
        <v>150.91174979912233</v>
      </c>
      <c r="M137" s="117">
        <f t="shared" si="52"/>
        <v>178.08933139741902</v>
      </c>
      <c r="N137" s="8">
        <f t="shared" si="53"/>
        <v>1001.0771430574712</v>
      </c>
      <c r="O137" s="75">
        <f t="shared" si="54"/>
        <v>822.9878116600521</v>
      </c>
    </row>
    <row r="138" spans="1:15" x14ac:dyDescent="0.25">
      <c r="A138" s="78" t="s">
        <v>67</v>
      </c>
      <c r="B138" s="72" t="str">
        <f t="shared" si="59"/>
        <v>Q1/2020</v>
      </c>
      <c r="C138" s="73">
        <f t="shared" si="57"/>
        <v>43831</v>
      </c>
      <c r="D138" s="73">
        <f t="shared" si="58"/>
        <v>43921</v>
      </c>
      <c r="E138" s="72">
        <f t="shared" si="55"/>
        <v>91</v>
      </c>
      <c r="F138" s="74">
        <f>VLOOKUP(D138,'FERC Interest Rate'!$A:$B,2,TRUE)</f>
        <v>4.9599999999999998E-2</v>
      </c>
      <c r="G138" s="75">
        <f t="shared" si="56"/>
        <v>822.9878116600521</v>
      </c>
      <c r="H138" s="75">
        <v>0</v>
      </c>
      <c r="I138" s="99">
        <f t="shared" si="61"/>
        <v>13.6858125328884</v>
      </c>
      <c r="J138" s="76">
        <f t="shared" si="60"/>
        <v>10.149283570242652</v>
      </c>
      <c r="K138" s="116">
        <f t="shared" si="51"/>
        <v>23.83509610313105</v>
      </c>
      <c r="L138" s="76">
        <f t="shared" si="62"/>
        <v>150.91174979912233</v>
      </c>
      <c r="M138" s="117">
        <f t="shared" si="52"/>
        <v>174.74684590225337</v>
      </c>
      <c r="N138" s="8">
        <f t="shared" si="53"/>
        <v>833.13709523029479</v>
      </c>
      <c r="O138" s="75">
        <f t="shared" si="54"/>
        <v>658.39024932804136</v>
      </c>
    </row>
    <row r="139" spans="1:15" x14ac:dyDescent="0.25">
      <c r="A139" s="78" t="s">
        <v>68</v>
      </c>
      <c r="B139" s="72" t="str">
        <f t="shared" si="59"/>
        <v>Q2/2020</v>
      </c>
      <c r="C139" s="73">
        <f t="shared" si="57"/>
        <v>43922</v>
      </c>
      <c r="D139" s="73">
        <f t="shared" si="58"/>
        <v>44012</v>
      </c>
      <c r="E139" s="72">
        <f t="shared" si="55"/>
        <v>91</v>
      </c>
      <c r="F139" s="74">
        <f>VLOOKUP(D139,'FERC Interest Rate'!$A:$B,2,TRUE)</f>
        <v>4.7503500000000004E-2</v>
      </c>
      <c r="G139" s="75">
        <f t="shared" si="56"/>
        <v>658.39024932804136</v>
      </c>
      <c r="H139" s="75">
        <v>0</v>
      </c>
      <c r="I139" s="99">
        <f t="shared" si="61"/>
        <v>13.6858125328884</v>
      </c>
      <c r="J139" s="76">
        <f t="shared" si="60"/>
        <v>7.7762337432100272</v>
      </c>
      <c r="K139" s="116">
        <f t="shared" si="51"/>
        <v>21.462046276098427</v>
      </c>
      <c r="L139" s="76">
        <f t="shared" si="62"/>
        <v>150.91174979912233</v>
      </c>
      <c r="M139" s="117">
        <f t="shared" si="52"/>
        <v>172.37379607522075</v>
      </c>
      <c r="N139" s="8">
        <f t="shared" si="53"/>
        <v>666.16648307125138</v>
      </c>
      <c r="O139" s="75">
        <f t="shared" si="54"/>
        <v>493.79268699603062</v>
      </c>
    </row>
    <row r="140" spans="1:15" x14ac:dyDescent="0.25">
      <c r="A140" s="78" t="s">
        <v>69</v>
      </c>
      <c r="B140" s="72" t="str">
        <f>+IF(MONTH(C140)&lt;4,"Q1",IF(MONTH(C140)&lt;7,"Q2",IF(MONTH(C140)&lt;10,"Q3","Q4")))&amp;"/"&amp;YEAR(C140)</f>
        <v>Q3/2020</v>
      </c>
      <c r="C140" s="73">
        <f t="shared" si="57"/>
        <v>44013</v>
      </c>
      <c r="D140" s="73">
        <f t="shared" si="58"/>
        <v>44104</v>
      </c>
      <c r="E140" s="72">
        <f t="shared" si="55"/>
        <v>92</v>
      </c>
      <c r="F140" s="74">
        <f>VLOOKUP(D140,'FERC Interest Rate'!$A:$B,2,TRUE)</f>
        <v>4.7507929999999997E-2</v>
      </c>
      <c r="G140" s="75">
        <f t="shared" si="56"/>
        <v>493.79268699603062</v>
      </c>
      <c r="H140" s="75">
        <v>0</v>
      </c>
      <c r="I140" s="99">
        <f t="shared" si="61"/>
        <v>13.6858125328884</v>
      </c>
      <c r="J140" s="76">
        <f t="shared" si="60"/>
        <v>5.8968150097414718</v>
      </c>
      <c r="K140" s="116">
        <f t="shared" si="51"/>
        <v>19.582627542629872</v>
      </c>
      <c r="L140" s="76">
        <f t="shared" si="62"/>
        <v>150.91174979912233</v>
      </c>
      <c r="M140" s="117">
        <f t="shared" si="52"/>
        <v>170.4943773417522</v>
      </c>
      <c r="N140" s="8">
        <f t="shared" si="53"/>
        <v>499.68950200577211</v>
      </c>
      <c r="O140" s="75">
        <f t="shared" si="54"/>
        <v>329.19512466401989</v>
      </c>
    </row>
    <row r="141" spans="1:15" x14ac:dyDescent="0.25">
      <c r="A141" s="78" t="s">
        <v>70</v>
      </c>
      <c r="B141" s="72" t="str">
        <f>+IF(MONTH(C141)&lt;4,"Q1",IF(MONTH(C141)&lt;7,"Q2",IF(MONTH(C141)&lt;10,"Q3","Q4")))&amp;"/"&amp;YEAR(C141)</f>
        <v>Q4/2020</v>
      </c>
      <c r="C141" s="73">
        <f t="shared" si="57"/>
        <v>44105</v>
      </c>
      <c r="D141" s="73">
        <f t="shared" si="58"/>
        <v>44196</v>
      </c>
      <c r="E141" s="72">
        <f t="shared" si="55"/>
        <v>92</v>
      </c>
      <c r="F141" s="74">
        <f>VLOOKUP(D141,'FERC Interest Rate'!$A:$B,2,TRUE)</f>
        <v>4.7922320000000004E-2</v>
      </c>
      <c r="G141" s="75">
        <f t="shared" si="56"/>
        <v>329.19512466401989</v>
      </c>
      <c r="H141" s="75">
        <v>0</v>
      </c>
      <c r="I141" s="99">
        <f t="shared" si="61"/>
        <v>13.6858125328884</v>
      </c>
      <c r="J141" s="76">
        <f t="shared" si="60"/>
        <v>3.9655001579404181</v>
      </c>
      <c r="K141" s="116">
        <f t="shared" si="51"/>
        <v>17.651312690828817</v>
      </c>
      <c r="L141" s="76">
        <f t="shared" si="62"/>
        <v>150.91174979912233</v>
      </c>
      <c r="M141" s="117">
        <f t="shared" si="52"/>
        <v>168.56306248995116</v>
      </c>
      <c r="N141" s="8">
        <f t="shared" si="53"/>
        <v>333.16062482196031</v>
      </c>
      <c r="O141" s="75">
        <f t="shared" si="54"/>
        <v>164.59756233200915</v>
      </c>
    </row>
    <row r="142" spans="1:15" x14ac:dyDescent="0.25">
      <c r="A142" s="78" t="s">
        <v>71</v>
      </c>
      <c r="B142" s="72" t="str">
        <f>+IF(MONTH(C142)&lt;4,"Q1",IF(MONTH(C142)&lt;7,"Q2",IF(MONTH(C142)&lt;10,"Q3","Q4")))&amp;"/"&amp;YEAR(C142)</f>
        <v>Q1/2021</v>
      </c>
      <c r="C142" s="73">
        <f>D141+1</f>
        <v>44197</v>
      </c>
      <c r="D142" s="73">
        <f t="shared" si="58"/>
        <v>44286</v>
      </c>
      <c r="E142" s="72">
        <f>D142-C142+1</f>
        <v>90</v>
      </c>
      <c r="F142" s="74">
        <f>VLOOKUP(D142,'FERC Interest Rate'!$A:$B,2,TRUE)</f>
        <v>5.0023470000000007E-2</v>
      </c>
      <c r="G142" s="75">
        <f>O141</f>
        <v>164.59756233200915</v>
      </c>
      <c r="H142" s="75">
        <v>0</v>
      </c>
      <c r="I142" s="99">
        <f t="shared" si="61"/>
        <v>13.6858125328884</v>
      </c>
      <c r="J142" s="76">
        <f t="shared" si="60"/>
        <v>2.0302375614382333</v>
      </c>
      <c r="K142" s="116">
        <f>+SUM(I142:J142)</f>
        <v>15.716050094326633</v>
      </c>
      <c r="L142" s="76">
        <f t="shared" si="62"/>
        <v>150.91174979912233</v>
      </c>
      <c r="M142" s="117">
        <f>+SUM(K142:L142)</f>
        <v>166.62779989344898</v>
      </c>
      <c r="N142" s="8">
        <f>+G142+H142+J142</f>
        <v>166.62779989344739</v>
      </c>
      <c r="O142" s="75">
        <f>G142+H142-L142-I142</f>
        <v>-1.5862866575844237E-12</v>
      </c>
    </row>
    <row r="143" spans="1:15" x14ac:dyDescent="0.25">
      <c r="A143" s="78"/>
      <c r="B143" s="72"/>
      <c r="C143" s="73"/>
      <c r="D143" s="73"/>
      <c r="E143" s="72"/>
      <c r="F143" s="74"/>
      <c r="G143" s="75"/>
      <c r="H143" s="75"/>
      <c r="I143" s="99"/>
      <c r="J143" s="76"/>
      <c r="K143" s="116"/>
      <c r="L143" s="76"/>
      <c r="M143" s="117"/>
      <c r="N143" s="8"/>
      <c r="O143" s="75"/>
    </row>
    <row r="144" spans="1:15" ht="13.5" thickBot="1" x14ac:dyDescent="0.35">
      <c r="A144" s="142"/>
      <c r="B144" s="143"/>
      <c r="C144" s="144"/>
      <c r="D144" s="144"/>
      <c r="E144" s="145"/>
      <c r="F144" s="143"/>
      <c r="G144" s="124">
        <f>SUM(G116:G143)</f>
        <v>56836.62402273318</v>
      </c>
      <c r="H144" s="124">
        <f>SUM(H116:H143)</f>
        <v>273.716250657768</v>
      </c>
      <c r="I144" s="125">
        <f t="shared" ref="I144:O144" si="63">SUM(I116:I143)</f>
        <v>273.71625065776806</v>
      </c>
      <c r="J144" s="124">
        <f t="shared" si="63"/>
        <v>284.13526235724032</v>
      </c>
      <c r="K144" s="124">
        <f t="shared" si="63"/>
        <v>557.85151301500832</v>
      </c>
      <c r="L144" s="124">
        <f t="shared" si="63"/>
        <v>3018.2349959824473</v>
      </c>
      <c r="M144" s="126">
        <f t="shared" si="63"/>
        <v>3576.086508997455</v>
      </c>
      <c r="N144" s="124">
        <f t="shared" si="63"/>
        <v>57394.475535748199</v>
      </c>
      <c r="O144" s="124">
        <f t="shared" si="63"/>
        <v>53818.389026750745</v>
      </c>
    </row>
    <row r="145" spans="1:15" ht="13" thickTop="1" x14ac:dyDescent="0.25">
      <c r="B145" s="103"/>
      <c r="C145" s="103"/>
      <c r="D145" s="103"/>
      <c r="E145" s="103"/>
      <c r="F145" s="103"/>
      <c r="G145" s="103"/>
      <c r="H145" s="103"/>
      <c r="I145" s="102"/>
      <c r="J145" s="103"/>
      <c r="K145" s="103"/>
      <c r="L145" s="103"/>
      <c r="M145" s="118"/>
      <c r="O145" s="103"/>
    </row>
    <row r="146" spans="1:15" ht="39" x14ac:dyDescent="0.3">
      <c r="A146" s="77" t="s">
        <v>51</v>
      </c>
      <c r="B146" s="77" t="s">
        <v>3</v>
      </c>
      <c r="C146" s="77" t="s">
        <v>4</v>
      </c>
      <c r="D146" s="77" t="s">
        <v>5</v>
      </c>
      <c r="E146" s="77" t="s">
        <v>6</v>
      </c>
      <c r="F146" s="77" t="s">
        <v>7</v>
      </c>
      <c r="G146" s="77" t="s">
        <v>92</v>
      </c>
      <c r="H146" s="77" t="s">
        <v>93</v>
      </c>
      <c r="I146" s="94" t="s">
        <v>94</v>
      </c>
      <c r="J146" s="95" t="s">
        <v>95</v>
      </c>
      <c r="K146" s="95" t="s">
        <v>96</v>
      </c>
      <c r="L146" s="95" t="s">
        <v>97</v>
      </c>
      <c r="M146" s="96" t="s">
        <v>98</v>
      </c>
      <c r="N146" s="77" t="s">
        <v>99</v>
      </c>
      <c r="O146" s="77" t="s">
        <v>100</v>
      </c>
    </row>
    <row r="147" spans="1:15" ht="13" x14ac:dyDescent="0.3">
      <c r="A147" s="347" t="s">
        <v>14</v>
      </c>
      <c r="B147" s="347"/>
      <c r="C147" s="73">
        <f>VLOOKUP(B148,A$1:F$25,2,FALSE)</f>
        <v>41978</v>
      </c>
      <c r="D147" s="73">
        <f>DATE(YEAR(C147),IF(MONTH(C147)&lt;=3,3,IF(MONTH(C147)&lt;=6,6,IF(MONTH(C147)&lt;=9,9,12))),IF(OR(MONTH(C147)&lt;=3,MONTH(C147)&gt;=10),31,30))</f>
        <v>42004</v>
      </c>
      <c r="E147" s="72">
        <f>D147-C147+1</f>
        <v>27</v>
      </c>
      <c r="F147" s="74">
        <f>VLOOKUP(D147,'FERC Interest Rate'!$A:$B,2,TRUE)</f>
        <v>3.2500000000000001E-2</v>
      </c>
      <c r="G147" s="75">
        <f>VLOOKUP(B148,$A$1:$F$29,5,FALSE)</f>
        <v>4130.7073366709928</v>
      </c>
      <c r="H147" s="75">
        <f t="shared" ref="H147:H156" si="64">G147*F147*(E147/(DATE(YEAR(D147),12,31)-DATE(YEAR(D147),1,1)+1))</f>
        <v>9.9306731176131411</v>
      </c>
      <c r="I147" s="180">
        <v>0</v>
      </c>
      <c r="J147" s="76">
        <v>0</v>
      </c>
      <c r="K147" s="116">
        <f t="shared" ref="K147:K172" si="65">+SUM(I147:J147)</f>
        <v>0</v>
      </c>
      <c r="L147" s="76">
        <v>0</v>
      </c>
      <c r="M147" s="117">
        <f t="shared" ref="M147:M172" si="66">+SUM(K147:L147)</f>
        <v>0</v>
      </c>
      <c r="N147" s="8">
        <f t="shared" ref="N147:N172" si="67">+G147+H147+J147</f>
        <v>4140.6380097886058</v>
      </c>
      <c r="O147" s="75">
        <f t="shared" ref="O147:O172" si="68">G147+H147-L147-I147</f>
        <v>4140.6380097886058</v>
      </c>
    </row>
    <row r="148" spans="1:15" ht="13" x14ac:dyDescent="0.3">
      <c r="A148" s="110" t="s">
        <v>40</v>
      </c>
      <c r="B148" s="141" t="s">
        <v>55</v>
      </c>
      <c r="C148" s="73">
        <f>D147+1</f>
        <v>42005</v>
      </c>
      <c r="D148" s="73">
        <f>EOMONTH(D147,3)</f>
        <v>42094</v>
      </c>
      <c r="E148" s="72">
        <f t="shared" ref="E148:E172" si="69">D148-C148+1</f>
        <v>90</v>
      </c>
      <c r="F148" s="74">
        <f>VLOOKUP(D148,'FERC Interest Rate'!$A:$B,2,TRUE)</f>
        <v>3.2500000000000001E-2</v>
      </c>
      <c r="G148" s="75">
        <f t="shared" ref="G148:G172" si="70">O147</f>
        <v>4140.6380097886058</v>
      </c>
      <c r="H148" s="75">
        <f t="shared" si="64"/>
        <v>33.181825146936085</v>
      </c>
      <c r="I148" s="180">
        <v>0</v>
      </c>
      <c r="J148" s="76">
        <v>0</v>
      </c>
      <c r="K148" s="116">
        <f t="shared" si="65"/>
        <v>0</v>
      </c>
      <c r="L148" s="76">
        <v>0</v>
      </c>
      <c r="M148" s="117">
        <f t="shared" si="66"/>
        <v>0</v>
      </c>
      <c r="N148" s="8">
        <f t="shared" si="67"/>
        <v>4173.8198349355416</v>
      </c>
      <c r="O148" s="75">
        <f t="shared" si="68"/>
        <v>4173.8198349355416</v>
      </c>
    </row>
    <row r="149" spans="1:15" ht="13" x14ac:dyDescent="0.3">
      <c r="B149" s="301"/>
      <c r="C149" s="73">
        <f t="shared" ref="C149:C172" si="71">D148+1</f>
        <v>42095</v>
      </c>
      <c r="D149" s="73">
        <f t="shared" ref="D149:D172" si="72">EOMONTH(D148,3)</f>
        <v>42185</v>
      </c>
      <c r="E149" s="72">
        <f t="shared" si="69"/>
        <v>91</v>
      </c>
      <c r="F149" s="74">
        <f>VLOOKUP(D149,'FERC Interest Rate'!$A:$B,2,TRUE)</f>
        <v>3.2500000000000001E-2</v>
      </c>
      <c r="G149" s="75">
        <f t="shared" si="70"/>
        <v>4173.8198349355416</v>
      </c>
      <c r="H149" s="75">
        <f t="shared" si="64"/>
        <v>33.819375785813328</v>
      </c>
      <c r="I149" s="180">
        <v>0</v>
      </c>
      <c r="J149" s="76">
        <v>0</v>
      </c>
      <c r="K149" s="116">
        <f t="shared" si="65"/>
        <v>0</v>
      </c>
      <c r="L149" s="76">
        <v>0</v>
      </c>
      <c r="M149" s="117">
        <f t="shared" si="66"/>
        <v>0</v>
      </c>
      <c r="N149" s="8">
        <f t="shared" si="67"/>
        <v>4207.6392107213551</v>
      </c>
      <c r="O149" s="75">
        <f t="shared" si="68"/>
        <v>4207.6392107213551</v>
      </c>
    </row>
    <row r="150" spans="1:15" ht="13" x14ac:dyDescent="0.3">
      <c r="B150" s="301"/>
      <c r="C150" s="73">
        <f t="shared" si="71"/>
        <v>42186</v>
      </c>
      <c r="D150" s="73">
        <f t="shared" si="72"/>
        <v>42277</v>
      </c>
      <c r="E150" s="72">
        <f t="shared" si="69"/>
        <v>92</v>
      </c>
      <c r="F150" s="74">
        <f>VLOOKUP(D150,'FERC Interest Rate'!$A:$B,2,TRUE)</f>
        <v>3.2500000000000001E-2</v>
      </c>
      <c r="G150" s="75">
        <f t="shared" si="70"/>
        <v>4207.6392107213551</v>
      </c>
      <c r="H150" s="75">
        <f t="shared" si="64"/>
        <v>34.468058191936585</v>
      </c>
      <c r="I150" s="180">
        <v>0</v>
      </c>
      <c r="J150" s="76">
        <v>0</v>
      </c>
      <c r="K150" s="116">
        <f t="shared" si="65"/>
        <v>0</v>
      </c>
      <c r="L150" s="76">
        <v>0</v>
      </c>
      <c r="M150" s="117">
        <f t="shared" si="66"/>
        <v>0</v>
      </c>
      <c r="N150" s="8">
        <f t="shared" si="67"/>
        <v>4242.1072689132916</v>
      </c>
      <c r="O150" s="75">
        <f t="shared" si="68"/>
        <v>4242.1072689132916</v>
      </c>
    </row>
    <row r="151" spans="1:15" ht="13" x14ac:dyDescent="0.3">
      <c r="B151" s="301"/>
      <c r="C151" s="73">
        <f t="shared" si="71"/>
        <v>42278</v>
      </c>
      <c r="D151" s="73">
        <f t="shared" si="72"/>
        <v>42369</v>
      </c>
      <c r="E151" s="72">
        <f t="shared" si="69"/>
        <v>92</v>
      </c>
      <c r="F151" s="74">
        <f>VLOOKUP(D151,'FERC Interest Rate'!$A:$B,2,TRUE)</f>
        <v>3.2500000000000001E-2</v>
      </c>
      <c r="G151" s="75">
        <f t="shared" si="70"/>
        <v>4242.1072689132916</v>
      </c>
      <c r="H151" s="75">
        <f t="shared" si="64"/>
        <v>34.750412970002031</v>
      </c>
      <c r="I151" s="180">
        <v>0</v>
      </c>
      <c r="J151" s="76">
        <v>0</v>
      </c>
      <c r="K151" s="116">
        <f t="shared" si="65"/>
        <v>0</v>
      </c>
      <c r="L151" s="76">
        <v>0</v>
      </c>
      <c r="M151" s="117">
        <f t="shared" si="66"/>
        <v>0</v>
      </c>
      <c r="N151" s="8">
        <f t="shared" si="67"/>
        <v>4276.8576818832935</v>
      </c>
      <c r="O151" s="75">
        <f t="shared" si="68"/>
        <v>4276.8576818832935</v>
      </c>
    </row>
    <row r="152" spans="1:15" ht="13" x14ac:dyDescent="0.3">
      <c r="B152" s="301"/>
      <c r="C152" s="73">
        <f t="shared" si="71"/>
        <v>42370</v>
      </c>
      <c r="D152" s="73">
        <f t="shared" si="72"/>
        <v>42460</v>
      </c>
      <c r="E152" s="72">
        <f t="shared" si="69"/>
        <v>91</v>
      </c>
      <c r="F152" s="74">
        <f>VLOOKUP(D152,'FERC Interest Rate'!$A:$B,2,TRUE)</f>
        <v>3.2500000000000001E-2</v>
      </c>
      <c r="G152" s="75">
        <f t="shared" si="70"/>
        <v>4276.8576818832935</v>
      </c>
      <c r="H152" s="75">
        <f t="shared" si="64"/>
        <v>34.559580858387548</v>
      </c>
      <c r="I152" s="180">
        <v>0</v>
      </c>
      <c r="J152" s="76">
        <v>0</v>
      </c>
      <c r="K152" s="116">
        <f t="shared" si="65"/>
        <v>0</v>
      </c>
      <c r="L152" s="76">
        <v>0</v>
      </c>
      <c r="M152" s="117">
        <f t="shared" si="66"/>
        <v>0</v>
      </c>
      <c r="N152" s="8">
        <f t="shared" si="67"/>
        <v>4311.417262741681</v>
      </c>
      <c r="O152" s="75">
        <f t="shared" si="68"/>
        <v>4311.417262741681</v>
      </c>
    </row>
    <row r="153" spans="1:15" x14ac:dyDescent="0.25">
      <c r="A153" s="78"/>
      <c r="B153" s="72"/>
      <c r="C153" s="73">
        <f t="shared" si="71"/>
        <v>42461</v>
      </c>
      <c r="D153" s="73">
        <f t="shared" si="72"/>
        <v>42551</v>
      </c>
      <c r="E153" s="72">
        <f t="shared" si="69"/>
        <v>91</v>
      </c>
      <c r="F153" s="74">
        <f>VLOOKUP(D153,'FERC Interest Rate'!$A:$B,2,TRUE)</f>
        <v>3.4599999999999999E-2</v>
      </c>
      <c r="G153" s="75">
        <f t="shared" si="70"/>
        <v>4311.417262741681</v>
      </c>
      <c r="H153" s="75">
        <f t="shared" si="64"/>
        <v>37.089968288165181</v>
      </c>
      <c r="I153" s="180">
        <v>0</v>
      </c>
      <c r="J153" s="76">
        <v>0</v>
      </c>
      <c r="K153" s="116">
        <f t="shared" si="65"/>
        <v>0</v>
      </c>
      <c r="L153" s="76">
        <v>0</v>
      </c>
      <c r="M153" s="117">
        <f t="shared" si="66"/>
        <v>0</v>
      </c>
      <c r="N153" s="8">
        <f t="shared" si="67"/>
        <v>4348.5072310298465</v>
      </c>
      <c r="O153" s="75">
        <f t="shared" si="68"/>
        <v>4348.5072310298465</v>
      </c>
    </row>
    <row r="154" spans="1:15" x14ac:dyDescent="0.25">
      <c r="A154" s="78"/>
      <c r="B154" s="72"/>
      <c r="C154" s="73">
        <f t="shared" si="71"/>
        <v>42552</v>
      </c>
      <c r="D154" s="73">
        <f t="shared" si="72"/>
        <v>42643</v>
      </c>
      <c r="E154" s="72">
        <f t="shared" si="69"/>
        <v>92</v>
      </c>
      <c r="F154" s="74">
        <f>VLOOKUP(D154,'FERC Interest Rate'!$A:$B,2,TRUE)</f>
        <v>3.5000000000000003E-2</v>
      </c>
      <c r="G154" s="75">
        <f t="shared" si="70"/>
        <v>4348.5072310298465</v>
      </c>
      <c r="H154" s="75">
        <f t="shared" si="64"/>
        <v>38.257358699224334</v>
      </c>
      <c r="I154" s="180">
        <v>0</v>
      </c>
      <c r="J154" s="76">
        <v>0</v>
      </c>
      <c r="K154" s="116">
        <f t="shared" si="65"/>
        <v>0</v>
      </c>
      <c r="L154" s="76">
        <v>0</v>
      </c>
      <c r="M154" s="117">
        <f t="shared" si="66"/>
        <v>0</v>
      </c>
      <c r="N154" s="8">
        <f t="shared" si="67"/>
        <v>4386.7645897290704</v>
      </c>
      <c r="O154" s="75">
        <f t="shared" si="68"/>
        <v>4386.7645897290704</v>
      </c>
    </row>
    <row r="155" spans="1:15" x14ac:dyDescent="0.25">
      <c r="A155" s="78"/>
      <c r="B155" s="72"/>
      <c r="C155" s="73">
        <f t="shared" si="71"/>
        <v>42644</v>
      </c>
      <c r="D155" s="73">
        <f t="shared" si="72"/>
        <v>42735</v>
      </c>
      <c r="E155" s="72">
        <f t="shared" si="69"/>
        <v>92</v>
      </c>
      <c r="F155" s="74">
        <f>VLOOKUP(D155,'FERC Interest Rate'!$A:$B,2,TRUE)</f>
        <v>3.5000000000000003E-2</v>
      </c>
      <c r="G155" s="75">
        <f t="shared" si="70"/>
        <v>4386.7645897290704</v>
      </c>
      <c r="H155" s="75">
        <f t="shared" si="64"/>
        <v>38.593939833135543</v>
      </c>
      <c r="I155" s="180">
        <v>0</v>
      </c>
      <c r="J155" s="76">
        <v>0</v>
      </c>
      <c r="K155" s="116">
        <f t="shared" si="65"/>
        <v>0</v>
      </c>
      <c r="L155" s="76">
        <v>0</v>
      </c>
      <c r="M155" s="117">
        <f t="shared" si="66"/>
        <v>0</v>
      </c>
      <c r="N155" s="8">
        <f t="shared" si="67"/>
        <v>4425.3585295622061</v>
      </c>
      <c r="O155" s="75">
        <f t="shared" si="68"/>
        <v>4425.3585295622061</v>
      </c>
    </row>
    <row r="156" spans="1:15" x14ac:dyDescent="0.25">
      <c r="A156" s="78" t="s">
        <v>101</v>
      </c>
      <c r="B156" s="72" t="str">
        <f t="shared" ref="B156:B169" si="73">+IF(MONTH(C156)&lt;4,"Q1",IF(MONTH(C156)&lt;7,"Q2",IF(MONTH(C156)&lt;10,"Q3","Q4")))&amp;"/"&amp;YEAR(C156)</f>
        <v>Q1/2017</v>
      </c>
      <c r="C156" s="73">
        <f t="shared" si="71"/>
        <v>42736</v>
      </c>
      <c r="D156" s="73">
        <f t="shared" si="72"/>
        <v>42825</v>
      </c>
      <c r="E156" s="72">
        <f t="shared" si="69"/>
        <v>90</v>
      </c>
      <c r="F156" s="74">
        <f>VLOOKUP(D156,'FERC Interest Rate'!$A:$B,2,TRUE)</f>
        <v>3.5000000000000003E-2</v>
      </c>
      <c r="G156" s="75">
        <f t="shared" si="70"/>
        <v>4425.3585295622061</v>
      </c>
      <c r="H156" s="75">
        <f t="shared" si="64"/>
        <v>38.191450323619037</v>
      </c>
      <c r="I156" s="99">
        <f>(SUM($H$147:$H$173)/20)*4</f>
        <v>66.568528642966569</v>
      </c>
      <c r="J156" s="76">
        <f>G156*F156*(E156/(DATE(YEAR(D156),12,31)-DATE(YEAR(D156),1,1)+1))</f>
        <v>38.191450323619037</v>
      </c>
      <c r="K156" s="116">
        <f t="shared" si="65"/>
        <v>104.75997896658561</v>
      </c>
      <c r="L156" s="76">
        <f>VLOOKUP($B$148,A$1:F$25,5,FALSE)/20*4</f>
        <v>826.14146733419852</v>
      </c>
      <c r="M156" s="117">
        <f t="shared" si="66"/>
        <v>930.90144630078407</v>
      </c>
      <c r="N156" s="8">
        <f t="shared" si="67"/>
        <v>4501.7414302094448</v>
      </c>
      <c r="O156" s="75">
        <f t="shared" si="68"/>
        <v>3570.8399839086601</v>
      </c>
    </row>
    <row r="157" spans="1:15" x14ac:dyDescent="0.25">
      <c r="A157" s="78" t="s">
        <v>56</v>
      </c>
      <c r="B157" s="72" t="str">
        <f t="shared" si="73"/>
        <v>Q2/2017</v>
      </c>
      <c r="C157" s="73">
        <f t="shared" si="71"/>
        <v>42826</v>
      </c>
      <c r="D157" s="73">
        <f t="shared" si="72"/>
        <v>42916</v>
      </c>
      <c r="E157" s="72">
        <f t="shared" si="69"/>
        <v>91</v>
      </c>
      <c r="F157" s="74">
        <f>VLOOKUP(D157,'FERC Interest Rate'!$A:$B,2,TRUE)</f>
        <v>3.7100000000000001E-2</v>
      </c>
      <c r="G157" s="75">
        <f t="shared" si="70"/>
        <v>3570.8399839086601</v>
      </c>
      <c r="H157" s="75">
        <v>0</v>
      </c>
      <c r="I157" s="99">
        <f t="shared" ref="I157:I172" si="74">(SUM($H$147:$H$173)/20)</f>
        <v>16.642132160741642</v>
      </c>
      <c r="J157" s="76">
        <f>G157*F157*(E157/(DATE(YEAR(D157),12,31)-DATE(YEAR(D157),1,1)+1))</f>
        <v>33.028802382668566</v>
      </c>
      <c r="K157" s="116">
        <f t="shared" si="65"/>
        <v>49.670934543410212</v>
      </c>
      <c r="L157" s="76">
        <f t="shared" ref="L157:L172" si="75">VLOOKUP($B$148,A$1:F$25,5,FALSE)/20</f>
        <v>206.53536683354963</v>
      </c>
      <c r="M157" s="117">
        <f t="shared" si="66"/>
        <v>256.20630137695986</v>
      </c>
      <c r="N157" s="8">
        <f t="shared" si="67"/>
        <v>3603.8687862913284</v>
      </c>
      <c r="O157" s="75">
        <f t="shared" si="68"/>
        <v>3347.6624849143686</v>
      </c>
    </row>
    <row r="158" spans="1:15" x14ac:dyDescent="0.25">
      <c r="A158" s="78" t="s">
        <v>57</v>
      </c>
      <c r="B158" s="72" t="str">
        <f t="shared" si="73"/>
        <v>Q3/2017</v>
      </c>
      <c r="C158" s="73">
        <f t="shared" si="71"/>
        <v>42917</v>
      </c>
      <c r="D158" s="73">
        <f t="shared" si="72"/>
        <v>43008</v>
      </c>
      <c r="E158" s="72">
        <f t="shared" si="69"/>
        <v>92</v>
      </c>
      <c r="F158" s="74">
        <f>VLOOKUP(D158,'FERC Interest Rate'!$A:$B,2,TRUE)</f>
        <v>3.9600000000000003E-2</v>
      </c>
      <c r="G158" s="75">
        <f t="shared" si="70"/>
        <v>3347.6624849143686</v>
      </c>
      <c r="H158" s="75">
        <v>0</v>
      </c>
      <c r="I158" s="99">
        <f t="shared" si="74"/>
        <v>16.642132160741642</v>
      </c>
      <c r="J158" s="76">
        <f>G158*F158*(E158/(DATE(YEAR(D158),12,31)-DATE(YEAR(D158),1,1)+1))</f>
        <v>33.414257438465832</v>
      </c>
      <c r="K158" s="116">
        <f t="shared" si="65"/>
        <v>50.056389599207478</v>
      </c>
      <c r="L158" s="76">
        <f t="shared" si="75"/>
        <v>206.53536683354963</v>
      </c>
      <c r="M158" s="117">
        <f t="shared" si="66"/>
        <v>256.59175643275711</v>
      </c>
      <c r="N158" s="8">
        <f t="shared" si="67"/>
        <v>3381.0767423528346</v>
      </c>
      <c r="O158" s="75">
        <f t="shared" si="68"/>
        <v>3124.4849859200772</v>
      </c>
    </row>
    <row r="159" spans="1:15" x14ac:dyDescent="0.25">
      <c r="A159" s="78" t="s">
        <v>58</v>
      </c>
      <c r="B159" s="72" t="str">
        <f t="shared" si="73"/>
        <v>Q4/2017</v>
      </c>
      <c r="C159" s="73">
        <f t="shared" si="71"/>
        <v>43009</v>
      </c>
      <c r="D159" s="73">
        <f t="shared" si="72"/>
        <v>43100</v>
      </c>
      <c r="E159" s="72">
        <f t="shared" si="69"/>
        <v>92</v>
      </c>
      <c r="F159" s="74">
        <f>VLOOKUP(D159,'FERC Interest Rate'!$A:$B,2,TRUE)</f>
        <v>4.2099999999999999E-2</v>
      </c>
      <c r="G159" s="75">
        <f t="shared" si="70"/>
        <v>3124.4849859200772</v>
      </c>
      <c r="H159" s="75">
        <v>0</v>
      </c>
      <c r="I159" s="99">
        <f t="shared" si="74"/>
        <v>16.642132160741642</v>
      </c>
      <c r="J159" s="76">
        <f t="shared" ref="J159:J172" si="76">G159*F159*(E159/(DATE(YEAR(D159),12,31)-DATE(YEAR(D159),1,1)+1))</f>
        <v>33.155493828672995</v>
      </c>
      <c r="K159" s="116">
        <f t="shared" si="65"/>
        <v>49.797625989414641</v>
      </c>
      <c r="L159" s="76">
        <f t="shared" si="75"/>
        <v>206.53536683354963</v>
      </c>
      <c r="M159" s="117">
        <f t="shared" si="66"/>
        <v>256.33299282296429</v>
      </c>
      <c r="N159" s="8">
        <f t="shared" si="67"/>
        <v>3157.6404797487503</v>
      </c>
      <c r="O159" s="75">
        <f t="shared" si="68"/>
        <v>2901.3074869257857</v>
      </c>
    </row>
    <row r="160" spans="1:15" x14ac:dyDescent="0.25">
      <c r="A160" s="78" t="s">
        <v>59</v>
      </c>
      <c r="B160" s="72" t="str">
        <f t="shared" si="73"/>
        <v>Q1/2018</v>
      </c>
      <c r="C160" s="73">
        <f t="shared" si="71"/>
        <v>43101</v>
      </c>
      <c r="D160" s="73">
        <f t="shared" si="72"/>
        <v>43190</v>
      </c>
      <c r="E160" s="72">
        <f t="shared" si="69"/>
        <v>90</v>
      </c>
      <c r="F160" s="74">
        <f>VLOOKUP(D160,'FERC Interest Rate'!$A:$B,2,TRUE)</f>
        <v>4.2500000000000003E-2</v>
      </c>
      <c r="G160" s="75">
        <f t="shared" si="70"/>
        <v>2901.3074869257857</v>
      </c>
      <c r="H160" s="75">
        <v>0</v>
      </c>
      <c r="I160" s="99">
        <f t="shared" si="74"/>
        <v>16.642132160741642</v>
      </c>
      <c r="J160" s="76">
        <f t="shared" si="76"/>
        <v>30.404112705455155</v>
      </c>
      <c r="K160" s="116">
        <f t="shared" si="65"/>
        <v>47.046244866196801</v>
      </c>
      <c r="L160" s="76">
        <f t="shared" si="75"/>
        <v>206.53536683354963</v>
      </c>
      <c r="M160" s="117">
        <f t="shared" si="66"/>
        <v>253.58161169974642</v>
      </c>
      <c r="N160" s="8">
        <f t="shared" si="67"/>
        <v>2931.7115996312409</v>
      </c>
      <c r="O160" s="75">
        <f t="shared" si="68"/>
        <v>2678.1299879314943</v>
      </c>
    </row>
    <row r="161" spans="1:15" x14ac:dyDescent="0.25">
      <c r="A161" s="78" t="s">
        <v>60</v>
      </c>
      <c r="B161" s="72" t="str">
        <f t="shared" si="73"/>
        <v>Q2/2018</v>
      </c>
      <c r="C161" s="73">
        <f t="shared" si="71"/>
        <v>43191</v>
      </c>
      <c r="D161" s="73">
        <f t="shared" si="72"/>
        <v>43281</v>
      </c>
      <c r="E161" s="72">
        <f t="shared" si="69"/>
        <v>91</v>
      </c>
      <c r="F161" s="74">
        <f>VLOOKUP(D161,'FERC Interest Rate'!$A:$B,2,TRUE)</f>
        <v>4.4699999999999997E-2</v>
      </c>
      <c r="G161" s="75">
        <f t="shared" si="70"/>
        <v>2678.1299879314943</v>
      </c>
      <c r="H161" s="75">
        <v>0</v>
      </c>
      <c r="I161" s="99">
        <f t="shared" si="74"/>
        <v>16.642132160741642</v>
      </c>
      <c r="J161" s="76">
        <f t="shared" si="76"/>
        <v>29.846107813449144</v>
      </c>
      <c r="K161" s="116">
        <f t="shared" si="65"/>
        <v>46.48823997419079</v>
      </c>
      <c r="L161" s="76">
        <f t="shared" si="75"/>
        <v>206.53536683354963</v>
      </c>
      <c r="M161" s="117">
        <f t="shared" si="66"/>
        <v>253.02360680774041</v>
      </c>
      <c r="N161" s="8">
        <f t="shared" si="67"/>
        <v>2707.9760957449434</v>
      </c>
      <c r="O161" s="75">
        <f t="shared" si="68"/>
        <v>2454.9524889372028</v>
      </c>
    </row>
    <row r="162" spans="1:15" x14ac:dyDescent="0.25">
      <c r="A162" s="78" t="s">
        <v>61</v>
      </c>
      <c r="B162" s="72" t="str">
        <f t="shared" si="73"/>
        <v>Q3/2018</v>
      </c>
      <c r="C162" s="73">
        <f t="shared" si="71"/>
        <v>43282</v>
      </c>
      <c r="D162" s="73">
        <f t="shared" si="72"/>
        <v>43373</v>
      </c>
      <c r="E162" s="72">
        <f t="shared" si="69"/>
        <v>92</v>
      </c>
      <c r="F162" s="74">
        <f>VLOOKUP(D162,'FERC Interest Rate'!$A:$B,2,TRUE)</f>
        <v>4.6899999999999997E-2</v>
      </c>
      <c r="G162" s="75">
        <f t="shared" si="70"/>
        <v>2454.9524889372028</v>
      </c>
      <c r="H162" s="75">
        <v>0</v>
      </c>
      <c r="I162" s="99">
        <f t="shared" si="74"/>
        <v>16.642132160741642</v>
      </c>
      <c r="J162" s="76">
        <f t="shared" si="76"/>
        <v>29.020901367852723</v>
      </c>
      <c r="K162" s="116">
        <f t="shared" si="65"/>
        <v>45.663033528594369</v>
      </c>
      <c r="L162" s="76">
        <f t="shared" si="75"/>
        <v>206.53536683354963</v>
      </c>
      <c r="M162" s="117">
        <f t="shared" si="66"/>
        <v>252.19840036214401</v>
      </c>
      <c r="N162" s="8">
        <f t="shared" si="67"/>
        <v>2483.9733903050555</v>
      </c>
      <c r="O162" s="75">
        <f t="shared" si="68"/>
        <v>2231.7749899429114</v>
      </c>
    </row>
    <row r="163" spans="1:15" x14ac:dyDescent="0.25">
      <c r="A163" s="78" t="s">
        <v>62</v>
      </c>
      <c r="B163" s="72" t="str">
        <f t="shared" si="73"/>
        <v>Q4/2018</v>
      </c>
      <c r="C163" s="73">
        <f t="shared" si="71"/>
        <v>43374</v>
      </c>
      <c r="D163" s="73">
        <f t="shared" si="72"/>
        <v>43465</v>
      </c>
      <c r="E163" s="72">
        <f t="shared" si="69"/>
        <v>92</v>
      </c>
      <c r="F163" s="74">
        <f>VLOOKUP(D163,'FERC Interest Rate'!$A:$B,2,TRUE)</f>
        <v>4.9599999999999998E-2</v>
      </c>
      <c r="G163" s="75">
        <f t="shared" si="70"/>
        <v>2231.7749899429114</v>
      </c>
      <c r="H163" s="75">
        <v>0</v>
      </c>
      <c r="I163" s="99">
        <f t="shared" si="74"/>
        <v>16.642132160741642</v>
      </c>
      <c r="J163" s="76">
        <f t="shared" si="76"/>
        <v>27.901467490705461</v>
      </c>
      <c r="K163" s="116">
        <f t="shared" si="65"/>
        <v>44.543599651447103</v>
      </c>
      <c r="L163" s="76">
        <f t="shared" si="75"/>
        <v>206.53536683354963</v>
      </c>
      <c r="M163" s="117">
        <f t="shared" si="66"/>
        <v>251.07896648499673</v>
      </c>
      <c r="N163" s="8">
        <f t="shared" si="67"/>
        <v>2259.6764574336166</v>
      </c>
      <c r="O163" s="75">
        <f t="shared" si="68"/>
        <v>2008.5974909486201</v>
      </c>
    </row>
    <row r="164" spans="1:15" x14ac:dyDescent="0.25">
      <c r="A164" s="78" t="s">
        <v>63</v>
      </c>
      <c r="B164" s="72" t="str">
        <f t="shared" si="73"/>
        <v>Q1/2019</v>
      </c>
      <c r="C164" s="73">
        <f t="shared" si="71"/>
        <v>43466</v>
      </c>
      <c r="D164" s="73">
        <f t="shared" si="72"/>
        <v>43555</v>
      </c>
      <c r="E164" s="72">
        <f t="shared" si="69"/>
        <v>90</v>
      </c>
      <c r="F164" s="74">
        <f>VLOOKUP(D164,'FERC Interest Rate'!$A:$B,2,TRUE)</f>
        <v>5.1799999999999999E-2</v>
      </c>
      <c r="G164" s="75">
        <f t="shared" si="70"/>
        <v>2008.5974909486201</v>
      </c>
      <c r="H164" s="75">
        <v>0</v>
      </c>
      <c r="I164" s="99">
        <f t="shared" si="74"/>
        <v>16.642132160741642</v>
      </c>
      <c r="J164" s="76">
        <f t="shared" si="76"/>
        <v>25.655017815897168</v>
      </c>
      <c r="K164" s="116">
        <f t="shared" si="65"/>
        <v>42.297149976638806</v>
      </c>
      <c r="L164" s="76">
        <f t="shared" si="75"/>
        <v>206.53536683354963</v>
      </c>
      <c r="M164" s="117">
        <f t="shared" si="66"/>
        <v>248.83251681018845</v>
      </c>
      <c r="N164" s="8">
        <f t="shared" si="67"/>
        <v>2034.2525087645172</v>
      </c>
      <c r="O164" s="75">
        <f t="shared" si="68"/>
        <v>1785.4199919543289</v>
      </c>
    </row>
    <row r="165" spans="1:15" x14ac:dyDescent="0.25">
      <c r="A165" s="78" t="s">
        <v>64</v>
      </c>
      <c r="B165" s="72" t="str">
        <f t="shared" si="73"/>
        <v>Q2/2019</v>
      </c>
      <c r="C165" s="73">
        <f t="shared" si="71"/>
        <v>43556</v>
      </c>
      <c r="D165" s="73">
        <f t="shared" si="72"/>
        <v>43646</v>
      </c>
      <c r="E165" s="72">
        <f t="shared" si="69"/>
        <v>91</v>
      </c>
      <c r="F165" s="74">
        <f>VLOOKUP(D165,'FERC Interest Rate'!$A:$B,2,TRUE)</f>
        <v>5.45E-2</v>
      </c>
      <c r="G165" s="75">
        <f t="shared" si="70"/>
        <v>1785.4199919543289</v>
      </c>
      <c r="H165" s="75">
        <v>0</v>
      </c>
      <c r="I165" s="99">
        <f t="shared" si="74"/>
        <v>16.642132160741642</v>
      </c>
      <c r="J165" s="76">
        <f t="shared" si="76"/>
        <v>24.259699863280805</v>
      </c>
      <c r="K165" s="116">
        <f t="shared" si="65"/>
        <v>40.901832024022447</v>
      </c>
      <c r="L165" s="76">
        <f t="shared" si="75"/>
        <v>206.53536683354963</v>
      </c>
      <c r="M165" s="117">
        <f t="shared" si="66"/>
        <v>247.43719885757207</v>
      </c>
      <c r="N165" s="8">
        <f t="shared" si="67"/>
        <v>1809.6796918176096</v>
      </c>
      <c r="O165" s="75">
        <f t="shared" si="68"/>
        <v>1562.2424929600377</v>
      </c>
    </row>
    <row r="166" spans="1:15" x14ac:dyDescent="0.25">
      <c r="A166" s="78" t="s">
        <v>65</v>
      </c>
      <c r="B166" s="72" t="str">
        <f t="shared" si="73"/>
        <v>Q3/2019</v>
      </c>
      <c r="C166" s="73">
        <f t="shared" si="71"/>
        <v>43647</v>
      </c>
      <c r="D166" s="73">
        <f t="shared" si="72"/>
        <v>43738</v>
      </c>
      <c r="E166" s="72">
        <f t="shared" si="69"/>
        <v>92</v>
      </c>
      <c r="F166" s="74">
        <f>VLOOKUP(D166,'FERC Interest Rate'!$A:$B,2,TRUE)</f>
        <v>5.5E-2</v>
      </c>
      <c r="G166" s="75">
        <f t="shared" si="70"/>
        <v>1562.2424929600377</v>
      </c>
      <c r="H166" s="75">
        <v>0</v>
      </c>
      <c r="I166" s="99">
        <f t="shared" si="74"/>
        <v>16.642132160741642</v>
      </c>
      <c r="J166" s="76">
        <f t="shared" si="76"/>
        <v>21.6573890804871</v>
      </c>
      <c r="K166" s="116">
        <f t="shared" si="65"/>
        <v>38.299521241228746</v>
      </c>
      <c r="L166" s="76">
        <f t="shared" si="75"/>
        <v>206.53536683354963</v>
      </c>
      <c r="M166" s="117">
        <f t="shared" si="66"/>
        <v>244.83488807477838</v>
      </c>
      <c r="N166" s="8">
        <f t="shared" si="67"/>
        <v>1583.8998820405247</v>
      </c>
      <c r="O166" s="75">
        <f t="shared" si="68"/>
        <v>1339.0649939657465</v>
      </c>
    </row>
    <row r="167" spans="1:15" x14ac:dyDescent="0.25">
      <c r="A167" s="78" t="s">
        <v>66</v>
      </c>
      <c r="B167" s="72" t="str">
        <f t="shared" si="73"/>
        <v>Q4/2019</v>
      </c>
      <c r="C167" s="73">
        <f t="shared" si="71"/>
        <v>43739</v>
      </c>
      <c r="D167" s="73">
        <f t="shared" si="72"/>
        <v>43830</v>
      </c>
      <c r="E167" s="72">
        <f t="shared" si="69"/>
        <v>92</v>
      </c>
      <c r="F167" s="74">
        <f>VLOOKUP(D167,'FERC Interest Rate'!$A:$B,2,TRUE)</f>
        <v>5.4199999999999998E-2</v>
      </c>
      <c r="G167" s="75">
        <f t="shared" si="70"/>
        <v>1339.0649939657465</v>
      </c>
      <c r="H167" s="75">
        <v>0</v>
      </c>
      <c r="I167" s="99">
        <f t="shared" si="74"/>
        <v>16.642132160741642</v>
      </c>
      <c r="J167" s="76">
        <f t="shared" si="76"/>
        <v>18.293462153180268</v>
      </c>
      <c r="K167" s="116">
        <f t="shared" si="65"/>
        <v>34.935594313921911</v>
      </c>
      <c r="L167" s="76">
        <f t="shared" si="75"/>
        <v>206.53536683354963</v>
      </c>
      <c r="M167" s="117">
        <f t="shared" si="66"/>
        <v>241.47096114747154</v>
      </c>
      <c r="N167" s="8">
        <f t="shared" si="67"/>
        <v>1357.3584561189268</v>
      </c>
      <c r="O167" s="75">
        <f t="shared" si="68"/>
        <v>1115.8874949714552</v>
      </c>
    </row>
    <row r="168" spans="1:15" x14ac:dyDescent="0.25">
      <c r="A168" s="78" t="s">
        <v>67</v>
      </c>
      <c r="B168" s="72" t="str">
        <f t="shared" si="73"/>
        <v>Q1/2020</v>
      </c>
      <c r="C168" s="73">
        <f t="shared" si="71"/>
        <v>43831</v>
      </c>
      <c r="D168" s="73">
        <f t="shared" si="72"/>
        <v>43921</v>
      </c>
      <c r="E168" s="72">
        <f t="shared" si="69"/>
        <v>91</v>
      </c>
      <c r="F168" s="74">
        <f>VLOOKUP(D168,'FERC Interest Rate'!$A:$B,2,TRUE)</f>
        <v>4.9599999999999998E-2</v>
      </c>
      <c r="G168" s="75">
        <f t="shared" si="70"/>
        <v>1115.8874949714552</v>
      </c>
      <c r="H168" s="75">
        <v>0</v>
      </c>
      <c r="I168" s="99">
        <f t="shared" si="74"/>
        <v>16.642132160741642</v>
      </c>
      <c r="J168" s="76">
        <f t="shared" si="76"/>
        <v>13.761392888806448</v>
      </c>
      <c r="K168" s="116">
        <f t="shared" si="65"/>
        <v>30.40352504954809</v>
      </c>
      <c r="L168" s="76">
        <f t="shared" si="75"/>
        <v>206.53536683354963</v>
      </c>
      <c r="M168" s="117">
        <f t="shared" si="66"/>
        <v>236.93889188309771</v>
      </c>
      <c r="N168" s="8">
        <f t="shared" si="67"/>
        <v>1129.6488878602618</v>
      </c>
      <c r="O168" s="75">
        <f t="shared" si="68"/>
        <v>892.70999597716389</v>
      </c>
    </row>
    <row r="169" spans="1:15" x14ac:dyDescent="0.25">
      <c r="A169" s="78" t="s">
        <v>68</v>
      </c>
      <c r="B169" s="72" t="str">
        <f t="shared" si="73"/>
        <v>Q2/2020</v>
      </c>
      <c r="C169" s="73">
        <f t="shared" si="71"/>
        <v>43922</v>
      </c>
      <c r="D169" s="73">
        <f t="shared" si="72"/>
        <v>44012</v>
      </c>
      <c r="E169" s="72">
        <f t="shared" si="69"/>
        <v>91</v>
      </c>
      <c r="F169" s="74">
        <f>VLOOKUP(D169,'FERC Interest Rate'!$A:$B,2,TRUE)</f>
        <v>4.7503500000000004E-2</v>
      </c>
      <c r="G169" s="75">
        <f t="shared" si="70"/>
        <v>892.70999597716389</v>
      </c>
      <c r="H169" s="75">
        <v>0</v>
      </c>
      <c r="I169" s="99">
        <f t="shared" si="74"/>
        <v>16.642132160741642</v>
      </c>
      <c r="J169" s="76">
        <f t="shared" si="76"/>
        <v>10.543779469248662</v>
      </c>
      <c r="K169" s="116">
        <f t="shared" si="65"/>
        <v>27.185911629990304</v>
      </c>
      <c r="L169" s="76">
        <f t="shared" si="75"/>
        <v>206.53536683354963</v>
      </c>
      <c r="M169" s="117">
        <f t="shared" si="66"/>
        <v>233.72127846353993</v>
      </c>
      <c r="N169" s="8">
        <f t="shared" si="67"/>
        <v>903.25377544641253</v>
      </c>
      <c r="O169" s="75">
        <f t="shared" si="68"/>
        <v>669.53249698287266</v>
      </c>
    </row>
    <row r="170" spans="1:15" x14ac:dyDescent="0.25">
      <c r="A170" s="78" t="s">
        <v>69</v>
      </c>
      <c r="B170" s="72" t="str">
        <f>+IF(MONTH(C170)&lt;4,"Q1",IF(MONTH(C170)&lt;7,"Q2",IF(MONTH(C170)&lt;10,"Q3","Q4")))&amp;"/"&amp;YEAR(C170)</f>
        <v>Q3/2020</v>
      </c>
      <c r="C170" s="73">
        <f t="shared" si="71"/>
        <v>44013</v>
      </c>
      <c r="D170" s="73">
        <f t="shared" si="72"/>
        <v>44104</v>
      </c>
      <c r="E170" s="72">
        <f t="shared" si="69"/>
        <v>92</v>
      </c>
      <c r="F170" s="74">
        <f>VLOOKUP(D170,'FERC Interest Rate'!$A:$B,2,TRUE)</f>
        <v>4.7507929999999997E-2</v>
      </c>
      <c r="G170" s="75">
        <f t="shared" si="70"/>
        <v>669.53249698287266</v>
      </c>
      <c r="H170" s="75">
        <v>0</v>
      </c>
      <c r="I170" s="99">
        <f t="shared" si="74"/>
        <v>16.642132160741642</v>
      </c>
      <c r="J170" s="76">
        <f t="shared" si="76"/>
        <v>7.9954794424689943</v>
      </c>
      <c r="K170" s="116">
        <f t="shared" si="65"/>
        <v>24.637611603210637</v>
      </c>
      <c r="L170" s="76">
        <f t="shared" si="75"/>
        <v>206.53536683354963</v>
      </c>
      <c r="M170" s="117">
        <f t="shared" si="66"/>
        <v>231.17297843676027</v>
      </c>
      <c r="N170" s="8">
        <f t="shared" si="67"/>
        <v>677.52797642534165</v>
      </c>
      <c r="O170" s="75">
        <f t="shared" si="68"/>
        <v>446.35499798858137</v>
      </c>
    </row>
    <row r="171" spans="1:15" x14ac:dyDescent="0.25">
      <c r="A171" s="78" t="s">
        <v>70</v>
      </c>
      <c r="B171" s="72" t="str">
        <f>+IF(MONTH(C171)&lt;4,"Q1",IF(MONTH(C171)&lt;7,"Q2",IF(MONTH(C171)&lt;10,"Q3","Q4")))&amp;"/"&amp;YEAR(C171)</f>
        <v>Q4/2020</v>
      </c>
      <c r="C171" s="73">
        <f t="shared" si="71"/>
        <v>44105</v>
      </c>
      <c r="D171" s="73">
        <f t="shared" si="72"/>
        <v>44196</v>
      </c>
      <c r="E171" s="72">
        <f t="shared" si="69"/>
        <v>92</v>
      </c>
      <c r="F171" s="74">
        <f>VLOOKUP(D171,'FERC Interest Rate'!$A:$B,2,TRUE)</f>
        <v>4.7922320000000004E-2</v>
      </c>
      <c r="G171" s="75">
        <f t="shared" si="70"/>
        <v>446.35499798858137</v>
      </c>
      <c r="H171" s="75">
        <v>0</v>
      </c>
      <c r="I171" s="99">
        <f t="shared" si="74"/>
        <v>16.642132160741642</v>
      </c>
      <c r="J171" s="76">
        <f t="shared" si="76"/>
        <v>5.376813574708061</v>
      </c>
      <c r="K171" s="116">
        <f t="shared" si="65"/>
        <v>22.018945735449705</v>
      </c>
      <c r="L171" s="76">
        <f t="shared" si="75"/>
        <v>206.53536683354963</v>
      </c>
      <c r="M171" s="117">
        <f t="shared" si="66"/>
        <v>228.55431256899934</v>
      </c>
      <c r="N171" s="8">
        <f t="shared" si="67"/>
        <v>451.73181156328945</v>
      </c>
      <c r="O171" s="75">
        <f t="shared" si="68"/>
        <v>223.17749899429009</v>
      </c>
    </row>
    <row r="172" spans="1:15" x14ac:dyDescent="0.25">
      <c r="A172" s="78" t="s">
        <v>71</v>
      </c>
      <c r="B172" s="72" t="str">
        <f>+IF(MONTH(C172)&lt;4,"Q1",IF(MONTH(C172)&lt;7,"Q2",IF(MONTH(C172)&lt;10,"Q3","Q4")))&amp;"/"&amp;YEAR(C172)</f>
        <v>Q1/2021</v>
      </c>
      <c r="C172" s="73">
        <f t="shared" si="71"/>
        <v>44197</v>
      </c>
      <c r="D172" s="73">
        <f t="shared" si="72"/>
        <v>44286</v>
      </c>
      <c r="E172" s="72">
        <f t="shared" si="69"/>
        <v>90</v>
      </c>
      <c r="F172" s="74">
        <f>VLOOKUP(D172,'FERC Interest Rate'!$A:$B,2,TRUE)</f>
        <v>5.0023470000000007E-2</v>
      </c>
      <c r="G172" s="75">
        <f t="shared" si="70"/>
        <v>223.17749899429009</v>
      </c>
      <c r="H172" s="75">
        <v>0</v>
      </c>
      <c r="I172" s="99">
        <f t="shared" si="74"/>
        <v>16.642132160741642</v>
      </c>
      <c r="J172" s="76">
        <f t="shared" si="76"/>
        <v>2.7527949679600852</v>
      </c>
      <c r="K172" s="116">
        <f t="shared" si="65"/>
        <v>19.394927128701728</v>
      </c>
      <c r="L172" s="76">
        <f t="shared" si="75"/>
        <v>206.53536683354963</v>
      </c>
      <c r="M172" s="117">
        <f t="shared" si="66"/>
        <v>225.93029396225137</v>
      </c>
      <c r="N172" s="8">
        <f t="shared" si="67"/>
        <v>225.93029396225018</v>
      </c>
      <c r="O172" s="75">
        <f t="shared" si="68"/>
        <v>-1.1830536550405668E-12</v>
      </c>
    </row>
    <row r="173" spans="1:15" x14ac:dyDescent="0.25">
      <c r="A173" s="78"/>
      <c r="B173" s="72"/>
      <c r="C173" s="73"/>
      <c r="D173" s="73"/>
      <c r="E173" s="72"/>
      <c r="F173" s="74"/>
      <c r="G173" s="75"/>
      <c r="H173" s="75"/>
      <c r="I173" s="99"/>
      <c r="J173" s="76"/>
      <c r="K173" s="116"/>
      <c r="L173" s="76"/>
      <c r="M173" s="117"/>
      <c r="N173" s="8"/>
      <c r="O173" s="75"/>
    </row>
    <row r="174" spans="1:15" ht="13.5" thickBot="1" x14ac:dyDescent="0.35">
      <c r="A174" s="142"/>
      <c r="B174" s="143"/>
      <c r="C174" s="144"/>
      <c r="D174" s="144"/>
      <c r="E174" s="145"/>
      <c r="F174" s="143"/>
      <c r="G174" s="124">
        <f>SUM(G147:G173)</f>
        <v>72995.956819199491</v>
      </c>
      <c r="H174" s="124">
        <f>SUM(H147:H173)</f>
        <v>332.84264321483283</v>
      </c>
      <c r="I174" s="125">
        <f t="shared" ref="I174:O174" si="77">SUM(I147:I173)</f>
        <v>332.84264321483295</v>
      </c>
      <c r="J174" s="124">
        <f t="shared" si="77"/>
        <v>385.2584226069265</v>
      </c>
      <c r="K174" s="124">
        <f t="shared" si="77"/>
        <v>718.10106582175945</v>
      </c>
      <c r="L174" s="124">
        <f t="shared" si="77"/>
        <v>4130.7073366709928</v>
      </c>
      <c r="M174" s="126">
        <f t="shared" si="77"/>
        <v>4848.8084024927512</v>
      </c>
      <c r="N174" s="124">
        <f t="shared" si="77"/>
        <v>73714.057885021248</v>
      </c>
      <c r="O174" s="124">
        <f t="shared" si="77"/>
        <v>68865.249482528496</v>
      </c>
    </row>
    <row r="175" spans="1:15" ht="13" thickTop="1" x14ac:dyDescent="0.25">
      <c r="B175" s="103"/>
      <c r="C175" s="103"/>
      <c r="D175" s="103"/>
      <c r="E175" s="103"/>
      <c r="F175" s="103"/>
      <c r="G175" s="103"/>
      <c r="H175" s="103"/>
      <c r="I175" s="102"/>
      <c r="J175" s="103"/>
      <c r="K175" s="103"/>
      <c r="L175" s="103"/>
      <c r="M175" s="118"/>
      <c r="O175" s="103"/>
    </row>
    <row r="176" spans="1:15" ht="39" x14ac:dyDescent="0.3">
      <c r="A176" s="77" t="s">
        <v>51</v>
      </c>
      <c r="B176" s="77" t="s">
        <v>3</v>
      </c>
      <c r="C176" s="77" t="s">
        <v>4</v>
      </c>
      <c r="D176" s="77" t="s">
        <v>5</v>
      </c>
      <c r="E176" s="77" t="s">
        <v>6</v>
      </c>
      <c r="F176" s="77" t="s">
        <v>7</v>
      </c>
      <c r="G176" s="77" t="s">
        <v>92</v>
      </c>
      <c r="H176" s="77" t="s">
        <v>93</v>
      </c>
      <c r="I176" s="94" t="s">
        <v>94</v>
      </c>
      <c r="J176" s="95" t="s">
        <v>95</v>
      </c>
      <c r="K176" s="95" t="s">
        <v>96</v>
      </c>
      <c r="L176" s="95" t="s">
        <v>97</v>
      </c>
      <c r="M176" s="96" t="s">
        <v>98</v>
      </c>
      <c r="N176" s="77" t="s">
        <v>99</v>
      </c>
      <c r="O176" s="77" t="s">
        <v>100</v>
      </c>
    </row>
    <row r="177" spans="1:15" ht="13" x14ac:dyDescent="0.3">
      <c r="A177" s="347" t="s">
        <v>14</v>
      </c>
      <c r="B177" s="347"/>
      <c r="C177" s="73">
        <f>VLOOKUP(B178,A$1:F$25,2,FALSE)</f>
        <v>42058</v>
      </c>
      <c r="D177" s="73">
        <f>DATE(YEAR(C177),IF(MONTH(C177)&lt;=3,3,IF(MONTH(C177)&lt;=6,6,IF(MONTH(C177)&lt;=9,9,12))),IF(OR(MONTH(C177)&lt;=3,MONTH(C177)&gt;=10),31,30))</f>
        <v>42094</v>
      </c>
      <c r="E177" s="72">
        <f>D177-C177+1</f>
        <v>37</v>
      </c>
      <c r="F177" s="74">
        <f>VLOOKUP(D177,'FERC Interest Rate'!$A:$B,2,TRUE)</f>
        <v>3.2500000000000001E-2</v>
      </c>
      <c r="G177" s="75">
        <f>VLOOKUP(B178,$A$1:$F$29,5,FALSE)</f>
        <v>3923.479325050992</v>
      </c>
      <c r="H177" s="75">
        <f t="shared" ref="H177:H185" si="78">G177*F177*(E177/(DATE(YEAR(D177),12,31)-DATE(YEAR(D177),1,1)+1))</f>
        <v>12.925983255818679</v>
      </c>
      <c r="I177" s="180">
        <v>0</v>
      </c>
      <c r="J177" s="76">
        <v>0</v>
      </c>
      <c r="K177" s="116">
        <f t="shared" ref="K177:K201" si="79">+SUM(I177:J177)</f>
        <v>0</v>
      </c>
      <c r="L177" s="76">
        <v>0</v>
      </c>
      <c r="M177" s="117">
        <f t="shared" ref="M177:M201" si="80">+SUM(K177:L177)</f>
        <v>0</v>
      </c>
      <c r="N177" s="8">
        <f t="shared" ref="N177:N201" si="81">+G177+H177+J177</f>
        <v>3936.4053083068106</v>
      </c>
      <c r="O177" s="75">
        <f t="shared" ref="O177:O201" si="82">G177+H177-L177-I177</f>
        <v>3936.4053083068106</v>
      </c>
    </row>
    <row r="178" spans="1:15" ht="13" x14ac:dyDescent="0.3">
      <c r="A178" s="110" t="s">
        <v>40</v>
      </c>
      <c r="B178" s="141" t="s">
        <v>56</v>
      </c>
      <c r="C178" s="73">
        <f>D177+1</f>
        <v>42095</v>
      </c>
      <c r="D178" s="73">
        <f>EOMONTH(D177,3)</f>
        <v>42185</v>
      </c>
      <c r="E178" s="72">
        <f t="shared" ref="E178:E201" si="83">D178-C178+1</f>
        <v>91</v>
      </c>
      <c r="F178" s="74">
        <f>VLOOKUP(D178,'FERC Interest Rate'!$A:$B,2,TRUE)</f>
        <v>3.2500000000000001E-2</v>
      </c>
      <c r="G178" s="75">
        <f t="shared" ref="G178:G201" si="84">O177</f>
        <v>3936.4053083068106</v>
      </c>
      <c r="H178" s="75">
        <f t="shared" si="78"/>
        <v>31.895667669362719</v>
      </c>
      <c r="I178" s="180">
        <v>0</v>
      </c>
      <c r="J178" s="76">
        <v>0</v>
      </c>
      <c r="K178" s="116">
        <f t="shared" si="79"/>
        <v>0</v>
      </c>
      <c r="L178" s="76">
        <v>0</v>
      </c>
      <c r="M178" s="117">
        <f t="shared" si="80"/>
        <v>0</v>
      </c>
      <c r="N178" s="8">
        <f t="shared" si="81"/>
        <v>3968.3009759761735</v>
      </c>
      <c r="O178" s="75">
        <f t="shared" si="82"/>
        <v>3968.3009759761735</v>
      </c>
    </row>
    <row r="179" spans="1:15" x14ac:dyDescent="0.25">
      <c r="B179" s="72"/>
      <c r="C179" s="73">
        <f t="shared" ref="C179:C201" si="85">D178+1</f>
        <v>42186</v>
      </c>
      <c r="D179" s="73">
        <f t="shared" ref="D179:D201" si="86">EOMONTH(D178,3)</f>
        <v>42277</v>
      </c>
      <c r="E179" s="72">
        <f t="shared" si="83"/>
        <v>92</v>
      </c>
      <c r="F179" s="74">
        <f>VLOOKUP(D179,'FERC Interest Rate'!$A:$B,2,TRUE)</f>
        <v>3.2500000000000001E-2</v>
      </c>
      <c r="G179" s="75">
        <f t="shared" si="84"/>
        <v>3968.3009759761735</v>
      </c>
      <c r="H179" s="75">
        <f t="shared" si="78"/>
        <v>32.507451830599344</v>
      </c>
      <c r="I179" s="180">
        <v>0</v>
      </c>
      <c r="J179" s="76">
        <v>0</v>
      </c>
      <c r="K179" s="116">
        <f t="shared" si="79"/>
        <v>0</v>
      </c>
      <c r="L179" s="76">
        <v>0</v>
      </c>
      <c r="M179" s="117">
        <f t="shared" si="80"/>
        <v>0</v>
      </c>
      <c r="N179" s="8">
        <f t="shared" si="81"/>
        <v>4000.8084278067727</v>
      </c>
      <c r="O179" s="75">
        <f t="shared" si="82"/>
        <v>4000.8084278067727</v>
      </c>
    </row>
    <row r="180" spans="1:15" x14ac:dyDescent="0.25">
      <c r="B180" s="72"/>
      <c r="C180" s="73">
        <f t="shared" si="85"/>
        <v>42278</v>
      </c>
      <c r="D180" s="73">
        <f t="shared" si="86"/>
        <v>42369</v>
      </c>
      <c r="E180" s="72">
        <f t="shared" si="83"/>
        <v>92</v>
      </c>
      <c r="F180" s="74">
        <f>VLOOKUP(D180,'FERC Interest Rate'!$A:$B,2,TRUE)</f>
        <v>3.2500000000000001E-2</v>
      </c>
      <c r="G180" s="75">
        <f t="shared" si="84"/>
        <v>4000.8084278067727</v>
      </c>
      <c r="H180" s="75">
        <f t="shared" si="78"/>
        <v>32.773745751074664</v>
      </c>
      <c r="I180" s="180">
        <v>0</v>
      </c>
      <c r="J180" s="76">
        <v>0</v>
      </c>
      <c r="K180" s="116">
        <f t="shared" si="79"/>
        <v>0</v>
      </c>
      <c r="L180" s="76">
        <v>0</v>
      </c>
      <c r="M180" s="117">
        <f t="shared" si="80"/>
        <v>0</v>
      </c>
      <c r="N180" s="8">
        <f t="shared" si="81"/>
        <v>4033.5821735578475</v>
      </c>
      <c r="O180" s="75">
        <f t="shared" si="82"/>
        <v>4033.5821735578475</v>
      </c>
    </row>
    <row r="181" spans="1:15" x14ac:dyDescent="0.25">
      <c r="B181" s="72"/>
      <c r="C181" s="73">
        <f t="shared" si="85"/>
        <v>42370</v>
      </c>
      <c r="D181" s="73">
        <f t="shared" si="86"/>
        <v>42460</v>
      </c>
      <c r="E181" s="72">
        <f t="shared" si="83"/>
        <v>91</v>
      </c>
      <c r="F181" s="74">
        <f>VLOOKUP(D181,'FERC Interest Rate'!$A:$B,2,TRUE)</f>
        <v>3.2500000000000001E-2</v>
      </c>
      <c r="G181" s="75">
        <f t="shared" si="84"/>
        <v>4033.5821735578475</v>
      </c>
      <c r="H181" s="75">
        <f t="shared" si="78"/>
        <v>32.593768519938074</v>
      </c>
      <c r="I181" s="180">
        <v>0</v>
      </c>
      <c r="J181" s="76">
        <v>0</v>
      </c>
      <c r="K181" s="116">
        <f t="shared" si="79"/>
        <v>0</v>
      </c>
      <c r="L181" s="76">
        <v>0</v>
      </c>
      <c r="M181" s="117">
        <f t="shared" si="80"/>
        <v>0</v>
      </c>
      <c r="N181" s="8">
        <f t="shared" si="81"/>
        <v>4066.1759420777857</v>
      </c>
      <c r="O181" s="75">
        <f t="shared" si="82"/>
        <v>4066.1759420777857</v>
      </c>
    </row>
    <row r="182" spans="1:15" x14ac:dyDescent="0.25">
      <c r="A182" s="78"/>
      <c r="B182" s="72"/>
      <c r="C182" s="73">
        <f t="shared" si="85"/>
        <v>42461</v>
      </c>
      <c r="D182" s="73">
        <f t="shared" si="86"/>
        <v>42551</v>
      </c>
      <c r="E182" s="72">
        <f t="shared" si="83"/>
        <v>91</v>
      </c>
      <c r="F182" s="74">
        <f>VLOOKUP(D182,'FERC Interest Rate'!$A:$B,2,TRUE)</f>
        <v>3.4599999999999999E-2</v>
      </c>
      <c r="G182" s="75">
        <f t="shared" si="84"/>
        <v>4066.1759420777857</v>
      </c>
      <c r="H182" s="75">
        <f t="shared" si="78"/>
        <v>34.980222872202496</v>
      </c>
      <c r="I182" s="180">
        <v>0</v>
      </c>
      <c r="J182" s="76">
        <v>0</v>
      </c>
      <c r="K182" s="116">
        <f t="shared" si="79"/>
        <v>0</v>
      </c>
      <c r="L182" s="76">
        <v>0</v>
      </c>
      <c r="M182" s="117">
        <f t="shared" si="80"/>
        <v>0</v>
      </c>
      <c r="N182" s="8">
        <f t="shared" si="81"/>
        <v>4101.1561649499881</v>
      </c>
      <c r="O182" s="75">
        <f t="shared" si="82"/>
        <v>4101.1561649499881</v>
      </c>
    </row>
    <row r="183" spans="1:15" x14ac:dyDescent="0.25">
      <c r="A183" s="78"/>
      <c r="B183" s="72"/>
      <c r="C183" s="73">
        <f t="shared" si="85"/>
        <v>42552</v>
      </c>
      <c r="D183" s="73">
        <f t="shared" si="86"/>
        <v>42643</v>
      </c>
      <c r="E183" s="72">
        <f t="shared" si="83"/>
        <v>92</v>
      </c>
      <c r="F183" s="74">
        <f>VLOOKUP(D183,'FERC Interest Rate'!$A:$B,2,TRUE)</f>
        <v>3.5000000000000003E-2</v>
      </c>
      <c r="G183" s="75">
        <f t="shared" si="84"/>
        <v>4101.1561649499881</v>
      </c>
      <c r="H183" s="75">
        <f t="shared" si="78"/>
        <v>36.081209975789513</v>
      </c>
      <c r="I183" s="180">
        <v>0</v>
      </c>
      <c r="J183" s="76">
        <v>0</v>
      </c>
      <c r="K183" s="116">
        <f t="shared" si="79"/>
        <v>0</v>
      </c>
      <c r="L183" s="76">
        <v>0</v>
      </c>
      <c r="M183" s="117">
        <f t="shared" si="80"/>
        <v>0</v>
      </c>
      <c r="N183" s="8">
        <f t="shared" si="81"/>
        <v>4137.2373749257777</v>
      </c>
      <c r="O183" s="75">
        <f t="shared" si="82"/>
        <v>4137.2373749257777</v>
      </c>
    </row>
    <row r="184" spans="1:15" x14ac:dyDescent="0.25">
      <c r="A184" s="78"/>
      <c r="B184" s="72"/>
      <c r="C184" s="73">
        <f t="shared" si="85"/>
        <v>42644</v>
      </c>
      <c r="D184" s="73">
        <f t="shared" si="86"/>
        <v>42735</v>
      </c>
      <c r="E184" s="72">
        <f t="shared" si="83"/>
        <v>92</v>
      </c>
      <c r="F184" s="74">
        <f>VLOOKUP(D184,'FERC Interest Rate'!$A:$B,2,TRUE)</f>
        <v>3.5000000000000003E-2</v>
      </c>
      <c r="G184" s="75">
        <f t="shared" si="84"/>
        <v>4137.2373749257777</v>
      </c>
      <c r="H184" s="75">
        <f t="shared" si="78"/>
        <v>36.398645757543733</v>
      </c>
      <c r="I184" s="180">
        <v>0</v>
      </c>
      <c r="J184" s="76">
        <v>0</v>
      </c>
      <c r="K184" s="116">
        <f t="shared" si="79"/>
        <v>0</v>
      </c>
      <c r="L184" s="76">
        <v>0</v>
      </c>
      <c r="M184" s="117">
        <f t="shared" si="80"/>
        <v>0</v>
      </c>
      <c r="N184" s="8">
        <f t="shared" si="81"/>
        <v>4173.6360206833215</v>
      </c>
      <c r="O184" s="75">
        <f t="shared" si="82"/>
        <v>4173.6360206833215</v>
      </c>
    </row>
    <row r="185" spans="1:15" x14ac:dyDescent="0.25">
      <c r="A185" s="78" t="s">
        <v>101</v>
      </c>
      <c r="B185" s="72" t="str">
        <f t="shared" ref="B185:B198" si="87">+IF(MONTH(C185)&lt;4,"Q1",IF(MONTH(C185)&lt;7,"Q2",IF(MONTH(C185)&lt;10,"Q3","Q4")))&amp;"/"&amp;YEAR(C185)</f>
        <v>Q1/2017</v>
      </c>
      <c r="C185" s="73">
        <f t="shared" si="85"/>
        <v>42736</v>
      </c>
      <c r="D185" s="73">
        <f t="shared" si="86"/>
        <v>42825</v>
      </c>
      <c r="E185" s="72">
        <f t="shared" si="83"/>
        <v>90</v>
      </c>
      <c r="F185" s="74">
        <f>VLOOKUP(D185,'FERC Interest Rate'!$A:$B,2,TRUE)</f>
        <v>3.5000000000000003E-2</v>
      </c>
      <c r="G185" s="75">
        <f t="shared" si="84"/>
        <v>4173.6360206833215</v>
      </c>
      <c r="H185" s="75">
        <f t="shared" si="78"/>
        <v>36.0190505894588</v>
      </c>
      <c r="I185" s="180">
        <f>SUM($H$177:$H$202)/20*4</f>
        <v>57.235149244357601</v>
      </c>
      <c r="J185" s="76">
        <f t="shared" ref="J185:J201" si="88">G185*F185*(E185/(DATE(YEAR(D185),12,31)-DATE(YEAR(D185),1,1)+1))</f>
        <v>36.0190505894588</v>
      </c>
      <c r="K185" s="116">
        <f t="shared" si="79"/>
        <v>93.254199833816401</v>
      </c>
      <c r="L185" s="76">
        <f>VLOOKUP($B$178,A$1:F$25,5,FALSE)/20*4</f>
        <v>784.69586501019842</v>
      </c>
      <c r="M185" s="117">
        <f t="shared" si="80"/>
        <v>877.95006484401483</v>
      </c>
      <c r="N185" s="8">
        <f t="shared" si="81"/>
        <v>4245.6741218622392</v>
      </c>
      <c r="O185" s="75">
        <f t="shared" si="82"/>
        <v>3367.7240570182244</v>
      </c>
    </row>
    <row r="186" spans="1:15" x14ac:dyDescent="0.25">
      <c r="A186" s="78" t="s">
        <v>56</v>
      </c>
      <c r="B186" s="72" t="str">
        <f t="shared" si="87"/>
        <v>Q2/2017</v>
      </c>
      <c r="C186" s="73">
        <f t="shared" si="85"/>
        <v>42826</v>
      </c>
      <c r="D186" s="73">
        <f t="shared" si="86"/>
        <v>42916</v>
      </c>
      <c r="E186" s="72">
        <f t="shared" si="83"/>
        <v>91</v>
      </c>
      <c r="F186" s="74">
        <f>VLOOKUP(D186,'FERC Interest Rate'!$A:$B,2,TRUE)</f>
        <v>3.7100000000000001E-2</v>
      </c>
      <c r="G186" s="75">
        <f t="shared" si="84"/>
        <v>3367.7240570182244</v>
      </c>
      <c r="H186" s="75">
        <v>0</v>
      </c>
      <c r="I186" s="99">
        <f>SUM($H$177:$H$202)/20</f>
        <v>14.3087873110894</v>
      </c>
      <c r="J186" s="76">
        <f t="shared" si="88"/>
        <v>31.15006353123076</v>
      </c>
      <c r="K186" s="116">
        <f t="shared" si="79"/>
        <v>45.45885084232016</v>
      </c>
      <c r="L186" s="76">
        <f t="shared" ref="L186:L201" si="89">VLOOKUP($B$178,A$1:F$25,5,FALSE)/20</f>
        <v>196.1739662525496</v>
      </c>
      <c r="M186" s="117">
        <f t="shared" si="80"/>
        <v>241.63281709486978</v>
      </c>
      <c r="N186" s="8">
        <f t="shared" si="81"/>
        <v>3398.8741205494553</v>
      </c>
      <c r="O186" s="75">
        <f t="shared" si="82"/>
        <v>3157.2413034545852</v>
      </c>
    </row>
    <row r="187" spans="1:15" x14ac:dyDescent="0.25">
      <c r="A187" s="78" t="s">
        <v>57</v>
      </c>
      <c r="B187" s="72" t="str">
        <f t="shared" si="87"/>
        <v>Q3/2017</v>
      </c>
      <c r="C187" s="73">
        <f t="shared" si="85"/>
        <v>42917</v>
      </c>
      <c r="D187" s="73">
        <f t="shared" si="86"/>
        <v>43008</v>
      </c>
      <c r="E187" s="72">
        <f t="shared" si="83"/>
        <v>92</v>
      </c>
      <c r="F187" s="74">
        <f>VLOOKUP(D187,'FERC Interest Rate'!$A:$B,2,TRUE)</f>
        <v>3.9600000000000003E-2</v>
      </c>
      <c r="G187" s="75">
        <f t="shared" si="84"/>
        <v>3157.2413034545852</v>
      </c>
      <c r="H187" s="75">
        <v>0</v>
      </c>
      <c r="I187" s="99">
        <f>SUM($H$177:$H$202)/20</f>
        <v>14.3087873110894</v>
      </c>
      <c r="J187" s="76">
        <f t="shared" si="88"/>
        <v>31.51359319656369</v>
      </c>
      <c r="K187" s="116">
        <f t="shared" si="79"/>
        <v>45.822380507653094</v>
      </c>
      <c r="L187" s="76">
        <f t="shared" si="89"/>
        <v>196.1739662525496</v>
      </c>
      <c r="M187" s="117">
        <f t="shared" si="80"/>
        <v>241.9963467602027</v>
      </c>
      <c r="N187" s="8">
        <f t="shared" si="81"/>
        <v>3188.754896651149</v>
      </c>
      <c r="O187" s="75">
        <f t="shared" si="82"/>
        <v>2946.7585498909461</v>
      </c>
    </row>
    <row r="188" spans="1:15" x14ac:dyDescent="0.25">
      <c r="A188" s="78" t="s">
        <v>58</v>
      </c>
      <c r="B188" s="72" t="str">
        <f t="shared" si="87"/>
        <v>Q4/2017</v>
      </c>
      <c r="C188" s="73">
        <f t="shared" si="85"/>
        <v>43009</v>
      </c>
      <c r="D188" s="73">
        <f t="shared" si="86"/>
        <v>43100</v>
      </c>
      <c r="E188" s="72">
        <f t="shared" si="83"/>
        <v>92</v>
      </c>
      <c r="F188" s="74">
        <f>VLOOKUP(D188,'FERC Interest Rate'!$A:$B,2,TRUE)</f>
        <v>4.2099999999999999E-2</v>
      </c>
      <c r="G188" s="75">
        <f t="shared" si="84"/>
        <v>2946.7585498909461</v>
      </c>
      <c r="H188" s="75">
        <v>0</v>
      </c>
      <c r="I188" s="99">
        <f t="shared" ref="I188:I201" si="90">SUM($H$177:$H$202)/20</f>
        <v>14.3087873110894</v>
      </c>
      <c r="J188" s="76">
        <f t="shared" si="88"/>
        <v>31.269548535445516</v>
      </c>
      <c r="K188" s="116">
        <f t="shared" si="79"/>
        <v>45.578335846534912</v>
      </c>
      <c r="L188" s="76">
        <f t="shared" si="89"/>
        <v>196.1739662525496</v>
      </c>
      <c r="M188" s="117">
        <f t="shared" si="80"/>
        <v>241.75230209908452</v>
      </c>
      <c r="N188" s="8">
        <f t="shared" si="81"/>
        <v>2978.0280984263918</v>
      </c>
      <c r="O188" s="75">
        <f t="shared" si="82"/>
        <v>2736.275796327307</v>
      </c>
    </row>
    <row r="189" spans="1:15" x14ac:dyDescent="0.25">
      <c r="A189" s="78" t="s">
        <v>59</v>
      </c>
      <c r="B189" s="72" t="str">
        <f t="shared" si="87"/>
        <v>Q1/2018</v>
      </c>
      <c r="C189" s="73">
        <f t="shared" si="85"/>
        <v>43101</v>
      </c>
      <c r="D189" s="73">
        <f t="shared" si="86"/>
        <v>43190</v>
      </c>
      <c r="E189" s="72">
        <f t="shared" si="83"/>
        <v>90</v>
      </c>
      <c r="F189" s="74">
        <f>VLOOKUP(D189,'FERC Interest Rate'!$A:$B,2,TRUE)</f>
        <v>4.2500000000000003E-2</v>
      </c>
      <c r="G189" s="75">
        <f t="shared" si="84"/>
        <v>2736.275796327307</v>
      </c>
      <c r="H189" s="75">
        <v>0</v>
      </c>
      <c r="I189" s="99">
        <f t="shared" si="90"/>
        <v>14.3087873110894</v>
      </c>
      <c r="J189" s="76">
        <f>G189*F189*(E189/(DATE(YEAR(D189),12,31)-DATE(YEAR(D189),1,1)+1))</f>
        <v>28.674671016306711</v>
      </c>
      <c r="K189" s="116">
        <f t="shared" si="79"/>
        <v>42.983458327396107</v>
      </c>
      <c r="L189" s="76">
        <f t="shared" si="89"/>
        <v>196.1739662525496</v>
      </c>
      <c r="M189" s="117">
        <f t="shared" si="80"/>
        <v>239.15742457994571</v>
      </c>
      <c r="N189" s="8">
        <f t="shared" si="81"/>
        <v>2764.9504673436136</v>
      </c>
      <c r="O189" s="75">
        <f t="shared" si="82"/>
        <v>2525.7930427636679</v>
      </c>
    </row>
    <row r="190" spans="1:15" x14ac:dyDescent="0.25">
      <c r="A190" s="78" t="s">
        <v>60</v>
      </c>
      <c r="B190" s="72" t="str">
        <f t="shared" si="87"/>
        <v>Q2/2018</v>
      </c>
      <c r="C190" s="73">
        <f t="shared" si="85"/>
        <v>43191</v>
      </c>
      <c r="D190" s="73">
        <f t="shared" si="86"/>
        <v>43281</v>
      </c>
      <c r="E190" s="72">
        <f t="shared" si="83"/>
        <v>91</v>
      </c>
      <c r="F190" s="74">
        <f>VLOOKUP(D190,'FERC Interest Rate'!$A:$B,2,TRUE)</f>
        <v>4.4699999999999997E-2</v>
      </c>
      <c r="G190" s="75">
        <f t="shared" si="84"/>
        <v>2525.7930427636679</v>
      </c>
      <c r="H190" s="75">
        <v>0</v>
      </c>
      <c r="I190" s="99">
        <f t="shared" si="90"/>
        <v>14.3087873110894</v>
      </c>
      <c r="J190" s="76">
        <f t="shared" si="88"/>
        <v>28.148406465889785</v>
      </c>
      <c r="K190" s="116">
        <f t="shared" si="79"/>
        <v>42.457193776979182</v>
      </c>
      <c r="L190" s="76">
        <f t="shared" si="89"/>
        <v>196.1739662525496</v>
      </c>
      <c r="M190" s="117">
        <f t="shared" si="80"/>
        <v>238.63116002952879</v>
      </c>
      <c r="N190" s="8">
        <f t="shared" si="81"/>
        <v>2553.9414492295577</v>
      </c>
      <c r="O190" s="75">
        <f t="shared" si="82"/>
        <v>2315.3102892000288</v>
      </c>
    </row>
    <row r="191" spans="1:15" x14ac:dyDescent="0.25">
      <c r="A191" s="78" t="s">
        <v>61</v>
      </c>
      <c r="B191" s="72" t="str">
        <f t="shared" si="87"/>
        <v>Q3/2018</v>
      </c>
      <c r="C191" s="73">
        <f t="shared" si="85"/>
        <v>43282</v>
      </c>
      <c r="D191" s="73">
        <f t="shared" si="86"/>
        <v>43373</v>
      </c>
      <c r="E191" s="72">
        <f t="shared" si="83"/>
        <v>92</v>
      </c>
      <c r="F191" s="74">
        <f>VLOOKUP(D191,'FERC Interest Rate'!$A:$B,2,TRUE)</f>
        <v>4.6899999999999997E-2</v>
      </c>
      <c r="G191" s="75">
        <f t="shared" si="84"/>
        <v>2315.3102892000288</v>
      </c>
      <c r="H191" s="75">
        <v>0</v>
      </c>
      <c r="I191" s="99">
        <f t="shared" si="90"/>
        <v>14.3087873110894</v>
      </c>
      <c r="J191" s="76">
        <f t="shared" si="88"/>
        <v>27.370139276274752</v>
      </c>
      <c r="K191" s="116">
        <f t="shared" si="79"/>
        <v>41.678926587364153</v>
      </c>
      <c r="L191" s="76">
        <f t="shared" si="89"/>
        <v>196.1739662525496</v>
      </c>
      <c r="M191" s="117">
        <f t="shared" si="80"/>
        <v>237.85289283991375</v>
      </c>
      <c r="N191" s="8">
        <f t="shared" si="81"/>
        <v>2342.6804284763034</v>
      </c>
      <c r="O191" s="75">
        <f t="shared" si="82"/>
        <v>2104.8275356363897</v>
      </c>
    </row>
    <row r="192" spans="1:15" x14ac:dyDescent="0.25">
      <c r="A192" s="78" t="s">
        <v>62</v>
      </c>
      <c r="B192" s="72" t="str">
        <f t="shared" si="87"/>
        <v>Q4/2018</v>
      </c>
      <c r="C192" s="73">
        <f t="shared" si="85"/>
        <v>43374</v>
      </c>
      <c r="D192" s="73">
        <f t="shared" si="86"/>
        <v>43465</v>
      </c>
      <c r="E192" s="72">
        <f t="shared" si="83"/>
        <v>92</v>
      </c>
      <c r="F192" s="74">
        <f>VLOOKUP(D192,'FERC Interest Rate'!$A:$B,2,TRUE)</f>
        <v>4.9599999999999998E-2</v>
      </c>
      <c r="G192" s="75">
        <f t="shared" si="84"/>
        <v>2104.8275356363897</v>
      </c>
      <c r="H192" s="75">
        <v>0</v>
      </c>
      <c r="I192" s="99">
        <f t="shared" si="90"/>
        <v>14.3087873110894</v>
      </c>
      <c r="J192" s="76">
        <f t="shared" si="88"/>
        <v>26.314380851002667</v>
      </c>
      <c r="K192" s="116">
        <f t="shared" si="79"/>
        <v>40.623168162092071</v>
      </c>
      <c r="L192" s="76">
        <f t="shared" si="89"/>
        <v>196.1739662525496</v>
      </c>
      <c r="M192" s="117">
        <f t="shared" si="80"/>
        <v>236.79713441464168</v>
      </c>
      <c r="N192" s="8">
        <f t="shared" si="81"/>
        <v>2131.1419164873923</v>
      </c>
      <c r="O192" s="75">
        <f t="shared" si="82"/>
        <v>1894.3447820727506</v>
      </c>
    </row>
    <row r="193" spans="1:15" x14ac:dyDescent="0.25">
      <c r="A193" s="78" t="s">
        <v>63</v>
      </c>
      <c r="B193" s="72" t="str">
        <f t="shared" si="87"/>
        <v>Q1/2019</v>
      </c>
      <c r="C193" s="73">
        <f t="shared" si="85"/>
        <v>43466</v>
      </c>
      <c r="D193" s="73">
        <f t="shared" si="86"/>
        <v>43555</v>
      </c>
      <c r="E193" s="72">
        <f t="shared" si="83"/>
        <v>90</v>
      </c>
      <c r="F193" s="74">
        <f>VLOOKUP(D193,'FERC Interest Rate'!$A:$B,2,TRUE)</f>
        <v>5.1799999999999999E-2</v>
      </c>
      <c r="G193" s="75">
        <f t="shared" si="84"/>
        <v>1894.3447820727506</v>
      </c>
      <c r="H193" s="75">
        <v>0</v>
      </c>
      <c r="I193" s="99">
        <f t="shared" si="90"/>
        <v>14.3087873110894</v>
      </c>
      <c r="J193" s="76">
        <f t="shared" si="88"/>
        <v>24.195713353488117</v>
      </c>
      <c r="K193" s="116">
        <f t="shared" si="79"/>
        <v>38.50450066457752</v>
      </c>
      <c r="L193" s="76">
        <f t="shared" si="89"/>
        <v>196.1739662525496</v>
      </c>
      <c r="M193" s="117">
        <f t="shared" si="80"/>
        <v>234.67846691712714</v>
      </c>
      <c r="N193" s="8">
        <f t="shared" si="81"/>
        <v>1918.5404954262387</v>
      </c>
      <c r="O193" s="75">
        <f t="shared" si="82"/>
        <v>1683.8620285091115</v>
      </c>
    </row>
    <row r="194" spans="1:15" x14ac:dyDescent="0.25">
      <c r="A194" s="78" t="s">
        <v>64</v>
      </c>
      <c r="B194" s="72" t="str">
        <f t="shared" si="87"/>
        <v>Q2/2019</v>
      </c>
      <c r="C194" s="73">
        <f t="shared" si="85"/>
        <v>43556</v>
      </c>
      <c r="D194" s="73">
        <f t="shared" si="86"/>
        <v>43646</v>
      </c>
      <c r="E194" s="72">
        <f t="shared" si="83"/>
        <v>91</v>
      </c>
      <c r="F194" s="74">
        <f>VLOOKUP(D194,'FERC Interest Rate'!$A:$B,2,TRUE)</f>
        <v>5.45E-2</v>
      </c>
      <c r="G194" s="75">
        <f t="shared" si="84"/>
        <v>1683.8620285091115</v>
      </c>
      <c r="H194" s="75">
        <v>0</v>
      </c>
      <c r="I194" s="99">
        <f t="shared" si="90"/>
        <v>14.3087873110894</v>
      </c>
      <c r="J194" s="76">
        <f t="shared" si="88"/>
        <v>22.879763644906681</v>
      </c>
      <c r="K194" s="116">
        <f t="shared" si="79"/>
        <v>37.188550955996078</v>
      </c>
      <c r="L194" s="76">
        <f t="shared" si="89"/>
        <v>196.1739662525496</v>
      </c>
      <c r="M194" s="117">
        <f t="shared" si="80"/>
        <v>233.36251720854568</v>
      </c>
      <c r="N194" s="8">
        <f t="shared" si="81"/>
        <v>1706.7417921540182</v>
      </c>
      <c r="O194" s="75">
        <f t="shared" si="82"/>
        <v>1473.3792749454724</v>
      </c>
    </row>
    <row r="195" spans="1:15" x14ac:dyDescent="0.25">
      <c r="A195" s="78" t="s">
        <v>65</v>
      </c>
      <c r="B195" s="72" t="str">
        <f t="shared" si="87"/>
        <v>Q3/2019</v>
      </c>
      <c r="C195" s="73">
        <f t="shared" si="85"/>
        <v>43647</v>
      </c>
      <c r="D195" s="73">
        <f t="shared" si="86"/>
        <v>43738</v>
      </c>
      <c r="E195" s="72">
        <f t="shared" si="83"/>
        <v>92</v>
      </c>
      <c r="F195" s="74">
        <f>VLOOKUP(D195,'FERC Interest Rate'!$A:$B,2,TRUE)</f>
        <v>5.5E-2</v>
      </c>
      <c r="G195" s="75">
        <f t="shared" si="84"/>
        <v>1473.3792749454724</v>
      </c>
      <c r="H195" s="75">
        <v>0</v>
      </c>
      <c r="I195" s="99">
        <f t="shared" si="90"/>
        <v>14.3087873110894</v>
      </c>
      <c r="J195" s="76">
        <f t="shared" si="88"/>
        <v>20.425477071846824</v>
      </c>
      <c r="K195" s="116">
        <f t="shared" si="79"/>
        <v>34.734264382936225</v>
      </c>
      <c r="L195" s="76">
        <f t="shared" si="89"/>
        <v>196.1739662525496</v>
      </c>
      <c r="M195" s="117">
        <f t="shared" si="80"/>
        <v>230.90823063548584</v>
      </c>
      <c r="N195" s="8">
        <f t="shared" si="81"/>
        <v>1493.8047520173193</v>
      </c>
      <c r="O195" s="75">
        <f t="shared" si="82"/>
        <v>1262.8965213818333</v>
      </c>
    </row>
    <row r="196" spans="1:15" x14ac:dyDescent="0.25">
      <c r="A196" s="78" t="s">
        <v>66</v>
      </c>
      <c r="B196" s="72" t="str">
        <f t="shared" si="87"/>
        <v>Q4/2019</v>
      </c>
      <c r="C196" s="73">
        <f t="shared" si="85"/>
        <v>43739</v>
      </c>
      <c r="D196" s="73">
        <f t="shared" si="86"/>
        <v>43830</v>
      </c>
      <c r="E196" s="72">
        <f t="shared" si="83"/>
        <v>92</v>
      </c>
      <c r="F196" s="74">
        <f>VLOOKUP(D196,'FERC Interest Rate'!$A:$B,2,TRUE)</f>
        <v>5.4199999999999998E-2</v>
      </c>
      <c r="G196" s="75">
        <f t="shared" si="84"/>
        <v>1262.8965213818333</v>
      </c>
      <c r="H196" s="75">
        <v>0</v>
      </c>
      <c r="I196" s="99">
        <f t="shared" si="90"/>
        <v>14.3087873110894</v>
      </c>
      <c r="J196" s="76">
        <f t="shared" si="88"/>
        <v>17.252896477310614</v>
      </c>
      <c r="K196" s="116">
        <f t="shared" si="79"/>
        <v>31.561683788400014</v>
      </c>
      <c r="L196" s="76">
        <f t="shared" si="89"/>
        <v>196.1739662525496</v>
      </c>
      <c r="M196" s="117">
        <f t="shared" si="80"/>
        <v>227.73565004094962</v>
      </c>
      <c r="N196" s="8">
        <f t="shared" si="81"/>
        <v>1280.1494178591438</v>
      </c>
      <c r="O196" s="75">
        <f t="shared" si="82"/>
        <v>1052.4137678181942</v>
      </c>
    </row>
    <row r="197" spans="1:15" x14ac:dyDescent="0.25">
      <c r="A197" s="78" t="s">
        <v>67</v>
      </c>
      <c r="B197" s="72" t="str">
        <f t="shared" si="87"/>
        <v>Q1/2020</v>
      </c>
      <c r="C197" s="73">
        <f t="shared" si="85"/>
        <v>43831</v>
      </c>
      <c r="D197" s="73">
        <f t="shared" si="86"/>
        <v>43921</v>
      </c>
      <c r="E197" s="72">
        <f t="shared" si="83"/>
        <v>91</v>
      </c>
      <c r="F197" s="74">
        <f>VLOOKUP(D197,'FERC Interest Rate'!$A:$B,2,TRUE)</f>
        <v>4.9599999999999998E-2</v>
      </c>
      <c r="G197" s="75">
        <f t="shared" si="84"/>
        <v>1052.4137678181942</v>
      </c>
      <c r="H197" s="75">
        <v>0</v>
      </c>
      <c r="I197" s="99">
        <f t="shared" si="90"/>
        <v>14.3087873110894</v>
      </c>
      <c r="J197" s="76">
        <f t="shared" si="88"/>
        <v>12.978619624109838</v>
      </c>
      <c r="K197" s="116">
        <f t="shared" si="79"/>
        <v>27.287406935199236</v>
      </c>
      <c r="L197" s="76">
        <f t="shared" si="89"/>
        <v>196.1739662525496</v>
      </c>
      <c r="M197" s="117">
        <f t="shared" si="80"/>
        <v>223.46137318774885</v>
      </c>
      <c r="N197" s="8">
        <f t="shared" si="81"/>
        <v>1065.392387442304</v>
      </c>
      <c r="O197" s="75">
        <f t="shared" si="82"/>
        <v>841.93101425455518</v>
      </c>
    </row>
    <row r="198" spans="1:15" x14ac:dyDescent="0.25">
      <c r="A198" s="78" t="s">
        <v>68</v>
      </c>
      <c r="B198" s="72" t="str">
        <f t="shared" si="87"/>
        <v>Q2/2020</v>
      </c>
      <c r="C198" s="73">
        <f t="shared" si="85"/>
        <v>43922</v>
      </c>
      <c r="D198" s="73">
        <f t="shared" si="86"/>
        <v>44012</v>
      </c>
      <c r="E198" s="72">
        <f t="shared" si="83"/>
        <v>91</v>
      </c>
      <c r="F198" s="74">
        <f>VLOOKUP(D198,'FERC Interest Rate'!$A:$B,2,TRUE)</f>
        <v>4.7503500000000004E-2</v>
      </c>
      <c r="G198" s="75">
        <f t="shared" si="84"/>
        <v>841.93101425455518</v>
      </c>
      <c r="H198" s="75">
        <v>0</v>
      </c>
      <c r="I198" s="99">
        <f t="shared" si="90"/>
        <v>14.3087873110894</v>
      </c>
      <c r="J198" s="76">
        <f t="shared" si="88"/>
        <v>9.9440299566758323</v>
      </c>
      <c r="K198" s="116">
        <f t="shared" si="79"/>
        <v>24.252817267765231</v>
      </c>
      <c r="L198" s="76">
        <f t="shared" si="89"/>
        <v>196.1739662525496</v>
      </c>
      <c r="M198" s="117">
        <f t="shared" si="80"/>
        <v>220.42678352031484</v>
      </c>
      <c r="N198" s="8">
        <f t="shared" si="81"/>
        <v>851.87504421123106</v>
      </c>
      <c r="O198" s="75">
        <f t="shared" si="82"/>
        <v>631.44826069091619</v>
      </c>
    </row>
    <row r="199" spans="1:15" x14ac:dyDescent="0.25">
      <c r="A199" s="78" t="s">
        <v>69</v>
      </c>
      <c r="B199" s="72" t="str">
        <f>+IF(MONTH(C199)&lt;4,"Q1",IF(MONTH(C199)&lt;7,"Q2",IF(MONTH(C199)&lt;10,"Q3","Q4")))&amp;"/"&amp;YEAR(C199)</f>
        <v>Q3/2020</v>
      </c>
      <c r="C199" s="73">
        <f t="shared" si="85"/>
        <v>44013</v>
      </c>
      <c r="D199" s="73">
        <f t="shared" si="86"/>
        <v>44104</v>
      </c>
      <c r="E199" s="72">
        <f t="shared" si="83"/>
        <v>92</v>
      </c>
      <c r="F199" s="74">
        <f>VLOOKUP(D199,'FERC Interest Rate'!$A:$B,2,TRUE)</f>
        <v>4.7507929999999997E-2</v>
      </c>
      <c r="G199" s="75">
        <f t="shared" si="84"/>
        <v>631.44826069091619</v>
      </c>
      <c r="H199" s="75">
        <v>0</v>
      </c>
      <c r="I199" s="99">
        <f t="shared" si="90"/>
        <v>14.3087873110894</v>
      </c>
      <c r="J199" s="76">
        <f t="shared" si="88"/>
        <v>7.5406819087769756</v>
      </c>
      <c r="K199" s="116">
        <f t="shared" si="79"/>
        <v>21.849469219866375</v>
      </c>
      <c r="L199" s="76">
        <f t="shared" si="89"/>
        <v>196.1739662525496</v>
      </c>
      <c r="M199" s="117">
        <f t="shared" si="80"/>
        <v>218.02343547241597</v>
      </c>
      <c r="N199" s="8">
        <f t="shared" si="81"/>
        <v>638.98894259969313</v>
      </c>
      <c r="O199" s="75">
        <f t="shared" si="82"/>
        <v>420.96550712727719</v>
      </c>
    </row>
    <row r="200" spans="1:15" x14ac:dyDescent="0.25">
      <c r="A200" s="78" t="s">
        <v>70</v>
      </c>
      <c r="B200" s="72" t="str">
        <f>+IF(MONTH(C200)&lt;4,"Q1",IF(MONTH(C200)&lt;7,"Q2",IF(MONTH(C200)&lt;10,"Q3","Q4")))&amp;"/"&amp;YEAR(C200)</f>
        <v>Q4/2020</v>
      </c>
      <c r="C200" s="73">
        <f t="shared" si="85"/>
        <v>44105</v>
      </c>
      <c r="D200" s="73">
        <f t="shared" si="86"/>
        <v>44196</v>
      </c>
      <c r="E200" s="72">
        <f t="shared" si="83"/>
        <v>92</v>
      </c>
      <c r="F200" s="74">
        <f>VLOOKUP(D200,'FERC Interest Rate'!$A:$B,2,TRUE)</f>
        <v>4.7922320000000004E-2</v>
      </c>
      <c r="G200" s="75">
        <f t="shared" si="84"/>
        <v>420.96550712727719</v>
      </c>
      <c r="H200" s="75">
        <v>0</v>
      </c>
      <c r="I200" s="99">
        <f t="shared" si="90"/>
        <v>14.3087873110894</v>
      </c>
      <c r="J200" s="76">
        <f t="shared" si="88"/>
        <v>5.0709705579766142</v>
      </c>
      <c r="K200" s="116">
        <f t="shared" si="79"/>
        <v>19.379757869066015</v>
      </c>
      <c r="L200" s="76">
        <f t="shared" si="89"/>
        <v>196.1739662525496</v>
      </c>
      <c r="M200" s="117">
        <f t="shared" si="80"/>
        <v>215.55372412161563</v>
      </c>
      <c r="N200" s="8">
        <f t="shared" si="81"/>
        <v>426.03647768525383</v>
      </c>
      <c r="O200" s="75">
        <f t="shared" si="82"/>
        <v>210.4827535636382</v>
      </c>
    </row>
    <row r="201" spans="1:15" x14ac:dyDescent="0.25">
      <c r="A201" s="78" t="s">
        <v>71</v>
      </c>
      <c r="B201" s="72" t="str">
        <f>+IF(MONTH(C201)&lt;4,"Q1",IF(MONTH(C201)&lt;7,"Q2",IF(MONTH(C201)&lt;10,"Q3","Q4")))&amp;"/"&amp;YEAR(C201)</f>
        <v>Q1/2021</v>
      </c>
      <c r="C201" s="73">
        <f t="shared" si="85"/>
        <v>44197</v>
      </c>
      <c r="D201" s="73">
        <f t="shared" si="86"/>
        <v>44286</v>
      </c>
      <c r="E201" s="72">
        <f t="shared" si="83"/>
        <v>90</v>
      </c>
      <c r="F201" s="74">
        <f>VLOOKUP(D201,'FERC Interest Rate'!$A:$B,2,TRUE)</f>
        <v>5.0023470000000007E-2</v>
      </c>
      <c r="G201" s="75">
        <f t="shared" si="84"/>
        <v>210.4827535636382</v>
      </c>
      <c r="H201" s="75">
        <v>0</v>
      </c>
      <c r="I201" s="99">
        <f t="shared" si="90"/>
        <v>14.3087873110894</v>
      </c>
      <c r="J201" s="76">
        <f t="shared" si="88"/>
        <v>2.5962109417992449</v>
      </c>
      <c r="K201" s="116">
        <f t="shared" si="79"/>
        <v>16.904998252888646</v>
      </c>
      <c r="L201" s="76">
        <f t="shared" si="89"/>
        <v>196.1739662525496</v>
      </c>
      <c r="M201" s="117">
        <f t="shared" si="80"/>
        <v>213.07896450543825</v>
      </c>
      <c r="N201" s="8">
        <f t="shared" si="81"/>
        <v>213.07896450543745</v>
      </c>
      <c r="O201" s="75">
        <f t="shared" si="82"/>
        <v>-8.0646600508771371E-13</v>
      </c>
    </row>
    <row r="202" spans="1:15" x14ac:dyDescent="0.25">
      <c r="A202" s="78"/>
      <c r="B202" s="72"/>
      <c r="C202" s="73"/>
      <c r="D202" s="73"/>
      <c r="E202" s="72"/>
      <c r="F202" s="74"/>
      <c r="G202" s="75"/>
      <c r="H202" s="75"/>
      <c r="I202" s="99"/>
      <c r="J202" s="76"/>
      <c r="K202" s="116"/>
      <c r="L202" s="76"/>
      <c r="M202" s="117"/>
      <c r="N202" s="8"/>
      <c r="O202" s="75"/>
    </row>
    <row r="203" spans="1:15" ht="13.5" thickBot="1" x14ac:dyDescent="0.35">
      <c r="A203" s="142"/>
      <c r="B203" s="143"/>
      <c r="C203" s="144"/>
      <c r="D203" s="144"/>
      <c r="E203" s="145"/>
      <c r="F203" s="143"/>
      <c r="G203" s="127">
        <f t="shared" ref="G203:O203" si="91">+SUM(G177:G202)</f>
        <v>64966.436197990362</v>
      </c>
      <c r="H203" s="127">
        <f t="shared" si="91"/>
        <v>286.17574622178802</v>
      </c>
      <c r="I203" s="128">
        <f t="shared" si="91"/>
        <v>286.17574622178796</v>
      </c>
      <c r="J203" s="127">
        <f t="shared" si="91"/>
        <v>363.34421699906352</v>
      </c>
      <c r="K203" s="127">
        <f t="shared" si="91"/>
        <v>649.51996322085131</v>
      </c>
      <c r="L203" s="127">
        <f t="shared" si="91"/>
        <v>3923.4793250509933</v>
      </c>
      <c r="M203" s="129">
        <f t="shared" si="91"/>
        <v>4572.9992882718434</v>
      </c>
      <c r="N203" s="127">
        <f t="shared" si="91"/>
        <v>65615.95616121123</v>
      </c>
      <c r="O203" s="127">
        <f t="shared" si="91"/>
        <v>61042.95687293938</v>
      </c>
    </row>
    <row r="204" spans="1:15" ht="13" thickTop="1" x14ac:dyDescent="0.25">
      <c r="B204" s="103"/>
      <c r="C204" s="103"/>
      <c r="D204" s="103"/>
      <c r="E204" s="103"/>
      <c r="F204" s="103"/>
      <c r="G204" s="103"/>
      <c r="H204" s="103"/>
      <c r="I204" s="102"/>
      <c r="J204" s="103"/>
      <c r="K204" s="103"/>
      <c r="L204" s="103"/>
      <c r="M204" s="118"/>
      <c r="O204" s="103"/>
    </row>
    <row r="205" spans="1:15" ht="39" x14ac:dyDescent="0.3">
      <c r="A205" s="77" t="s">
        <v>51</v>
      </c>
      <c r="B205" s="77" t="s">
        <v>3</v>
      </c>
      <c r="C205" s="77" t="s">
        <v>4</v>
      </c>
      <c r="D205" s="77" t="s">
        <v>5</v>
      </c>
      <c r="E205" s="77" t="s">
        <v>6</v>
      </c>
      <c r="F205" s="77" t="s">
        <v>7</v>
      </c>
      <c r="G205" s="77" t="s">
        <v>92</v>
      </c>
      <c r="H205" s="77" t="s">
        <v>93</v>
      </c>
      <c r="I205" s="94" t="s">
        <v>94</v>
      </c>
      <c r="J205" s="95" t="s">
        <v>95</v>
      </c>
      <c r="K205" s="95" t="s">
        <v>96</v>
      </c>
      <c r="L205" s="95" t="s">
        <v>97</v>
      </c>
      <c r="M205" s="96" t="s">
        <v>98</v>
      </c>
      <c r="N205" s="77" t="s">
        <v>99</v>
      </c>
      <c r="O205" s="77" t="s">
        <v>100</v>
      </c>
    </row>
    <row r="206" spans="1:15" ht="13" x14ac:dyDescent="0.3">
      <c r="A206" s="347" t="s">
        <v>14</v>
      </c>
      <c r="B206" s="347"/>
      <c r="C206" s="73">
        <f>VLOOKUP(B207,A$1:F$25,2,FALSE)</f>
        <v>42143</v>
      </c>
      <c r="D206" s="73">
        <f>DATE(YEAR(C206),IF(MONTH(C206)&lt;=3,3,IF(MONTH(C206)&lt;=6,6,IF(MONTH(C206)&lt;=9,9,12))),IF(OR(MONTH(C206)&lt;=3,MONTH(C206)&gt;=10),31,30))</f>
        <v>42185</v>
      </c>
      <c r="E206" s="72">
        <f>D206-C206+1</f>
        <v>43</v>
      </c>
      <c r="F206" s="74">
        <f>VLOOKUP(D206,'FERC Interest Rate'!$A:$B,2,TRUE)</f>
        <v>3.2500000000000001E-2</v>
      </c>
      <c r="G206" s="75">
        <f>VLOOKUP(B207,$A$1:$F$29,5,FALSE)</f>
        <v>2637.7044316706842</v>
      </c>
      <c r="H206" s="75">
        <f t="shared" ref="H206:H213" si="92">G206*F206*(E206/(DATE(YEAR(D206),12,31)-DATE(YEAR(D206),1,1)+1))</f>
        <v>10.099156008930906</v>
      </c>
      <c r="I206" s="180">
        <v>0</v>
      </c>
      <c r="J206" s="76">
        <v>0</v>
      </c>
      <c r="K206" s="116">
        <f t="shared" ref="K206:K229" si="93">+SUM(I206:J206)</f>
        <v>0</v>
      </c>
      <c r="L206" s="76">
        <v>0</v>
      </c>
      <c r="M206" s="117">
        <f t="shared" ref="M206:M229" si="94">+SUM(K206:L206)</f>
        <v>0</v>
      </c>
      <c r="N206" s="8">
        <f t="shared" ref="N206:N229" si="95">+G206+H206+J206</f>
        <v>2647.8035876796152</v>
      </c>
      <c r="O206" s="75">
        <f t="shared" ref="O206:O229" si="96">G206+H206-L206-I206</f>
        <v>2647.8035876796152</v>
      </c>
    </row>
    <row r="207" spans="1:15" ht="13" x14ac:dyDescent="0.3">
      <c r="A207" s="110" t="s">
        <v>40</v>
      </c>
      <c r="B207" s="141" t="s">
        <v>57</v>
      </c>
      <c r="C207" s="73">
        <f>D206+1</f>
        <v>42186</v>
      </c>
      <c r="D207" s="73">
        <f>EOMONTH(D206,3)</f>
        <v>42277</v>
      </c>
      <c r="E207" s="72">
        <f t="shared" ref="E207:E229" si="97">D207-C207+1</f>
        <v>92</v>
      </c>
      <c r="F207" s="74">
        <f>VLOOKUP(D207,'FERC Interest Rate'!$A:$B,2,TRUE)</f>
        <v>3.2500000000000001E-2</v>
      </c>
      <c r="G207" s="75">
        <f t="shared" ref="G207:G229" si="98">O206</f>
        <v>2647.8035876796152</v>
      </c>
      <c r="H207" s="75">
        <f t="shared" si="92"/>
        <v>21.690226649759044</v>
      </c>
      <c r="I207" s="180">
        <v>0</v>
      </c>
      <c r="J207" s="76">
        <v>0</v>
      </c>
      <c r="K207" s="116">
        <f t="shared" si="93"/>
        <v>0</v>
      </c>
      <c r="L207" s="76">
        <v>0</v>
      </c>
      <c r="M207" s="117">
        <f t="shared" si="94"/>
        <v>0</v>
      </c>
      <c r="N207" s="8">
        <f t="shared" si="95"/>
        <v>2669.4938143293743</v>
      </c>
      <c r="O207" s="75">
        <f t="shared" si="96"/>
        <v>2669.4938143293743</v>
      </c>
    </row>
    <row r="208" spans="1:15" ht="13" x14ac:dyDescent="0.3">
      <c r="B208" s="301"/>
      <c r="C208" s="73">
        <f t="shared" ref="C208:C229" si="99">D207+1</f>
        <v>42278</v>
      </c>
      <c r="D208" s="73">
        <f t="shared" ref="D208:D229" si="100">EOMONTH(D207,3)</f>
        <v>42369</v>
      </c>
      <c r="E208" s="72">
        <f t="shared" si="97"/>
        <v>92</v>
      </c>
      <c r="F208" s="74">
        <f>VLOOKUP(D208,'FERC Interest Rate'!$A:$B,2,TRUE)</f>
        <v>3.2500000000000001E-2</v>
      </c>
      <c r="G208" s="75">
        <f t="shared" si="98"/>
        <v>2669.4938143293743</v>
      </c>
      <c r="H208" s="75">
        <f t="shared" si="92"/>
        <v>21.867908232451587</v>
      </c>
      <c r="I208" s="180">
        <v>0</v>
      </c>
      <c r="J208" s="76">
        <v>0</v>
      </c>
      <c r="K208" s="116">
        <f t="shared" si="93"/>
        <v>0</v>
      </c>
      <c r="L208" s="76">
        <v>0</v>
      </c>
      <c r="M208" s="117">
        <f t="shared" si="94"/>
        <v>0</v>
      </c>
      <c r="N208" s="8">
        <f t="shared" si="95"/>
        <v>2691.3617225618259</v>
      </c>
      <c r="O208" s="75">
        <f t="shared" si="96"/>
        <v>2691.3617225618259</v>
      </c>
    </row>
    <row r="209" spans="1:15" ht="13" x14ac:dyDescent="0.3">
      <c r="B209" s="301"/>
      <c r="C209" s="73">
        <f t="shared" si="99"/>
        <v>42370</v>
      </c>
      <c r="D209" s="73">
        <f t="shared" si="100"/>
        <v>42460</v>
      </c>
      <c r="E209" s="72">
        <f t="shared" si="97"/>
        <v>91</v>
      </c>
      <c r="F209" s="74">
        <f>VLOOKUP(D209,'FERC Interest Rate'!$A:$B,2,TRUE)</f>
        <v>3.2500000000000001E-2</v>
      </c>
      <c r="G209" s="75">
        <f t="shared" si="98"/>
        <v>2691.3617225618259</v>
      </c>
      <c r="H209" s="75">
        <f t="shared" si="92"/>
        <v>21.747820476712022</v>
      </c>
      <c r="I209" s="180">
        <v>0</v>
      </c>
      <c r="J209" s="76">
        <v>0</v>
      </c>
      <c r="K209" s="116">
        <f t="shared" si="93"/>
        <v>0</v>
      </c>
      <c r="L209" s="76">
        <v>0</v>
      </c>
      <c r="M209" s="117">
        <f t="shared" si="94"/>
        <v>0</v>
      </c>
      <c r="N209" s="8">
        <f t="shared" si="95"/>
        <v>2713.109543038538</v>
      </c>
      <c r="O209" s="75">
        <f t="shared" si="96"/>
        <v>2713.109543038538</v>
      </c>
    </row>
    <row r="210" spans="1:15" x14ac:dyDescent="0.25">
      <c r="A210" s="78"/>
      <c r="B210" s="72"/>
      <c r="C210" s="73">
        <f t="shared" si="99"/>
        <v>42461</v>
      </c>
      <c r="D210" s="73">
        <f t="shared" si="100"/>
        <v>42551</v>
      </c>
      <c r="E210" s="72">
        <f t="shared" si="97"/>
        <v>91</v>
      </c>
      <c r="F210" s="74">
        <f>VLOOKUP(D210,'FERC Interest Rate'!$A:$B,2,TRUE)</f>
        <v>3.4599999999999999E-2</v>
      </c>
      <c r="G210" s="75">
        <f t="shared" si="98"/>
        <v>2713.109543038538</v>
      </c>
      <c r="H210" s="75">
        <f t="shared" si="92"/>
        <v>23.340154937735356</v>
      </c>
      <c r="I210" s="180">
        <v>0</v>
      </c>
      <c r="J210" s="76">
        <v>0</v>
      </c>
      <c r="K210" s="116">
        <f t="shared" si="93"/>
        <v>0</v>
      </c>
      <c r="L210" s="76">
        <v>0</v>
      </c>
      <c r="M210" s="117">
        <f t="shared" si="94"/>
        <v>0</v>
      </c>
      <c r="N210" s="8">
        <f t="shared" si="95"/>
        <v>2736.4496979762735</v>
      </c>
      <c r="O210" s="75">
        <f t="shared" si="96"/>
        <v>2736.4496979762735</v>
      </c>
    </row>
    <row r="211" spans="1:15" x14ac:dyDescent="0.25">
      <c r="A211" s="78"/>
      <c r="B211" s="72"/>
      <c r="C211" s="73">
        <f t="shared" si="99"/>
        <v>42552</v>
      </c>
      <c r="D211" s="73">
        <f t="shared" si="100"/>
        <v>42643</v>
      </c>
      <c r="E211" s="72">
        <f t="shared" si="97"/>
        <v>92</v>
      </c>
      <c r="F211" s="74">
        <f>VLOOKUP(D211,'FERC Interest Rate'!$A:$B,2,TRUE)</f>
        <v>3.5000000000000003E-2</v>
      </c>
      <c r="G211" s="75">
        <f t="shared" si="98"/>
        <v>2736.4496979762735</v>
      </c>
      <c r="H211" s="75">
        <f t="shared" si="92"/>
        <v>24.074776031375958</v>
      </c>
      <c r="I211" s="180">
        <v>0</v>
      </c>
      <c r="J211" s="76">
        <v>0</v>
      </c>
      <c r="K211" s="116">
        <f t="shared" si="93"/>
        <v>0</v>
      </c>
      <c r="L211" s="76">
        <v>0</v>
      </c>
      <c r="M211" s="117">
        <f t="shared" si="94"/>
        <v>0</v>
      </c>
      <c r="N211" s="8">
        <f t="shared" si="95"/>
        <v>2760.5244740076496</v>
      </c>
      <c r="O211" s="75">
        <f t="shared" si="96"/>
        <v>2760.5244740076496</v>
      </c>
    </row>
    <row r="212" spans="1:15" x14ac:dyDescent="0.25">
      <c r="A212" s="78"/>
      <c r="B212" s="72"/>
      <c r="C212" s="73">
        <f t="shared" si="99"/>
        <v>42644</v>
      </c>
      <c r="D212" s="73">
        <f t="shared" si="100"/>
        <v>42735</v>
      </c>
      <c r="E212" s="72">
        <f t="shared" si="97"/>
        <v>92</v>
      </c>
      <c r="F212" s="74">
        <f>VLOOKUP(D212,'FERC Interest Rate'!$A:$B,2,TRUE)</f>
        <v>3.5000000000000003E-2</v>
      </c>
      <c r="G212" s="75">
        <f t="shared" si="98"/>
        <v>2760.5244740076496</v>
      </c>
      <c r="H212" s="75">
        <f t="shared" si="92"/>
        <v>24.286581437990801</v>
      </c>
      <c r="I212" s="180">
        <v>0</v>
      </c>
      <c r="J212" s="76">
        <v>0</v>
      </c>
      <c r="K212" s="116">
        <f t="shared" si="93"/>
        <v>0</v>
      </c>
      <c r="L212" s="76">
        <v>0</v>
      </c>
      <c r="M212" s="117">
        <f t="shared" si="94"/>
        <v>0</v>
      </c>
      <c r="N212" s="8">
        <f t="shared" si="95"/>
        <v>2784.8110554456402</v>
      </c>
      <c r="O212" s="75">
        <f t="shared" si="96"/>
        <v>2784.8110554456402</v>
      </c>
    </row>
    <row r="213" spans="1:15" x14ac:dyDescent="0.25">
      <c r="A213" s="78" t="s">
        <v>101</v>
      </c>
      <c r="B213" s="72" t="str">
        <f t="shared" ref="B213:B226" si="101">+IF(MONTH(C213)&lt;4,"Q1",IF(MONTH(C213)&lt;7,"Q2",IF(MONTH(C213)&lt;10,"Q3","Q4")))&amp;"/"&amp;YEAR(C213)</f>
        <v>Q1/2017</v>
      </c>
      <c r="C213" s="73">
        <f t="shared" si="99"/>
        <v>42736</v>
      </c>
      <c r="D213" s="73">
        <f t="shared" si="100"/>
        <v>42825</v>
      </c>
      <c r="E213" s="72">
        <f t="shared" si="97"/>
        <v>90</v>
      </c>
      <c r="F213" s="74">
        <f>VLOOKUP(D213,'FERC Interest Rate'!$A:$B,2,TRUE)</f>
        <v>3.5000000000000003E-2</v>
      </c>
      <c r="G213" s="75">
        <f t="shared" si="98"/>
        <v>2784.8110554456402</v>
      </c>
      <c r="H213" s="75">
        <f t="shared" si="92"/>
        <v>24.033300889462375</v>
      </c>
      <c r="I213" s="180">
        <f>SUM($H$206:$H$230)/20*4</f>
        <v>34.227984932883615</v>
      </c>
      <c r="J213" s="76">
        <f t="shared" ref="J213:J229" si="102">G213*F213*(E213/(DATE(YEAR(D213),12,31)-DATE(YEAR(D213),1,1)+1))</f>
        <v>24.033300889462375</v>
      </c>
      <c r="K213" s="116">
        <f t="shared" si="93"/>
        <v>58.26128582234599</v>
      </c>
      <c r="L213" s="76">
        <f>VLOOKUP($B$207,A$1:F$25,5,FALSE)/20*4</f>
        <v>527.54088633413687</v>
      </c>
      <c r="M213" s="117">
        <f t="shared" si="94"/>
        <v>585.80217215648281</v>
      </c>
      <c r="N213" s="8">
        <f t="shared" si="95"/>
        <v>2832.8776572245647</v>
      </c>
      <c r="O213" s="75">
        <f t="shared" si="96"/>
        <v>2247.0754850680819</v>
      </c>
    </row>
    <row r="214" spans="1:15" x14ac:dyDescent="0.25">
      <c r="A214" s="78" t="s">
        <v>56</v>
      </c>
      <c r="B214" s="72" t="str">
        <f t="shared" si="101"/>
        <v>Q2/2017</v>
      </c>
      <c r="C214" s="73">
        <f t="shared" si="99"/>
        <v>42826</v>
      </c>
      <c r="D214" s="73">
        <f t="shared" si="100"/>
        <v>42916</v>
      </c>
      <c r="E214" s="72">
        <f t="shared" si="97"/>
        <v>91</v>
      </c>
      <c r="F214" s="74">
        <f>VLOOKUP(D214,'FERC Interest Rate'!$A:$B,2,TRUE)</f>
        <v>3.7100000000000001E-2</v>
      </c>
      <c r="G214" s="75">
        <f t="shared" si="98"/>
        <v>2247.0754850680819</v>
      </c>
      <c r="H214" s="75">
        <v>0</v>
      </c>
      <c r="I214" s="99">
        <f>SUM($H$206:$H$230)/20</f>
        <v>8.5569962332209037</v>
      </c>
      <c r="J214" s="76">
        <f t="shared" si="102"/>
        <v>20.784524781200961</v>
      </c>
      <c r="K214" s="116">
        <f t="shared" si="93"/>
        <v>29.341521014421865</v>
      </c>
      <c r="L214" s="76">
        <f t="shared" ref="L214:L229" si="103">VLOOKUP($B$207,A$1:F$25,5,FALSE)/20</f>
        <v>131.88522158353422</v>
      </c>
      <c r="M214" s="117">
        <f t="shared" si="94"/>
        <v>161.22674259795608</v>
      </c>
      <c r="N214" s="8">
        <f t="shared" si="95"/>
        <v>2267.860009849283</v>
      </c>
      <c r="O214" s="75">
        <f t="shared" si="96"/>
        <v>2106.6332672513267</v>
      </c>
    </row>
    <row r="215" spans="1:15" x14ac:dyDescent="0.25">
      <c r="A215" s="78" t="s">
        <v>57</v>
      </c>
      <c r="B215" s="72" t="str">
        <f t="shared" si="101"/>
        <v>Q3/2017</v>
      </c>
      <c r="C215" s="73">
        <f t="shared" si="99"/>
        <v>42917</v>
      </c>
      <c r="D215" s="73">
        <f t="shared" si="100"/>
        <v>43008</v>
      </c>
      <c r="E215" s="72">
        <f t="shared" si="97"/>
        <v>92</v>
      </c>
      <c r="F215" s="74">
        <f>VLOOKUP(D215,'FERC Interest Rate'!$A:$B,2,TRUE)</f>
        <v>3.9600000000000003E-2</v>
      </c>
      <c r="G215" s="75">
        <f t="shared" si="98"/>
        <v>2106.6332672513267</v>
      </c>
      <c r="H215" s="75">
        <v>0</v>
      </c>
      <c r="I215" s="99">
        <f>SUM($H$206:$H$230)/20</f>
        <v>8.5569962332209037</v>
      </c>
      <c r="J215" s="76">
        <f t="shared" si="102"/>
        <v>21.027085806164479</v>
      </c>
      <c r="K215" s="116">
        <f t="shared" si="93"/>
        <v>29.584082039385383</v>
      </c>
      <c r="L215" s="76">
        <f t="shared" si="103"/>
        <v>131.88522158353422</v>
      </c>
      <c r="M215" s="117">
        <f t="shared" si="94"/>
        <v>161.4693036229196</v>
      </c>
      <c r="N215" s="8">
        <f t="shared" si="95"/>
        <v>2127.6603530574912</v>
      </c>
      <c r="O215" s="75">
        <f t="shared" si="96"/>
        <v>1966.1910494345716</v>
      </c>
    </row>
    <row r="216" spans="1:15" x14ac:dyDescent="0.25">
      <c r="A216" s="78" t="s">
        <v>58</v>
      </c>
      <c r="B216" s="72" t="str">
        <f t="shared" si="101"/>
        <v>Q4/2017</v>
      </c>
      <c r="C216" s="73">
        <f t="shared" si="99"/>
        <v>43009</v>
      </c>
      <c r="D216" s="73">
        <f t="shared" si="100"/>
        <v>43100</v>
      </c>
      <c r="E216" s="72">
        <f t="shared" si="97"/>
        <v>92</v>
      </c>
      <c r="F216" s="74">
        <f>VLOOKUP(D216,'FERC Interest Rate'!$A:$B,2,TRUE)</f>
        <v>4.2099999999999999E-2</v>
      </c>
      <c r="G216" s="75">
        <f t="shared" si="98"/>
        <v>1966.1910494345716</v>
      </c>
      <c r="H216" s="75">
        <v>0</v>
      </c>
      <c r="I216" s="99">
        <f t="shared" ref="I216:I229" si="104">SUM($H$206:$H$230)/20</f>
        <v>8.5569962332209037</v>
      </c>
      <c r="J216" s="76">
        <f t="shared" si="102"/>
        <v>20.864249788136942</v>
      </c>
      <c r="K216" s="116">
        <f t="shared" si="93"/>
        <v>29.421246021357845</v>
      </c>
      <c r="L216" s="76">
        <f t="shared" si="103"/>
        <v>131.88522158353422</v>
      </c>
      <c r="M216" s="117">
        <f t="shared" si="94"/>
        <v>161.30646760489208</v>
      </c>
      <c r="N216" s="8">
        <f t="shared" si="95"/>
        <v>1987.0552992227085</v>
      </c>
      <c r="O216" s="75">
        <f t="shared" si="96"/>
        <v>1825.7488316178164</v>
      </c>
    </row>
    <row r="217" spans="1:15" x14ac:dyDescent="0.25">
      <c r="A217" s="78" t="s">
        <v>59</v>
      </c>
      <c r="B217" s="72" t="str">
        <f t="shared" si="101"/>
        <v>Q1/2018</v>
      </c>
      <c r="C217" s="73">
        <f t="shared" si="99"/>
        <v>43101</v>
      </c>
      <c r="D217" s="73">
        <f t="shared" si="100"/>
        <v>43190</v>
      </c>
      <c r="E217" s="72">
        <f t="shared" si="97"/>
        <v>90</v>
      </c>
      <c r="F217" s="74">
        <f>VLOOKUP(D217,'FERC Interest Rate'!$A:$B,2,TRUE)</f>
        <v>4.2500000000000003E-2</v>
      </c>
      <c r="G217" s="75">
        <f t="shared" si="98"/>
        <v>1825.7488316178164</v>
      </c>
      <c r="H217" s="75">
        <v>0</v>
      </c>
      <c r="I217" s="99">
        <f t="shared" si="104"/>
        <v>8.5569962332209037</v>
      </c>
      <c r="J217" s="76">
        <f>G217*F217*(E217/(DATE(YEAR(D217),12,31)-DATE(YEAR(D217),1,1)+1))</f>
        <v>19.132847345036023</v>
      </c>
      <c r="K217" s="116">
        <f t="shared" si="93"/>
        <v>27.689843578256927</v>
      </c>
      <c r="L217" s="76">
        <f t="shared" si="103"/>
        <v>131.88522158353422</v>
      </c>
      <c r="M217" s="117">
        <f t="shared" si="94"/>
        <v>159.57506516179114</v>
      </c>
      <c r="N217" s="8">
        <f t="shared" si="95"/>
        <v>1844.8816789628524</v>
      </c>
      <c r="O217" s="75">
        <f t="shared" si="96"/>
        <v>1685.3066138010613</v>
      </c>
    </row>
    <row r="218" spans="1:15" x14ac:dyDescent="0.25">
      <c r="A218" s="78" t="s">
        <v>60</v>
      </c>
      <c r="B218" s="72" t="str">
        <f t="shared" si="101"/>
        <v>Q2/2018</v>
      </c>
      <c r="C218" s="73">
        <f t="shared" si="99"/>
        <v>43191</v>
      </c>
      <c r="D218" s="73">
        <f t="shared" si="100"/>
        <v>43281</v>
      </c>
      <c r="E218" s="72">
        <f t="shared" si="97"/>
        <v>91</v>
      </c>
      <c r="F218" s="74">
        <f>VLOOKUP(D218,'FERC Interest Rate'!$A:$B,2,TRUE)</f>
        <v>4.4699999999999997E-2</v>
      </c>
      <c r="G218" s="75">
        <f t="shared" si="98"/>
        <v>1685.3066138010613</v>
      </c>
      <c r="H218" s="75">
        <v>0</v>
      </c>
      <c r="I218" s="99">
        <f t="shared" si="104"/>
        <v>8.5569962332209037</v>
      </c>
      <c r="J218" s="76">
        <f t="shared" si="102"/>
        <v>18.781703323174185</v>
      </c>
      <c r="K218" s="116">
        <f t="shared" si="93"/>
        <v>27.338699556395088</v>
      </c>
      <c r="L218" s="76">
        <f t="shared" si="103"/>
        <v>131.88522158353422</v>
      </c>
      <c r="M218" s="117">
        <f t="shared" si="94"/>
        <v>159.2239211399293</v>
      </c>
      <c r="N218" s="8">
        <f t="shared" si="95"/>
        <v>1704.0883171242356</v>
      </c>
      <c r="O218" s="75">
        <f t="shared" si="96"/>
        <v>1544.8643959843062</v>
      </c>
    </row>
    <row r="219" spans="1:15" x14ac:dyDescent="0.25">
      <c r="A219" s="78" t="s">
        <v>61</v>
      </c>
      <c r="B219" s="72" t="str">
        <f t="shared" si="101"/>
        <v>Q3/2018</v>
      </c>
      <c r="C219" s="73">
        <f t="shared" si="99"/>
        <v>43282</v>
      </c>
      <c r="D219" s="73">
        <f t="shared" si="100"/>
        <v>43373</v>
      </c>
      <c r="E219" s="72">
        <f t="shared" si="97"/>
        <v>92</v>
      </c>
      <c r="F219" s="74">
        <f>VLOOKUP(D219,'FERC Interest Rate'!$A:$B,2,TRUE)</f>
        <v>4.6899999999999997E-2</v>
      </c>
      <c r="G219" s="75">
        <f t="shared" si="98"/>
        <v>1544.8643959843062</v>
      </c>
      <c r="H219" s="75">
        <v>0</v>
      </c>
      <c r="I219" s="99">
        <f t="shared" si="104"/>
        <v>8.5569962332209037</v>
      </c>
      <c r="J219" s="76">
        <f t="shared" si="102"/>
        <v>18.262413413131735</v>
      </c>
      <c r="K219" s="116">
        <f t="shared" si="93"/>
        <v>26.819409646352639</v>
      </c>
      <c r="L219" s="76">
        <f t="shared" si="103"/>
        <v>131.88522158353422</v>
      </c>
      <c r="M219" s="117">
        <f t="shared" si="94"/>
        <v>158.70463122988684</v>
      </c>
      <c r="N219" s="8">
        <f t="shared" si="95"/>
        <v>1563.1268093974379</v>
      </c>
      <c r="O219" s="75">
        <f t="shared" si="96"/>
        <v>1404.422178167551</v>
      </c>
    </row>
    <row r="220" spans="1:15" x14ac:dyDescent="0.25">
      <c r="A220" s="78" t="s">
        <v>62</v>
      </c>
      <c r="B220" s="72" t="str">
        <f t="shared" si="101"/>
        <v>Q4/2018</v>
      </c>
      <c r="C220" s="73">
        <f t="shared" si="99"/>
        <v>43374</v>
      </c>
      <c r="D220" s="73">
        <f t="shared" si="100"/>
        <v>43465</v>
      </c>
      <c r="E220" s="72">
        <f t="shared" si="97"/>
        <v>92</v>
      </c>
      <c r="F220" s="74">
        <f>VLOOKUP(D220,'FERC Interest Rate'!$A:$B,2,TRUE)</f>
        <v>4.9599999999999998E-2</v>
      </c>
      <c r="G220" s="75">
        <f t="shared" si="98"/>
        <v>1404.422178167551</v>
      </c>
      <c r="H220" s="75">
        <v>0</v>
      </c>
      <c r="I220" s="99">
        <f t="shared" si="104"/>
        <v>8.5569962332209037</v>
      </c>
      <c r="J220" s="76">
        <f t="shared" si="102"/>
        <v>17.557970639490872</v>
      </c>
      <c r="K220" s="116">
        <f t="shared" si="93"/>
        <v>26.114966872711776</v>
      </c>
      <c r="L220" s="76">
        <f t="shared" si="103"/>
        <v>131.88522158353422</v>
      </c>
      <c r="M220" s="117">
        <f t="shared" si="94"/>
        <v>158.00018845624601</v>
      </c>
      <c r="N220" s="8">
        <f t="shared" si="95"/>
        <v>1421.9801488070418</v>
      </c>
      <c r="O220" s="75">
        <f t="shared" si="96"/>
        <v>1263.9799603507959</v>
      </c>
    </row>
    <row r="221" spans="1:15" x14ac:dyDescent="0.25">
      <c r="A221" s="78" t="s">
        <v>63</v>
      </c>
      <c r="B221" s="72" t="str">
        <f t="shared" si="101"/>
        <v>Q1/2019</v>
      </c>
      <c r="C221" s="73">
        <f t="shared" si="99"/>
        <v>43466</v>
      </c>
      <c r="D221" s="73">
        <f t="shared" si="100"/>
        <v>43555</v>
      </c>
      <c r="E221" s="72">
        <f t="shared" si="97"/>
        <v>90</v>
      </c>
      <c r="F221" s="74">
        <f>VLOOKUP(D221,'FERC Interest Rate'!$A:$B,2,TRUE)</f>
        <v>5.1799999999999999E-2</v>
      </c>
      <c r="G221" s="75">
        <f t="shared" si="98"/>
        <v>1263.9799603507959</v>
      </c>
      <c r="H221" s="75">
        <v>0</v>
      </c>
      <c r="I221" s="99">
        <f t="shared" si="104"/>
        <v>8.5569962332209037</v>
      </c>
      <c r="J221" s="76">
        <f t="shared" si="102"/>
        <v>16.14431390453537</v>
      </c>
      <c r="K221" s="116">
        <f t="shared" si="93"/>
        <v>24.701310137756273</v>
      </c>
      <c r="L221" s="76">
        <f t="shared" si="103"/>
        <v>131.88522158353422</v>
      </c>
      <c r="M221" s="117">
        <f t="shared" si="94"/>
        <v>156.5865317212905</v>
      </c>
      <c r="N221" s="8">
        <f t="shared" si="95"/>
        <v>1280.1242742553313</v>
      </c>
      <c r="O221" s="75">
        <f t="shared" si="96"/>
        <v>1123.5377425340407</v>
      </c>
    </row>
    <row r="222" spans="1:15" x14ac:dyDescent="0.25">
      <c r="A222" s="78" t="s">
        <v>64</v>
      </c>
      <c r="B222" s="72" t="str">
        <f t="shared" si="101"/>
        <v>Q2/2019</v>
      </c>
      <c r="C222" s="73">
        <f t="shared" si="99"/>
        <v>43556</v>
      </c>
      <c r="D222" s="73">
        <f t="shared" si="100"/>
        <v>43646</v>
      </c>
      <c r="E222" s="72">
        <f t="shared" si="97"/>
        <v>91</v>
      </c>
      <c r="F222" s="74">
        <f>VLOOKUP(D222,'FERC Interest Rate'!$A:$B,2,TRUE)</f>
        <v>5.45E-2</v>
      </c>
      <c r="G222" s="75">
        <f t="shared" si="98"/>
        <v>1123.5377425340407</v>
      </c>
      <c r="H222" s="75">
        <v>0</v>
      </c>
      <c r="I222" s="99">
        <f t="shared" si="104"/>
        <v>8.5569962332209037</v>
      </c>
      <c r="J222" s="76">
        <f t="shared" si="102"/>
        <v>15.266261463281026</v>
      </c>
      <c r="K222" s="116">
        <f t="shared" si="93"/>
        <v>23.82325769650193</v>
      </c>
      <c r="L222" s="76">
        <f t="shared" si="103"/>
        <v>131.88522158353422</v>
      </c>
      <c r="M222" s="117">
        <f t="shared" si="94"/>
        <v>155.70847928003616</v>
      </c>
      <c r="N222" s="8">
        <f t="shared" si="95"/>
        <v>1138.8040039973218</v>
      </c>
      <c r="O222" s="75">
        <f t="shared" si="96"/>
        <v>983.09552471728557</v>
      </c>
    </row>
    <row r="223" spans="1:15" x14ac:dyDescent="0.25">
      <c r="A223" s="78" t="s">
        <v>65</v>
      </c>
      <c r="B223" s="72" t="str">
        <f t="shared" si="101"/>
        <v>Q3/2019</v>
      </c>
      <c r="C223" s="73">
        <f t="shared" si="99"/>
        <v>43647</v>
      </c>
      <c r="D223" s="73">
        <f t="shared" si="100"/>
        <v>43738</v>
      </c>
      <c r="E223" s="72">
        <f t="shared" si="97"/>
        <v>92</v>
      </c>
      <c r="F223" s="74">
        <f>VLOOKUP(D223,'FERC Interest Rate'!$A:$B,2,TRUE)</f>
        <v>5.5E-2</v>
      </c>
      <c r="G223" s="75">
        <f t="shared" si="98"/>
        <v>983.09552471728557</v>
      </c>
      <c r="H223" s="75">
        <v>0</v>
      </c>
      <c r="I223" s="99">
        <f t="shared" si="104"/>
        <v>8.5569962332209037</v>
      </c>
      <c r="J223" s="76">
        <f t="shared" si="102"/>
        <v>13.628666726217714</v>
      </c>
      <c r="K223" s="116">
        <f t="shared" si="93"/>
        <v>22.185662959438616</v>
      </c>
      <c r="L223" s="76">
        <f t="shared" si="103"/>
        <v>131.88522158353422</v>
      </c>
      <c r="M223" s="117">
        <f t="shared" si="94"/>
        <v>154.07088454297283</v>
      </c>
      <c r="N223" s="8">
        <f t="shared" si="95"/>
        <v>996.72419144350329</v>
      </c>
      <c r="O223" s="75">
        <f t="shared" si="96"/>
        <v>842.65330690053042</v>
      </c>
    </row>
    <row r="224" spans="1:15" x14ac:dyDescent="0.25">
      <c r="A224" s="78" t="s">
        <v>66</v>
      </c>
      <c r="B224" s="72" t="str">
        <f t="shared" si="101"/>
        <v>Q4/2019</v>
      </c>
      <c r="C224" s="73">
        <f t="shared" si="99"/>
        <v>43739</v>
      </c>
      <c r="D224" s="73">
        <f t="shared" si="100"/>
        <v>43830</v>
      </c>
      <c r="E224" s="72">
        <f t="shared" si="97"/>
        <v>92</v>
      </c>
      <c r="F224" s="74">
        <f>VLOOKUP(D224,'FERC Interest Rate'!$A:$B,2,TRUE)</f>
        <v>5.4199999999999998E-2</v>
      </c>
      <c r="G224" s="75">
        <f t="shared" si="98"/>
        <v>842.65330690053042</v>
      </c>
      <c r="H224" s="75">
        <v>0</v>
      </c>
      <c r="I224" s="99">
        <f t="shared" si="104"/>
        <v>8.5569962332209037</v>
      </c>
      <c r="J224" s="76">
        <f t="shared" si="102"/>
        <v>11.511798491859739</v>
      </c>
      <c r="K224" s="116">
        <f t="shared" si="93"/>
        <v>20.068794725080643</v>
      </c>
      <c r="L224" s="76">
        <f t="shared" si="103"/>
        <v>131.88522158353422</v>
      </c>
      <c r="M224" s="117">
        <f t="shared" si="94"/>
        <v>151.95401630861485</v>
      </c>
      <c r="N224" s="8">
        <f t="shared" si="95"/>
        <v>854.16510539239016</v>
      </c>
      <c r="O224" s="75">
        <f t="shared" si="96"/>
        <v>702.21108908377528</v>
      </c>
    </row>
    <row r="225" spans="1:15" x14ac:dyDescent="0.25">
      <c r="A225" s="78" t="s">
        <v>67</v>
      </c>
      <c r="B225" s="72" t="str">
        <f t="shared" si="101"/>
        <v>Q1/2020</v>
      </c>
      <c r="C225" s="73">
        <f t="shared" si="99"/>
        <v>43831</v>
      </c>
      <c r="D225" s="73">
        <f t="shared" si="100"/>
        <v>43921</v>
      </c>
      <c r="E225" s="72">
        <f t="shared" si="97"/>
        <v>91</v>
      </c>
      <c r="F225" s="74">
        <f>VLOOKUP(D225,'FERC Interest Rate'!$A:$B,2,TRUE)</f>
        <v>4.9599999999999998E-2</v>
      </c>
      <c r="G225" s="75">
        <f t="shared" si="98"/>
        <v>702.21108908377528</v>
      </c>
      <c r="H225" s="75">
        <v>0</v>
      </c>
      <c r="I225" s="99">
        <f t="shared" si="104"/>
        <v>8.5569962332209037</v>
      </c>
      <c r="J225" s="76">
        <f t="shared" si="102"/>
        <v>8.6598359882200224</v>
      </c>
      <c r="K225" s="116">
        <f t="shared" si="93"/>
        <v>17.216832221440924</v>
      </c>
      <c r="L225" s="76">
        <f t="shared" si="103"/>
        <v>131.88522158353422</v>
      </c>
      <c r="M225" s="117">
        <f t="shared" si="94"/>
        <v>149.10205380497513</v>
      </c>
      <c r="N225" s="8">
        <f t="shared" si="95"/>
        <v>710.87092507199532</v>
      </c>
      <c r="O225" s="75">
        <f t="shared" si="96"/>
        <v>561.76887126702013</v>
      </c>
    </row>
    <row r="226" spans="1:15" x14ac:dyDescent="0.25">
      <c r="A226" s="78" t="s">
        <v>68</v>
      </c>
      <c r="B226" s="72" t="str">
        <f t="shared" si="101"/>
        <v>Q2/2020</v>
      </c>
      <c r="C226" s="73">
        <f t="shared" si="99"/>
        <v>43922</v>
      </c>
      <c r="D226" s="73">
        <f t="shared" si="100"/>
        <v>44012</v>
      </c>
      <c r="E226" s="72">
        <f t="shared" si="97"/>
        <v>91</v>
      </c>
      <c r="F226" s="74">
        <f>VLOOKUP(D226,'FERC Interest Rate'!$A:$B,2,TRUE)</f>
        <v>4.7503500000000004E-2</v>
      </c>
      <c r="G226" s="75">
        <f t="shared" si="98"/>
        <v>561.76887126702013</v>
      </c>
      <c r="H226" s="75">
        <v>0</v>
      </c>
      <c r="I226" s="99">
        <f t="shared" si="104"/>
        <v>8.5569962332209037</v>
      </c>
      <c r="J226" s="76">
        <f t="shared" si="102"/>
        <v>6.6350406268775775</v>
      </c>
      <c r="K226" s="116">
        <f t="shared" si="93"/>
        <v>15.192036860098481</v>
      </c>
      <c r="L226" s="76">
        <f t="shared" si="103"/>
        <v>131.88522158353422</v>
      </c>
      <c r="M226" s="117">
        <f t="shared" si="94"/>
        <v>147.0772584436327</v>
      </c>
      <c r="N226" s="8">
        <f t="shared" si="95"/>
        <v>568.40391189389766</v>
      </c>
      <c r="O226" s="75">
        <f t="shared" si="96"/>
        <v>421.32665345026504</v>
      </c>
    </row>
    <row r="227" spans="1:15" x14ac:dyDescent="0.25">
      <c r="A227" s="78" t="s">
        <v>69</v>
      </c>
      <c r="B227" s="72" t="str">
        <f>+IF(MONTH(C227)&lt;4,"Q1",IF(MONTH(C227)&lt;7,"Q2",IF(MONTH(C227)&lt;10,"Q3","Q4")))&amp;"/"&amp;YEAR(C227)</f>
        <v>Q3/2020</v>
      </c>
      <c r="C227" s="73">
        <f t="shared" si="99"/>
        <v>44013</v>
      </c>
      <c r="D227" s="73">
        <f t="shared" si="100"/>
        <v>44104</v>
      </c>
      <c r="E227" s="72">
        <f t="shared" si="97"/>
        <v>92</v>
      </c>
      <c r="F227" s="74">
        <f>VLOOKUP(D227,'FERC Interest Rate'!$A:$B,2,TRUE)</f>
        <v>4.7507929999999997E-2</v>
      </c>
      <c r="G227" s="75">
        <f t="shared" si="98"/>
        <v>421.32665345026504</v>
      </c>
      <c r="H227" s="75">
        <v>0</v>
      </c>
      <c r="I227" s="99">
        <f t="shared" si="104"/>
        <v>8.5569962332209037</v>
      </c>
      <c r="J227" s="76">
        <f t="shared" si="102"/>
        <v>5.0314340400299162</v>
      </c>
      <c r="K227" s="116">
        <f t="shared" si="93"/>
        <v>13.58843027325082</v>
      </c>
      <c r="L227" s="76">
        <f t="shared" si="103"/>
        <v>131.88522158353422</v>
      </c>
      <c r="M227" s="117">
        <f t="shared" si="94"/>
        <v>145.47365185678504</v>
      </c>
      <c r="N227" s="8">
        <f t="shared" si="95"/>
        <v>426.35808749029496</v>
      </c>
      <c r="O227" s="75">
        <f t="shared" si="96"/>
        <v>280.8844356335099</v>
      </c>
    </row>
    <row r="228" spans="1:15" x14ac:dyDescent="0.25">
      <c r="A228" s="78" t="s">
        <v>70</v>
      </c>
      <c r="B228" s="72" t="str">
        <f>+IF(MONTH(C228)&lt;4,"Q1",IF(MONTH(C228)&lt;7,"Q2",IF(MONTH(C228)&lt;10,"Q3","Q4")))&amp;"/"&amp;YEAR(C228)</f>
        <v>Q4/2020</v>
      </c>
      <c r="C228" s="73">
        <f t="shared" si="99"/>
        <v>44105</v>
      </c>
      <c r="D228" s="73">
        <f t="shared" si="100"/>
        <v>44196</v>
      </c>
      <c r="E228" s="72">
        <f t="shared" si="97"/>
        <v>92</v>
      </c>
      <c r="F228" s="74">
        <f>VLOOKUP(D228,'FERC Interest Rate'!$A:$B,2,TRUE)</f>
        <v>4.7922320000000004E-2</v>
      </c>
      <c r="G228" s="75">
        <f t="shared" si="98"/>
        <v>280.8844356335099</v>
      </c>
      <c r="H228" s="75">
        <v>0</v>
      </c>
      <c r="I228" s="99">
        <f t="shared" si="104"/>
        <v>8.5569962332209037</v>
      </c>
      <c r="J228" s="76">
        <f t="shared" si="102"/>
        <v>3.3835472958613626</v>
      </c>
      <c r="K228" s="116">
        <f t="shared" si="93"/>
        <v>11.940543529082266</v>
      </c>
      <c r="L228" s="76">
        <f t="shared" si="103"/>
        <v>131.88522158353422</v>
      </c>
      <c r="M228" s="117">
        <f t="shared" si="94"/>
        <v>143.82576511261649</v>
      </c>
      <c r="N228" s="8">
        <f t="shared" si="95"/>
        <v>284.26798292937127</v>
      </c>
      <c r="O228" s="75">
        <f t="shared" si="96"/>
        <v>140.44221781675478</v>
      </c>
    </row>
    <row r="229" spans="1:15" x14ac:dyDescent="0.25">
      <c r="A229" s="78" t="s">
        <v>71</v>
      </c>
      <c r="B229" s="72" t="str">
        <f>+IF(MONTH(C229)&lt;4,"Q1",IF(MONTH(C229)&lt;7,"Q2",IF(MONTH(C229)&lt;10,"Q3","Q4")))&amp;"/"&amp;YEAR(C229)</f>
        <v>Q1/2021</v>
      </c>
      <c r="C229" s="73">
        <f t="shared" si="99"/>
        <v>44197</v>
      </c>
      <c r="D229" s="73">
        <f t="shared" si="100"/>
        <v>44286</v>
      </c>
      <c r="E229" s="72">
        <f t="shared" si="97"/>
        <v>90</v>
      </c>
      <c r="F229" s="74">
        <f>VLOOKUP(D229,'FERC Interest Rate'!$A:$B,2,TRUE)</f>
        <v>5.0023470000000007E-2</v>
      </c>
      <c r="G229" s="75">
        <f t="shared" si="98"/>
        <v>140.44221781675478</v>
      </c>
      <c r="H229" s="75">
        <v>0</v>
      </c>
      <c r="I229" s="99">
        <f t="shared" si="104"/>
        <v>8.5569962332209037</v>
      </c>
      <c r="J229" s="76">
        <f t="shared" si="102"/>
        <v>1.732292154170112</v>
      </c>
      <c r="K229" s="116">
        <f t="shared" si="93"/>
        <v>10.289288387391016</v>
      </c>
      <c r="L229" s="76">
        <f t="shared" si="103"/>
        <v>131.88522158353422</v>
      </c>
      <c r="M229" s="117">
        <f t="shared" si="94"/>
        <v>142.17450997092524</v>
      </c>
      <c r="N229" s="8">
        <f t="shared" si="95"/>
        <v>142.1745099709249</v>
      </c>
      <c r="O229" s="75">
        <f t="shared" si="96"/>
        <v>-3.4461322684364859E-13</v>
      </c>
    </row>
    <row r="230" spans="1:15" x14ac:dyDescent="0.25">
      <c r="A230" s="78"/>
      <c r="B230" s="72"/>
      <c r="C230" s="73"/>
      <c r="D230" s="73"/>
      <c r="E230" s="72"/>
      <c r="F230" s="74"/>
      <c r="G230" s="75"/>
      <c r="H230" s="75"/>
      <c r="I230" s="99"/>
      <c r="J230" s="76"/>
      <c r="K230" s="116"/>
      <c r="L230" s="76"/>
      <c r="M230" s="117"/>
      <c r="N230" s="8"/>
      <c r="O230" s="75"/>
    </row>
    <row r="231" spans="1:15" ht="13.5" thickBot="1" x14ac:dyDescent="0.35">
      <c r="A231" s="142"/>
      <c r="B231" s="143"/>
      <c r="C231" s="144"/>
      <c r="D231" s="144"/>
      <c r="E231" s="145"/>
      <c r="F231" s="143"/>
      <c r="G231" s="127">
        <f t="shared" ref="G231:O231" si="105">+SUM(G206:G230)</f>
        <v>40741.399949788283</v>
      </c>
      <c r="H231" s="127">
        <f t="shared" si="105"/>
        <v>171.13992466441806</v>
      </c>
      <c r="I231" s="128">
        <f t="shared" si="105"/>
        <v>171.13992466441803</v>
      </c>
      <c r="J231" s="127">
        <f t="shared" si="105"/>
        <v>242.43728667685045</v>
      </c>
      <c r="K231" s="127">
        <f t="shared" si="105"/>
        <v>413.57721134126848</v>
      </c>
      <c r="L231" s="127">
        <f t="shared" si="105"/>
        <v>2637.7044316706842</v>
      </c>
      <c r="M231" s="129">
        <f t="shared" si="105"/>
        <v>3051.2816430119528</v>
      </c>
      <c r="N231" s="127">
        <f t="shared" si="105"/>
        <v>41154.977161129558</v>
      </c>
      <c r="O231" s="127">
        <f t="shared" si="105"/>
        <v>38103.695518117602</v>
      </c>
    </row>
    <row r="232" spans="1:15" ht="13" thickTop="1" x14ac:dyDescent="0.25">
      <c r="B232" s="103"/>
      <c r="C232" s="103"/>
      <c r="D232" s="103"/>
      <c r="E232" s="103"/>
      <c r="F232" s="103"/>
      <c r="G232" s="103"/>
      <c r="H232" s="103"/>
      <c r="I232" s="102"/>
      <c r="J232" s="103"/>
      <c r="K232" s="103"/>
      <c r="L232" s="103"/>
      <c r="M232" s="118"/>
      <c r="O232" s="103"/>
    </row>
    <row r="233" spans="1:15" ht="39" x14ac:dyDescent="0.3">
      <c r="A233" s="77" t="s">
        <v>51</v>
      </c>
      <c r="B233" s="77" t="s">
        <v>3</v>
      </c>
      <c r="C233" s="77" t="s">
        <v>4</v>
      </c>
      <c r="D233" s="77" t="s">
        <v>5</v>
      </c>
      <c r="E233" s="77" t="s">
        <v>6</v>
      </c>
      <c r="F233" s="77" t="s">
        <v>7</v>
      </c>
      <c r="G233" s="77" t="s">
        <v>92</v>
      </c>
      <c r="H233" s="77" t="s">
        <v>93</v>
      </c>
      <c r="I233" s="94" t="s">
        <v>94</v>
      </c>
      <c r="J233" s="95" t="s">
        <v>95</v>
      </c>
      <c r="K233" s="95" t="s">
        <v>96</v>
      </c>
      <c r="L233" s="95" t="s">
        <v>97</v>
      </c>
      <c r="M233" s="96" t="s">
        <v>98</v>
      </c>
      <c r="N233" s="77" t="s">
        <v>99</v>
      </c>
      <c r="O233" s="77" t="s">
        <v>100</v>
      </c>
    </row>
    <row r="234" spans="1:15" ht="13" x14ac:dyDescent="0.3">
      <c r="A234" s="347" t="s">
        <v>14</v>
      </c>
      <c r="B234" s="347"/>
      <c r="C234" s="73">
        <f>VLOOKUP(B235,A$1:F$25,2,FALSE)</f>
        <v>42242</v>
      </c>
      <c r="D234" s="73">
        <f>DATE(YEAR(C234),IF(MONTH(C234)&lt;=3,3,IF(MONTH(C234)&lt;=6,6,IF(MONTH(C234)&lt;=9,9,12))),IF(OR(MONTH(C234)&lt;=3,MONTH(C234)&gt;=10),31,30))</f>
        <v>42277</v>
      </c>
      <c r="E234" s="72">
        <f>D234-C234+1</f>
        <v>36</v>
      </c>
      <c r="F234" s="74">
        <f>VLOOKUP(D234,'FERC Interest Rate'!$A:$B,2,TRUE)</f>
        <v>3.2500000000000001E-2</v>
      </c>
      <c r="G234" s="75">
        <f>VLOOKUP(B235,$A$1:$F$29,5,FALSE)</f>
        <v>1397.7289078435008</v>
      </c>
      <c r="H234" s="75">
        <f t="shared" ref="H234:H240" si="106">G234*F234*(E234/(DATE(YEAR(D234),12,31)-DATE(YEAR(D234),1,1)+1))</f>
        <v>4.4803912936353312</v>
      </c>
      <c r="I234" s="180">
        <v>0</v>
      </c>
      <c r="J234" s="76">
        <v>0</v>
      </c>
      <c r="K234" s="116">
        <f t="shared" ref="K234:K256" si="107">+SUM(I234:J234)</f>
        <v>0</v>
      </c>
      <c r="L234" s="76">
        <v>0</v>
      </c>
      <c r="M234" s="117">
        <f t="shared" ref="M234:M256" si="108">+SUM(K234:L234)</f>
        <v>0</v>
      </c>
      <c r="N234" s="8">
        <f t="shared" ref="N234:N256" si="109">+G234+H234+J234</f>
        <v>1402.2092991371362</v>
      </c>
      <c r="O234" s="75">
        <f t="shared" ref="O234:O256" si="110">G234+H234-L234-I234</f>
        <v>1402.2092991371362</v>
      </c>
    </row>
    <row r="235" spans="1:15" ht="13" x14ac:dyDescent="0.3">
      <c r="A235" s="110" t="s">
        <v>40</v>
      </c>
      <c r="B235" s="141" t="s">
        <v>58</v>
      </c>
      <c r="C235" s="73">
        <f>D234+1</f>
        <v>42278</v>
      </c>
      <c r="D235" s="73">
        <f>EOMONTH(D234,3)</f>
        <v>42369</v>
      </c>
      <c r="E235" s="72">
        <f t="shared" ref="E235:E256" si="111">D235-C235+1</f>
        <v>92</v>
      </c>
      <c r="F235" s="74">
        <f>VLOOKUP(D235,'FERC Interest Rate'!$A:$B,2,TRUE)</f>
        <v>3.2500000000000001E-2</v>
      </c>
      <c r="G235" s="75">
        <f t="shared" ref="G235:G256" si="112">O234</f>
        <v>1402.2092991371362</v>
      </c>
      <c r="H235" s="75">
        <f t="shared" si="106"/>
        <v>11.486591244986405</v>
      </c>
      <c r="I235" s="180">
        <v>0</v>
      </c>
      <c r="J235" s="76">
        <v>0</v>
      </c>
      <c r="K235" s="116">
        <f t="shared" si="107"/>
        <v>0</v>
      </c>
      <c r="L235" s="76">
        <v>0</v>
      </c>
      <c r="M235" s="117">
        <f t="shared" si="108"/>
        <v>0</v>
      </c>
      <c r="N235" s="8">
        <f t="shared" si="109"/>
        <v>1413.6958903821226</v>
      </c>
      <c r="O235" s="75">
        <f t="shared" si="110"/>
        <v>1413.6958903821226</v>
      </c>
    </row>
    <row r="236" spans="1:15" ht="13" x14ac:dyDescent="0.3">
      <c r="B236" s="301"/>
      <c r="C236" s="73">
        <f t="shared" ref="C236:C256" si="113">D235+1</f>
        <v>42370</v>
      </c>
      <c r="D236" s="73">
        <f t="shared" ref="D236:D256" si="114">EOMONTH(D235,3)</f>
        <v>42460</v>
      </c>
      <c r="E236" s="72">
        <f t="shared" si="111"/>
        <v>91</v>
      </c>
      <c r="F236" s="74">
        <f>VLOOKUP(D236,'FERC Interest Rate'!$A:$B,2,TRUE)</f>
        <v>3.2500000000000001E-2</v>
      </c>
      <c r="G236" s="75">
        <f t="shared" si="112"/>
        <v>1413.6958903821226</v>
      </c>
      <c r="H236" s="75">
        <f t="shared" si="106"/>
        <v>11.423512556844612</v>
      </c>
      <c r="I236" s="180">
        <v>0</v>
      </c>
      <c r="J236" s="76">
        <v>0</v>
      </c>
      <c r="K236" s="116">
        <f t="shared" si="107"/>
        <v>0</v>
      </c>
      <c r="L236" s="76">
        <v>0</v>
      </c>
      <c r="M236" s="117">
        <f t="shared" si="108"/>
        <v>0</v>
      </c>
      <c r="N236" s="8">
        <f t="shared" si="109"/>
        <v>1425.1194029389671</v>
      </c>
      <c r="O236" s="75">
        <f t="shared" si="110"/>
        <v>1425.1194029389671</v>
      </c>
    </row>
    <row r="237" spans="1:15" x14ac:dyDescent="0.25">
      <c r="A237" s="78"/>
      <c r="B237" s="72"/>
      <c r="C237" s="73">
        <f t="shared" si="113"/>
        <v>42461</v>
      </c>
      <c r="D237" s="73">
        <f t="shared" si="114"/>
        <v>42551</v>
      </c>
      <c r="E237" s="72">
        <f t="shared" si="111"/>
        <v>91</v>
      </c>
      <c r="F237" s="74">
        <f>VLOOKUP(D237,'FERC Interest Rate'!$A:$B,2,TRUE)</f>
        <v>3.4599999999999999E-2</v>
      </c>
      <c r="G237" s="75">
        <f t="shared" si="112"/>
        <v>1425.1194029389671</v>
      </c>
      <c r="H237" s="75">
        <f t="shared" si="106"/>
        <v>12.259920634135607</v>
      </c>
      <c r="I237" s="180">
        <v>0</v>
      </c>
      <c r="J237" s="76">
        <v>0</v>
      </c>
      <c r="K237" s="116">
        <f t="shared" si="107"/>
        <v>0</v>
      </c>
      <c r="L237" s="76">
        <v>0</v>
      </c>
      <c r="M237" s="117">
        <f t="shared" si="108"/>
        <v>0</v>
      </c>
      <c r="N237" s="8">
        <f t="shared" si="109"/>
        <v>1437.3793235731027</v>
      </c>
      <c r="O237" s="75">
        <f t="shared" si="110"/>
        <v>1437.3793235731027</v>
      </c>
    </row>
    <row r="238" spans="1:15" x14ac:dyDescent="0.25">
      <c r="A238" s="78"/>
      <c r="B238" s="72"/>
      <c r="C238" s="73">
        <f t="shared" si="113"/>
        <v>42552</v>
      </c>
      <c r="D238" s="73">
        <f t="shared" si="114"/>
        <v>42643</v>
      </c>
      <c r="E238" s="72">
        <f t="shared" si="111"/>
        <v>92</v>
      </c>
      <c r="F238" s="74">
        <f>VLOOKUP(D238,'FERC Interest Rate'!$A:$B,2,TRUE)</f>
        <v>3.5000000000000003E-2</v>
      </c>
      <c r="G238" s="75">
        <f t="shared" si="112"/>
        <v>1437.3793235731027</v>
      </c>
      <c r="H238" s="75">
        <f t="shared" si="106"/>
        <v>12.645796234714183</v>
      </c>
      <c r="I238" s="180">
        <v>0</v>
      </c>
      <c r="J238" s="76">
        <v>0</v>
      </c>
      <c r="K238" s="116">
        <f t="shared" si="107"/>
        <v>0</v>
      </c>
      <c r="L238" s="76">
        <v>0</v>
      </c>
      <c r="M238" s="117">
        <f t="shared" si="108"/>
        <v>0</v>
      </c>
      <c r="N238" s="8">
        <f t="shared" si="109"/>
        <v>1450.025119807817</v>
      </c>
      <c r="O238" s="75">
        <f t="shared" si="110"/>
        <v>1450.025119807817</v>
      </c>
    </row>
    <row r="239" spans="1:15" x14ac:dyDescent="0.25">
      <c r="A239" s="78"/>
      <c r="B239" s="72"/>
      <c r="C239" s="73">
        <f t="shared" si="113"/>
        <v>42644</v>
      </c>
      <c r="D239" s="73">
        <f t="shared" si="114"/>
        <v>42735</v>
      </c>
      <c r="E239" s="72">
        <f t="shared" si="111"/>
        <v>92</v>
      </c>
      <c r="F239" s="74">
        <f>VLOOKUP(D239,'FERC Interest Rate'!$A:$B,2,TRUE)</f>
        <v>3.5000000000000003E-2</v>
      </c>
      <c r="G239" s="75">
        <f t="shared" si="112"/>
        <v>1450.025119807817</v>
      </c>
      <c r="H239" s="75">
        <f t="shared" si="106"/>
        <v>12.757051600495002</v>
      </c>
      <c r="I239" s="180">
        <v>0</v>
      </c>
      <c r="J239" s="76">
        <v>0</v>
      </c>
      <c r="K239" s="116">
        <f t="shared" si="107"/>
        <v>0</v>
      </c>
      <c r="L239" s="76">
        <v>0</v>
      </c>
      <c r="M239" s="117">
        <f t="shared" si="108"/>
        <v>0</v>
      </c>
      <c r="N239" s="8">
        <f t="shared" si="109"/>
        <v>1462.782171408312</v>
      </c>
      <c r="O239" s="75">
        <f t="shared" si="110"/>
        <v>1462.782171408312</v>
      </c>
    </row>
    <row r="240" spans="1:15" x14ac:dyDescent="0.25">
      <c r="A240" s="78" t="s">
        <v>101</v>
      </c>
      <c r="B240" s="72" t="str">
        <f t="shared" ref="B240:B253" si="115">+IF(MONTH(C240)&lt;4,"Q1",IF(MONTH(C240)&lt;7,"Q2",IF(MONTH(C240)&lt;10,"Q3","Q4")))&amp;"/"&amp;YEAR(C240)</f>
        <v>Q1/2017</v>
      </c>
      <c r="C240" s="73">
        <f t="shared" si="113"/>
        <v>42736</v>
      </c>
      <c r="D240" s="73">
        <f t="shared" si="114"/>
        <v>42825</v>
      </c>
      <c r="E240" s="72">
        <f t="shared" si="111"/>
        <v>90</v>
      </c>
      <c r="F240" s="74">
        <f>VLOOKUP(D240,'FERC Interest Rate'!$A:$B,2,TRUE)</f>
        <v>3.5000000000000003E-2</v>
      </c>
      <c r="G240" s="75">
        <f t="shared" si="112"/>
        <v>1462.782171408312</v>
      </c>
      <c r="H240" s="75">
        <f t="shared" si="106"/>
        <v>12.624010520373105</v>
      </c>
      <c r="I240" s="180">
        <f>SUM($H$234:$H$257)/20*4</f>
        <v>15.53545481703685</v>
      </c>
      <c r="J240" s="76">
        <f>G240*F240*(E240/(DATE(YEAR(D240),12,31)-DATE(YEAR(D240),1,1)+1))</f>
        <v>12.624010520373105</v>
      </c>
      <c r="K240" s="116">
        <f t="shared" si="107"/>
        <v>28.159465337409955</v>
      </c>
      <c r="L240" s="76">
        <f>VLOOKUP($B$235,A$1:F$25,5,FALSE)/20*4</f>
        <v>279.54578156870014</v>
      </c>
      <c r="M240" s="117">
        <f t="shared" si="108"/>
        <v>307.70524690611012</v>
      </c>
      <c r="N240" s="8">
        <f t="shared" si="109"/>
        <v>1488.0301924490582</v>
      </c>
      <c r="O240" s="75">
        <f t="shared" si="110"/>
        <v>1180.3249455429479</v>
      </c>
    </row>
    <row r="241" spans="1:15" x14ac:dyDescent="0.25">
      <c r="A241" s="78" t="s">
        <v>56</v>
      </c>
      <c r="B241" s="72" t="str">
        <f t="shared" si="115"/>
        <v>Q2/2017</v>
      </c>
      <c r="C241" s="73">
        <f t="shared" si="113"/>
        <v>42826</v>
      </c>
      <c r="D241" s="73">
        <f t="shared" si="114"/>
        <v>42916</v>
      </c>
      <c r="E241" s="72">
        <f t="shared" si="111"/>
        <v>91</v>
      </c>
      <c r="F241" s="74">
        <f>VLOOKUP(D241,'FERC Interest Rate'!$A:$B,2,TRUE)</f>
        <v>3.7100000000000001E-2</v>
      </c>
      <c r="G241" s="75">
        <f t="shared" si="112"/>
        <v>1180.3249455429479</v>
      </c>
      <c r="H241" s="75">
        <v>0</v>
      </c>
      <c r="I241" s="180">
        <f>SUM($H$234:$H$257)/20</f>
        <v>3.8838637042592126</v>
      </c>
      <c r="J241" s="76">
        <f>G241*F241*(E241/(DATE(YEAR(D241),12,31)-DATE(YEAR(D241),1,1)+1))</f>
        <v>10.917520681226156</v>
      </c>
      <c r="K241" s="116">
        <f t="shared" si="107"/>
        <v>14.801384385485369</v>
      </c>
      <c r="L241" s="76">
        <f t="shared" ref="L241:L256" si="116">VLOOKUP($B$235,A$1:F$25,5,FALSE)/20</f>
        <v>69.886445392175034</v>
      </c>
      <c r="M241" s="117">
        <f t="shared" si="108"/>
        <v>84.687829777660397</v>
      </c>
      <c r="N241" s="8">
        <f t="shared" si="109"/>
        <v>1191.242466224174</v>
      </c>
      <c r="O241" s="75">
        <f t="shared" si="110"/>
        <v>1106.5546364465135</v>
      </c>
    </row>
    <row r="242" spans="1:15" x14ac:dyDescent="0.25">
      <c r="A242" s="78" t="s">
        <v>57</v>
      </c>
      <c r="B242" s="72" t="str">
        <f t="shared" si="115"/>
        <v>Q3/2017</v>
      </c>
      <c r="C242" s="73">
        <f t="shared" si="113"/>
        <v>42917</v>
      </c>
      <c r="D242" s="73">
        <f t="shared" si="114"/>
        <v>43008</v>
      </c>
      <c r="E242" s="72">
        <f t="shared" si="111"/>
        <v>92</v>
      </c>
      <c r="F242" s="74">
        <f>VLOOKUP(D242,'FERC Interest Rate'!$A:$B,2,TRUE)</f>
        <v>3.9600000000000003E-2</v>
      </c>
      <c r="G242" s="75">
        <f t="shared" si="112"/>
        <v>1106.5546364465135</v>
      </c>
      <c r="H242" s="75">
        <v>0</v>
      </c>
      <c r="I242" s="99">
        <f>SUM($H$234:$H$257)/20</f>
        <v>3.8838637042592126</v>
      </c>
      <c r="J242" s="76">
        <f>G242*F242*(E242/(DATE(YEAR(D242),12,31)-DATE(YEAR(D242),1,1)+1))</f>
        <v>11.044931100005313</v>
      </c>
      <c r="K242" s="116">
        <f t="shared" si="107"/>
        <v>14.928794804264525</v>
      </c>
      <c r="L242" s="76">
        <f t="shared" si="116"/>
        <v>69.886445392175034</v>
      </c>
      <c r="M242" s="117">
        <f t="shared" si="108"/>
        <v>84.815240196439561</v>
      </c>
      <c r="N242" s="8">
        <f t="shared" si="109"/>
        <v>1117.5995675465188</v>
      </c>
      <c r="O242" s="75">
        <f t="shared" si="110"/>
        <v>1032.7843273500791</v>
      </c>
    </row>
    <row r="243" spans="1:15" x14ac:dyDescent="0.25">
      <c r="A243" s="78" t="s">
        <v>58</v>
      </c>
      <c r="B243" s="72" t="str">
        <f t="shared" si="115"/>
        <v>Q4/2017</v>
      </c>
      <c r="C243" s="73">
        <f t="shared" si="113"/>
        <v>43009</v>
      </c>
      <c r="D243" s="73">
        <f t="shared" si="114"/>
        <v>43100</v>
      </c>
      <c r="E243" s="72">
        <f t="shared" si="111"/>
        <v>92</v>
      </c>
      <c r="F243" s="74">
        <f>VLOOKUP(D243,'FERC Interest Rate'!$A:$B,2,TRUE)</f>
        <v>4.2099999999999999E-2</v>
      </c>
      <c r="G243" s="75">
        <f t="shared" si="112"/>
        <v>1032.7843273500791</v>
      </c>
      <c r="H243" s="75">
        <v>0</v>
      </c>
      <c r="I243" s="99">
        <f>SUM($H$234:$H$257)/20</f>
        <v>3.8838637042592126</v>
      </c>
      <c r="J243" s="76">
        <f t="shared" ref="J243:J256" si="117">G243*F243*(E243/(DATE(YEAR(D243),12,31)-DATE(YEAR(D243),1,1)+1))</f>
        <v>10.959397963540621</v>
      </c>
      <c r="K243" s="116">
        <f t="shared" si="107"/>
        <v>14.843261667799833</v>
      </c>
      <c r="L243" s="76">
        <f t="shared" si="116"/>
        <v>69.886445392175034</v>
      </c>
      <c r="M243" s="117">
        <f t="shared" si="108"/>
        <v>84.729707059974871</v>
      </c>
      <c r="N243" s="8">
        <f t="shared" si="109"/>
        <v>1043.7437253136197</v>
      </c>
      <c r="O243" s="75">
        <f t="shared" si="110"/>
        <v>959.01401825364496</v>
      </c>
    </row>
    <row r="244" spans="1:15" x14ac:dyDescent="0.25">
      <c r="A244" s="78" t="s">
        <v>59</v>
      </c>
      <c r="B244" s="72" t="str">
        <f t="shared" si="115"/>
        <v>Q1/2018</v>
      </c>
      <c r="C244" s="73">
        <f t="shared" si="113"/>
        <v>43101</v>
      </c>
      <c r="D244" s="73">
        <f t="shared" si="114"/>
        <v>43190</v>
      </c>
      <c r="E244" s="72">
        <f t="shared" si="111"/>
        <v>90</v>
      </c>
      <c r="F244" s="74">
        <f>VLOOKUP(D244,'FERC Interest Rate'!$A:$B,2,TRUE)</f>
        <v>4.2500000000000003E-2</v>
      </c>
      <c r="G244" s="75">
        <f t="shared" si="112"/>
        <v>959.01401825364496</v>
      </c>
      <c r="H244" s="75">
        <v>0</v>
      </c>
      <c r="I244" s="99">
        <f t="shared" ref="I244:I256" si="118">SUM($H$234:$H$257)/20</f>
        <v>3.8838637042592126</v>
      </c>
      <c r="J244" s="76">
        <f t="shared" si="117"/>
        <v>10.04994142416491</v>
      </c>
      <c r="K244" s="116">
        <f t="shared" si="107"/>
        <v>13.933805128424122</v>
      </c>
      <c r="L244" s="76">
        <f t="shared" si="116"/>
        <v>69.886445392175034</v>
      </c>
      <c r="M244" s="117">
        <f t="shared" si="108"/>
        <v>83.82025052059916</v>
      </c>
      <c r="N244" s="8">
        <f t="shared" si="109"/>
        <v>969.06395967780986</v>
      </c>
      <c r="O244" s="75">
        <f t="shared" si="110"/>
        <v>885.24370915721079</v>
      </c>
    </row>
    <row r="245" spans="1:15" x14ac:dyDescent="0.25">
      <c r="A245" s="78" t="s">
        <v>60</v>
      </c>
      <c r="B245" s="72" t="str">
        <f t="shared" si="115"/>
        <v>Q2/2018</v>
      </c>
      <c r="C245" s="73">
        <f t="shared" si="113"/>
        <v>43191</v>
      </c>
      <c r="D245" s="73">
        <f t="shared" si="114"/>
        <v>43281</v>
      </c>
      <c r="E245" s="72">
        <f t="shared" si="111"/>
        <v>91</v>
      </c>
      <c r="F245" s="74">
        <f>VLOOKUP(D245,'FERC Interest Rate'!$A:$B,2,TRUE)</f>
        <v>4.4699999999999997E-2</v>
      </c>
      <c r="G245" s="75">
        <f t="shared" si="112"/>
        <v>885.24370915721079</v>
      </c>
      <c r="H245" s="75">
        <v>0</v>
      </c>
      <c r="I245" s="99">
        <f t="shared" si="118"/>
        <v>3.8838637042592126</v>
      </c>
      <c r="J245" s="76">
        <f t="shared" si="117"/>
        <v>9.8654954403802364</v>
      </c>
      <c r="K245" s="116">
        <f t="shared" si="107"/>
        <v>13.749359144639449</v>
      </c>
      <c r="L245" s="76">
        <f t="shared" si="116"/>
        <v>69.886445392175034</v>
      </c>
      <c r="M245" s="117">
        <f t="shared" si="108"/>
        <v>83.635804536814476</v>
      </c>
      <c r="N245" s="8">
        <f t="shared" si="109"/>
        <v>895.10920459759097</v>
      </c>
      <c r="O245" s="75">
        <f t="shared" si="110"/>
        <v>811.47340006077661</v>
      </c>
    </row>
    <row r="246" spans="1:15" x14ac:dyDescent="0.25">
      <c r="A246" s="78" t="s">
        <v>61</v>
      </c>
      <c r="B246" s="72" t="str">
        <f t="shared" si="115"/>
        <v>Q3/2018</v>
      </c>
      <c r="C246" s="73">
        <f t="shared" si="113"/>
        <v>43282</v>
      </c>
      <c r="D246" s="73">
        <f t="shared" si="114"/>
        <v>43373</v>
      </c>
      <c r="E246" s="72">
        <f t="shared" si="111"/>
        <v>92</v>
      </c>
      <c r="F246" s="74">
        <f>VLOOKUP(D246,'FERC Interest Rate'!$A:$B,2,TRUE)</f>
        <v>4.6899999999999997E-2</v>
      </c>
      <c r="G246" s="75">
        <f t="shared" si="112"/>
        <v>811.47340006077661</v>
      </c>
      <c r="H246" s="75">
        <v>0</v>
      </c>
      <c r="I246" s="99">
        <f t="shared" si="118"/>
        <v>3.8838637042592126</v>
      </c>
      <c r="J246" s="76">
        <f t="shared" si="117"/>
        <v>9.5927271961157228</v>
      </c>
      <c r="K246" s="116">
        <f t="shared" si="107"/>
        <v>13.476590900374935</v>
      </c>
      <c r="L246" s="76">
        <f t="shared" si="116"/>
        <v>69.886445392175034</v>
      </c>
      <c r="M246" s="117">
        <f t="shared" si="108"/>
        <v>83.363036292549964</v>
      </c>
      <c r="N246" s="8">
        <f t="shared" si="109"/>
        <v>821.06612725689229</v>
      </c>
      <c r="O246" s="75">
        <f t="shared" si="110"/>
        <v>737.70309096434244</v>
      </c>
    </row>
    <row r="247" spans="1:15" x14ac:dyDescent="0.25">
      <c r="A247" s="78" t="s">
        <v>62</v>
      </c>
      <c r="B247" s="72" t="str">
        <f t="shared" si="115"/>
        <v>Q4/2018</v>
      </c>
      <c r="C247" s="73">
        <f t="shared" si="113"/>
        <v>43374</v>
      </c>
      <c r="D247" s="73">
        <f t="shared" si="114"/>
        <v>43465</v>
      </c>
      <c r="E247" s="72">
        <f t="shared" si="111"/>
        <v>92</v>
      </c>
      <c r="F247" s="74">
        <f>VLOOKUP(D247,'FERC Interest Rate'!$A:$B,2,TRUE)</f>
        <v>4.9599999999999998E-2</v>
      </c>
      <c r="G247" s="75">
        <f t="shared" si="112"/>
        <v>737.70309096434244</v>
      </c>
      <c r="H247" s="75">
        <v>0</v>
      </c>
      <c r="I247" s="99">
        <f t="shared" si="118"/>
        <v>3.8838637042592126</v>
      </c>
      <c r="J247" s="76">
        <f t="shared" si="117"/>
        <v>9.2227034101054457</v>
      </c>
      <c r="K247" s="116">
        <f t="shared" si="107"/>
        <v>13.106567114364658</v>
      </c>
      <c r="L247" s="76">
        <f t="shared" si="116"/>
        <v>69.886445392175034</v>
      </c>
      <c r="M247" s="117">
        <f t="shared" si="108"/>
        <v>82.993012506539685</v>
      </c>
      <c r="N247" s="8">
        <f t="shared" si="109"/>
        <v>746.92579437444783</v>
      </c>
      <c r="O247" s="75">
        <f t="shared" si="110"/>
        <v>663.93278186790826</v>
      </c>
    </row>
    <row r="248" spans="1:15" x14ac:dyDescent="0.25">
      <c r="A248" s="78" t="s">
        <v>63</v>
      </c>
      <c r="B248" s="72" t="str">
        <f t="shared" si="115"/>
        <v>Q1/2019</v>
      </c>
      <c r="C248" s="73">
        <f t="shared" si="113"/>
        <v>43466</v>
      </c>
      <c r="D248" s="73">
        <f t="shared" si="114"/>
        <v>43555</v>
      </c>
      <c r="E248" s="72">
        <f t="shared" si="111"/>
        <v>90</v>
      </c>
      <c r="F248" s="74">
        <f>VLOOKUP(D248,'FERC Interest Rate'!$A:$B,2,TRUE)</f>
        <v>5.1799999999999999E-2</v>
      </c>
      <c r="G248" s="75">
        <f t="shared" si="112"/>
        <v>663.93278186790826</v>
      </c>
      <c r="H248" s="75">
        <v>0</v>
      </c>
      <c r="I248" s="99">
        <f t="shared" si="118"/>
        <v>3.8838637042592126</v>
      </c>
      <c r="J248" s="76">
        <f t="shared" si="117"/>
        <v>8.4801496686799673</v>
      </c>
      <c r="K248" s="116">
        <f t="shared" si="107"/>
        <v>12.36401337293918</v>
      </c>
      <c r="L248" s="76">
        <f t="shared" si="116"/>
        <v>69.886445392175034</v>
      </c>
      <c r="M248" s="117">
        <f t="shared" si="108"/>
        <v>82.250458765114217</v>
      </c>
      <c r="N248" s="8">
        <f t="shared" si="109"/>
        <v>672.41293153658819</v>
      </c>
      <c r="O248" s="75">
        <f t="shared" si="110"/>
        <v>590.16247277147409</v>
      </c>
    </row>
    <row r="249" spans="1:15" x14ac:dyDescent="0.25">
      <c r="A249" s="78" t="s">
        <v>64</v>
      </c>
      <c r="B249" s="72" t="str">
        <f t="shared" si="115"/>
        <v>Q2/2019</v>
      </c>
      <c r="C249" s="73">
        <f t="shared" si="113"/>
        <v>43556</v>
      </c>
      <c r="D249" s="73">
        <f t="shared" si="114"/>
        <v>43646</v>
      </c>
      <c r="E249" s="72">
        <f t="shared" si="111"/>
        <v>91</v>
      </c>
      <c r="F249" s="74">
        <f>VLOOKUP(D249,'FERC Interest Rate'!$A:$B,2,TRUE)</f>
        <v>5.45E-2</v>
      </c>
      <c r="G249" s="75">
        <f t="shared" si="112"/>
        <v>590.16247277147409</v>
      </c>
      <c r="H249" s="75">
        <v>0</v>
      </c>
      <c r="I249" s="99">
        <f t="shared" si="118"/>
        <v>3.8838637042592126</v>
      </c>
      <c r="J249" s="76">
        <f t="shared" si="117"/>
        <v>8.0189336540003442</v>
      </c>
      <c r="K249" s="116">
        <f t="shared" si="107"/>
        <v>11.902797358259557</v>
      </c>
      <c r="L249" s="76">
        <f t="shared" si="116"/>
        <v>69.886445392175034</v>
      </c>
      <c r="M249" s="117">
        <f t="shared" si="108"/>
        <v>81.789242750434596</v>
      </c>
      <c r="N249" s="8">
        <f t="shared" si="109"/>
        <v>598.18140642547439</v>
      </c>
      <c r="O249" s="75">
        <f t="shared" si="110"/>
        <v>516.39216367503991</v>
      </c>
    </row>
    <row r="250" spans="1:15" x14ac:dyDescent="0.25">
      <c r="A250" s="78" t="s">
        <v>65</v>
      </c>
      <c r="B250" s="72" t="str">
        <f t="shared" si="115"/>
        <v>Q3/2019</v>
      </c>
      <c r="C250" s="73">
        <f t="shared" si="113"/>
        <v>43647</v>
      </c>
      <c r="D250" s="73">
        <f t="shared" si="114"/>
        <v>43738</v>
      </c>
      <c r="E250" s="72">
        <f t="shared" si="111"/>
        <v>92</v>
      </c>
      <c r="F250" s="74">
        <f>VLOOKUP(D250,'FERC Interest Rate'!$A:$B,2,TRUE)</f>
        <v>5.5E-2</v>
      </c>
      <c r="G250" s="75">
        <f t="shared" si="112"/>
        <v>516.39216367503991</v>
      </c>
      <c r="H250" s="75">
        <v>0</v>
      </c>
      <c r="I250" s="99">
        <f t="shared" si="118"/>
        <v>3.8838637042592126</v>
      </c>
      <c r="J250" s="76">
        <f t="shared" si="117"/>
        <v>7.1587516388923351</v>
      </c>
      <c r="K250" s="116">
        <f t="shared" si="107"/>
        <v>11.042615343151548</v>
      </c>
      <c r="L250" s="76">
        <f t="shared" si="116"/>
        <v>69.886445392175034</v>
      </c>
      <c r="M250" s="117">
        <f t="shared" si="108"/>
        <v>80.929060735326587</v>
      </c>
      <c r="N250" s="8">
        <f t="shared" si="109"/>
        <v>523.55091531393225</v>
      </c>
      <c r="O250" s="75">
        <f t="shared" si="110"/>
        <v>442.62185457860568</v>
      </c>
    </row>
    <row r="251" spans="1:15" x14ac:dyDescent="0.25">
      <c r="A251" s="78" t="s">
        <v>66</v>
      </c>
      <c r="B251" s="72" t="str">
        <f t="shared" si="115"/>
        <v>Q4/2019</v>
      </c>
      <c r="C251" s="73">
        <f t="shared" si="113"/>
        <v>43739</v>
      </c>
      <c r="D251" s="73">
        <f t="shared" si="114"/>
        <v>43830</v>
      </c>
      <c r="E251" s="72">
        <f t="shared" si="111"/>
        <v>92</v>
      </c>
      <c r="F251" s="74">
        <f>VLOOKUP(D251,'FERC Interest Rate'!$A:$B,2,TRUE)</f>
        <v>5.4199999999999998E-2</v>
      </c>
      <c r="G251" s="75">
        <f t="shared" si="112"/>
        <v>442.62185457860568</v>
      </c>
      <c r="H251" s="75">
        <v>0</v>
      </c>
      <c r="I251" s="99">
        <f t="shared" si="118"/>
        <v>3.8838637042592126</v>
      </c>
      <c r="J251" s="76">
        <f t="shared" si="117"/>
        <v>6.0468208648513952</v>
      </c>
      <c r="K251" s="116">
        <f t="shared" si="107"/>
        <v>9.9306845691106069</v>
      </c>
      <c r="L251" s="76">
        <f t="shared" si="116"/>
        <v>69.886445392175034</v>
      </c>
      <c r="M251" s="117">
        <f t="shared" si="108"/>
        <v>79.817129961285644</v>
      </c>
      <c r="N251" s="8">
        <f t="shared" si="109"/>
        <v>448.66867544345706</v>
      </c>
      <c r="O251" s="75">
        <f t="shared" si="110"/>
        <v>368.85154548217139</v>
      </c>
    </row>
    <row r="252" spans="1:15" x14ac:dyDescent="0.25">
      <c r="A252" s="78" t="s">
        <v>67</v>
      </c>
      <c r="B252" s="72" t="str">
        <f t="shared" si="115"/>
        <v>Q1/2020</v>
      </c>
      <c r="C252" s="73">
        <f t="shared" si="113"/>
        <v>43831</v>
      </c>
      <c r="D252" s="73">
        <f t="shared" si="114"/>
        <v>43921</v>
      </c>
      <c r="E252" s="72">
        <f t="shared" si="111"/>
        <v>91</v>
      </c>
      <c r="F252" s="74">
        <f>VLOOKUP(D252,'FERC Interest Rate'!$A:$B,2,TRUE)</f>
        <v>4.9599999999999998E-2</v>
      </c>
      <c r="G252" s="75">
        <f t="shared" si="112"/>
        <v>368.85154548217139</v>
      </c>
      <c r="H252" s="75">
        <v>0</v>
      </c>
      <c r="I252" s="99">
        <f t="shared" si="118"/>
        <v>3.8838637042592126</v>
      </c>
      <c r="J252" s="76">
        <f t="shared" si="117"/>
        <v>4.5487659445036304</v>
      </c>
      <c r="K252" s="116">
        <f t="shared" si="107"/>
        <v>8.4326296487628429</v>
      </c>
      <c r="L252" s="76">
        <f t="shared" si="116"/>
        <v>69.886445392175034</v>
      </c>
      <c r="M252" s="117">
        <f t="shared" si="108"/>
        <v>78.319075040937875</v>
      </c>
      <c r="N252" s="8">
        <f t="shared" si="109"/>
        <v>373.40031142667505</v>
      </c>
      <c r="O252" s="75">
        <f t="shared" si="110"/>
        <v>295.0812363857371</v>
      </c>
    </row>
    <row r="253" spans="1:15" x14ac:dyDescent="0.25">
      <c r="A253" s="78" t="s">
        <v>68</v>
      </c>
      <c r="B253" s="72" t="str">
        <f t="shared" si="115"/>
        <v>Q2/2020</v>
      </c>
      <c r="C253" s="73">
        <f t="shared" si="113"/>
        <v>43922</v>
      </c>
      <c r="D253" s="73">
        <f t="shared" si="114"/>
        <v>44012</v>
      </c>
      <c r="E253" s="72">
        <f t="shared" si="111"/>
        <v>91</v>
      </c>
      <c r="F253" s="74">
        <f>VLOOKUP(D253,'FERC Interest Rate'!$A:$B,2,TRUE)</f>
        <v>4.7503500000000004E-2</v>
      </c>
      <c r="G253" s="75">
        <f t="shared" si="112"/>
        <v>295.0812363857371</v>
      </c>
      <c r="H253" s="75">
        <v>0</v>
      </c>
      <c r="I253" s="99">
        <f t="shared" si="118"/>
        <v>3.8838637042592126</v>
      </c>
      <c r="J253" s="76">
        <f t="shared" si="117"/>
        <v>3.4851984362052941</v>
      </c>
      <c r="K253" s="116">
        <f t="shared" si="107"/>
        <v>7.3690621404645071</v>
      </c>
      <c r="L253" s="76">
        <f t="shared" si="116"/>
        <v>69.886445392175034</v>
      </c>
      <c r="M253" s="117">
        <f t="shared" si="108"/>
        <v>77.255507532639541</v>
      </c>
      <c r="N253" s="8">
        <f t="shared" si="109"/>
        <v>298.56643482194238</v>
      </c>
      <c r="O253" s="75">
        <f t="shared" si="110"/>
        <v>221.31092728930287</v>
      </c>
    </row>
    <row r="254" spans="1:15" x14ac:dyDescent="0.25">
      <c r="A254" s="78" t="s">
        <v>69</v>
      </c>
      <c r="B254" s="72" t="str">
        <f>+IF(MONTH(C254)&lt;4,"Q1",IF(MONTH(C254)&lt;7,"Q2",IF(MONTH(C254)&lt;10,"Q3","Q4")))&amp;"/"&amp;YEAR(C254)</f>
        <v>Q3/2020</v>
      </c>
      <c r="C254" s="73">
        <f t="shared" si="113"/>
        <v>44013</v>
      </c>
      <c r="D254" s="73">
        <f t="shared" si="114"/>
        <v>44104</v>
      </c>
      <c r="E254" s="72">
        <f t="shared" si="111"/>
        <v>92</v>
      </c>
      <c r="F254" s="74">
        <f>VLOOKUP(D254,'FERC Interest Rate'!$A:$B,2,TRUE)</f>
        <v>4.7507929999999997E-2</v>
      </c>
      <c r="G254" s="75">
        <f t="shared" si="112"/>
        <v>221.31092728930287</v>
      </c>
      <c r="H254" s="75">
        <v>0</v>
      </c>
      <c r="I254" s="99">
        <f t="shared" si="118"/>
        <v>3.8838637042592126</v>
      </c>
      <c r="J254" s="76">
        <f t="shared" si="117"/>
        <v>2.6428694312960839</v>
      </c>
      <c r="K254" s="116">
        <f t="shared" si="107"/>
        <v>6.5267331355552969</v>
      </c>
      <c r="L254" s="76">
        <f t="shared" si="116"/>
        <v>69.886445392175034</v>
      </c>
      <c r="M254" s="117">
        <f t="shared" si="108"/>
        <v>76.413178527730338</v>
      </c>
      <c r="N254" s="8">
        <f t="shared" si="109"/>
        <v>223.95379672059894</v>
      </c>
      <c r="O254" s="75">
        <f t="shared" si="110"/>
        <v>147.54061819286864</v>
      </c>
    </row>
    <row r="255" spans="1:15" x14ac:dyDescent="0.25">
      <c r="A255" s="78" t="s">
        <v>70</v>
      </c>
      <c r="B255" s="72" t="str">
        <f>+IF(MONTH(C255)&lt;4,"Q1",IF(MONTH(C255)&lt;7,"Q2",IF(MONTH(C255)&lt;10,"Q3","Q4")))&amp;"/"&amp;YEAR(C255)</f>
        <v>Q4/2020</v>
      </c>
      <c r="C255" s="73">
        <f t="shared" si="113"/>
        <v>44105</v>
      </c>
      <c r="D255" s="73">
        <f t="shared" si="114"/>
        <v>44196</v>
      </c>
      <c r="E255" s="72">
        <f t="shared" si="111"/>
        <v>92</v>
      </c>
      <c r="F255" s="74">
        <f>VLOOKUP(D255,'FERC Interest Rate'!$A:$B,2,TRUE)</f>
        <v>4.7922320000000004E-2</v>
      </c>
      <c r="G255" s="75">
        <f t="shared" si="112"/>
        <v>147.54061819286864</v>
      </c>
      <c r="H255" s="75">
        <v>0</v>
      </c>
      <c r="I255" s="99">
        <f t="shared" si="118"/>
        <v>3.8838637042592126</v>
      </c>
      <c r="J255" s="76">
        <f t="shared" si="117"/>
        <v>1.7772813171020643</v>
      </c>
      <c r="K255" s="116">
        <f t="shared" si="107"/>
        <v>5.6611450213612766</v>
      </c>
      <c r="L255" s="76">
        <f t="shared" si="116"/>
        <v>69.886445392175034</v>
      </c>
      <c r="M255" s="117">
        <f t="shared" si="108"/>
        <v>75.547590413536312</v>
      </c>
      <c r="N255" s="8">
        <f t="shared" si="109"/>
        <v>149.31789950997069</v>
      </c>
      <c r="O255" s="75">
        <f t="shared" si="110"/>
        <v>73.770309096434389</v>
      </c>
    </row>
    <row r="256" spans="1:15" x14ac:dyDescent="0.25">
      <c r="A256" s="78" t="s">
        <v>71</v>
      </c>
      <c r="B256" s="72" t="str">
        <f>+IF(MONTH(C256)&lt;4,"Q1",IF(MONTH(C256)&lt;7,"Q2",IF(MONTH(C256)&lt;10,"Q3","Q4")))&amp;"/"&amp;YEAR(C256)</f>
        <v>Q1/2021</v>
      </c>
      <c r="C256" s="73">
        <f t="shared" si="113"/>
        <v>44197</v>
      </c>
      <c r="D256" s="73">
        <f t="shared" si="114"/>
        <v>44286</v>
      </c>
      <c r="E256" s="72">
        <f t="shared" si="111"/>
        <v>90</v>
      </c>
      <c r="F256" s="74">
        <f>VLOOKUP(D256,'FERC Interest Rate'!$A:$B,2,TRUE)</f>
        <v>5.0023470000000007E-2</v>
      </c>
      <c r="G256" s="75">
        <f t="shared" si="112"/>
        <v>73.770309096434389</v>
      </c>
      <c r="H256" s="75">
        <v>0</v>
      </c>
      <c r="I256" s="99">
        <f t="shared" si="118"/>
        <v>3.8838637042592126</v>
      </c>
      <c r="J256" s="76">
        <f t="shared" si="117"/>
        <v>0.90992387933660057</v>
      </c>
      <c r="K256" s="116">
        <f t="shared" si="107"/>
        <v>4.7937875835958135</v>
      </c>
      <c r="L256" s="76">
        <f t="shared" si="116"/>
        <v>69.886445392175034</v>
      </c>
      <c r="M256" s="117">
        <f t="shared" si="108"/>
        <v>74.680232975770849</v>
      </c>
      <c r="N256" s="8">
        <f t="shared" si="109"/>
        <v>74.680232975770991</v>
      </c>
      <c r="O256" s="75">
        <f t="shared" si="110"/>
        <v>1.4210854715202004E-13</v>
      </c>
    </row>
    <row r="257" spans="1:15" x14ac:dyDescent="0.25">
      <c r="A257" s="78"/>
      <c r="B257" s="72"/>
      <c r="C257" s="73"/>
      <c r="D257" s="73"/>
      <c r="E257" s="72"/>
      <c r="F257" s="74"/>
      <c r="G257" s="75"/>
      <c r="H257" s="75"/>
      <c r="I257" s="99"/>
      <c r="J257" s="76"/>
      <c r="K257" s="116"/>
      <c r="L257" s="76"/>
      <c r="M257" s="117"/>
      <c r="N257" s="8"/>
      <c r="O257" s="75"/>
    </row>
    <row r="258" spans="1:15" ht="13.5" thickBot="1" x14ac:dyDescent="0.35">
      <c r="A258" s="142"/>
      <c r="B258" s="143"/>
      <c r="C258" s="144"/>
      <c r="D258" s="144"/>
      <c r="E258" s="145"/>
      <c r="F258" s="143"/>
      <c r="G258" s="127">
        <f t="shared" ref="G258:O258" si="119">+SUM(G234:G257)</f>
        <v>20021.702152206017</v>
      </c>
      <c r="H258" s="127">
        <f t="shared" si="119"/>
        <v>77.677274085184251</v>
      </c>
      <c r="I258" s="128">
        <f t="shared" si="119"/>
        <v>77.677274085184251</v>
      </c>
      <c r="J258" s="127">
        <f t="shared" si="119"/>
        <v>127.34542257077922</v>
      </c>
      <c r="K258" s="127">
        <f t="shared" si="119"/>
        <v>205.0226966559635</v>
      </c>
      <c r="L258" s="127">
        <f t="shared" si="119"/>
        <v>1397.7289078435008</v>
      </c>
      <c r="M258" s="129">
        <f t="shared" si="119"/>
        <v>1602.7516044994641</v>
      </c>
      <c r="N258" s="127">
        <f t="shared" si="119"/>
        <v>20226.724848861977</v>
      </c>
      <c r="O258" s="127">
        <f t="shared" si="119"/>
        <v>18623.973244362514</v>
      </c>
    </row>
    <row r="259" spans="1:15" ht="13" thickTop="1" x14ac:dyDescent="0.25">
      <c r="B259" s="103"/>
      <c r="C259" s="103"/>
      <c r="D259" s="103"/>
      <c r="E259" s="103"/>
      <c r="F259" s="103"/>
      <c r="G259" s="103"/>
      <c r="H259" s="103"/>
      <c r="I259" s="102"/>
      <c r="J259" s="103"/>
      <c r="K259" s="103"/>
      <c r="L259" s="103"/>
      <c r="M259" s="118"/>
      <c r="O259" s="103"/>
    </row>
    <row r="260" spans="1:15" ht="39" x14ac:dyDescent="0.3">
      <c r="A260" s="77" t="s">
        <v>51</v>
      </c>
      <c r="B260" s="77" t="s">
        <v>3</v>
      </c>
      <c r="C260" s="77" t="s">
        <v>4</v>
      </c>
      <c r="D260" s="77" t="s">
        <v>5</v>
      </c>
      <c r="E260" s="77" t="s">
        <v>6</v>
      </c>
      <c r="F260" s="77" t="s">
        <v>7</v>
      </c>
      <c r="G260" s="77" t="s">
        <v>92</v>
      </c>
      <c r="H260" s="77" t="s">
        <v>93</v>
      </c>
      <c r="I260" s="94" t="s">
        <v>94</v>
      </c>
      <c r="J260" s="95" t="s">
        <v>95</v>
      </c>
      <c r="K260" s="95" t="s">
        <v>96</v>
      </c>
      <c r="L260" s="95" t="s">
        <v>97</v>
      </c>
      <c r="M260" s="96" t="s">
        <v>98</v>
      </c>
      <c r="N260" s="77" t="s">
        <v>99</v>
      </c>
      <c r="O260" s="77" t="s">
        <v>100</v>
      </c>
    </row>
    <row r="261" spans="1:15" ht="13" x14ac:dyDescent="0.3">
      <c r="A261" s="347" t="s">
        <v>14</v>
      </c>
      <c r="B261" s="347"/>
      <c r="C261" s="73">
        <f>VLOOKUP(B262,A$1:F$29,2,FALSE)</f>
        <v>42333</v>
      </c>
      <c r="D261" s="73">
        <f>DATE(YEAR(C261),IF(MONTH(C261)&lt;=3,3,IF(MONTH(C261)&lt;=6,6,IF(MONTH(C261)&lt;=9,9,12))),IF(OR(MONTH(C261)&lt;=3,MONTH(C261)&gt;=10),31,30))</f>
        <v>42369</v>
      </c>
      <c r="E261" s="72">
        <f>D261-C261+1</f>
        <v>37</v>
      </c>
      <c r="F261" s="74">
        <f>VLOOKUP(D261,'FERC Interest Rate'!$A:$B,2,TRUE)</f>
        <v>3.2500000000000001E-2</v>
      </c>
      <c r="G261" s="75">
        <f>VLOOKUP(B262,$A$1:$F$29,5,FALSE)</f>
        <v>657.58847889239132</v>
      </c>
      <c r="H261" s="75">
        <f t="shared" ref="H261:H266" si="120">G261*F261*(E261/(DATE(YEAR(D261),12,31)-DATE(YEAR(D261),1,1)+1))</f>
        <v>2.1664387558030156</v>
      </c>
      <c r="I261" s="180">
        <v>0</v>
      </c>
      <c r="J261" s="76">
        <v>0</v>
      </c>
      <c r="K261" s="116">
        <f t="shared" ref="K261:K282" si="121">+SUM(I261:J261)</f>
        <v>0</v>
      </c>
      <c r="L261" s="76">
        <v>0</v>
      </c>
      <c r="M261" s="117">
        <f t="shared" ref="M261:M282" si="122">+SUM(K261:L261)</f>
        <v>0</v>
      </c>
      <c r="N261" s="8">
        <f t="shared" ref="N261:N282" si="123">+G261+H261+J261</f>
        <v>659.75491764819435</v>
      </c>
      <c r="O261" s="75">
        <f t="shared" ref="O261:O282" si="124">G261+H261-L261-I261</f>
        <v>659.75491764819435</v>
      </c>
    </row>
    <row r="262" spans="1:15" ht="13" x14ac:dyDescent="0.3">
      <c r="A262" s="110" t="s">
        <v>40</v>
      </c>
      <c r="B262" s="141" t="s">
        <v>59</v>
      </c>
      <c r="C262" s="73">
        <f>D261+1</f>
        <v>42370</v>
      </c>
      <c r="D262" s="73">
        <f>EOMONTH(D261,3)</f>
        <v>42460</v>
      </c>
      <c r="E262" s="72">
        <f t="shared" ref="E262:E282" si="125">D262-C262+1</f>
        <v>91</v>
      </c>
      <c r="F262" s="74">
        <f>VLOOKUP(D262,'FERC Interest Rate'!$A:$B,2,TRUE)</f>
        <v>3.2500000000000001E-2</v>
      </c>
      <c r="G262" s="75">
        <f t="shared" ref="G262:G282" si="126">O261</f>
        <v>659.75491764819435</v>
      </c>
      <c r="H262" s="75">
        <f t="shared" si="120"/>
        <v>5.3312163085916255</v>
      </c>
      <c r="I262" s="180">
        <v>0</v>
      </c>
      <c r="J262" s="76">
        <v>0</v>
      </c>
      <c r="K262" s="116">
        <f t="shared" si="121"/>
        <v>0</v>
      </c>
      <c r="L262" s="76">
        <v>0</v>
      </c>
      <c r="M262" s="117">
        <f t="shared" si="122"/>
        <v>0</v>
      </c>
      <c r="N262" s="8">
        <f t="shared" si="123"/>
        <v>665.08613395678594</v>
      </c>
      <c r="O262" s="75">
        <f t="shared" si="124"/>
        <v>665.08613395678594</v>
      </c>
    </row>
    <row r="263" spans="1:15" x14ac:dyDescent="0.25">
      <c r="A263" s="78"/>
      <c r="B263" s="72"/>
      <c r="C263" s="73">
        <f t="shared" ref="C263:C282" si="127">D262+1</f>
        <v>42461</v>
      </c>
      <c r="D263" s="73">
        <f t="shared" ref="D263:D282" si="128">EOMONTH(D262,3)</f>
        <v>42551</v>
      </c>
      <c r="E263" s="72">
        <f t="shared" si="125"/>
        <v>91</v>
      </c>
      <c r="F263" s="74">
        <f>VLOOKUP(D263,'FERC Interest Rate'!$A:$B,2,TRUE)</f>
        <v>3.4599999999999999E-2</v>
      </c>
      <c r="G263" s="75">
        <f t="shared" si="126"/>
        <v>665.08613395678594</v>
      </c>
      <c r="H263" s="75">
        <f t="shared" si="120"/>
        <v>5.7215579272577495</v>
      </c>
      <c r="I263" s="180">
        <v>0</v>
      </c>
      <c r="J263" s="76">
        <v>0</v>
      </c>
      <c r="K263" s="116">
        <f t="shared" si="121"/>
        <v>0</v>
      </c>
      <c r="L263" s="76">
        <v>0</v>
      </c>
      <c r="M263" s="117">
        <f t="shared" si="122"/>
        <v>0</v>
      </c>
      <c r="N263" s="8">
        <f t="shared" si="123"/>
        <v>670.80769188404372</v>
      </c>
      <c r="O263" s="75">
        <f t="shared" si="124"/>
        <v>670.80769188404372</v>
      </c>
    </row>
    <row r="264" spans="1:15" x14ac:dyDescent="0.25">
      <c r="A264" s="78"/>
      <c r="B264" s="72"/>
      <c r="C264" s="73">
        <f t="shared" si="127"/>
        <v>42552</v>
      </c>
      <c r="D264" s="73">
        <f t="shared" si="128"/>
        <v>42643</v>
      </c>
      <c r="E264" s="72">
        <f t="shared" si="125"/>
        <v>92</v>
      </c>
      <c r="F264" s="74">
        <f>VLOOKUP(D264,'FERC Interest Rate'!$A:$B,2,TRUE)</f>
        <v>3.5000000000000003E-2</v>
      </c>
      <c r="G264" s="75">
        <f t="shared" si="126"/>
        <v>670.80769188404372</v>
      </c>
      <c r="H264" s="75">
        <f t="shared" si="120"/>
        <v>5.9016414422585282</v>
      </c>
      <c r="I264" s="180">
        <v>0</v>
      </c>
      <c r="J264" s="76">
        <v>0</v>
      </c>
      <c r="K264" s="116">
        <f t="shared" si="121"/>
        <v>0</v>
      </c>
      <c r="L264" s="76">
        <v>0</v>
      </c>
      <c r="M264" s="117">
        <f t="shared" si="122"/>
        <v>0</v>
      </c>
      <c r="N264" s="8">
        <f t="shared" si="123"/>
        <v>676.70933332630227</v>
      </c>
      <c r="O264" s="75">
        <f t="shared" si="124"/>
        <v>676.70933332630227</v>
      </c>
    </row>
    <row r="265" spans="1:15" x14ac:dyDescent="0.25">
      <c r="A265" s="78"/>
      <c r="B265" s="72"/>
      <c r="C265" s="73">
        <f t="shared" si="127"/>
        <v>42644</v>
      </c>
      <c r="D265" s="73">
        <f t="shared" si="128"/>
        <v>42735</v>
      </c>
      <c r="E265" s="72">
        <f t="shared" si="125"/>
        <v>92</v>
      </c>
      <c r="F265" s="74">
        <f>VLOOKUP(D265,'FERC Interest Rate'!$A:$B,2,TRUE)</f>
        <v>3.5000000000000003E-2</v>
      </c>
      <c r="G265" s="75">
        <f t="shared" si="126"/>
        <v>676.70933332630227</v>
      </c>
      <c r="H265" s="75">
        <f t="shared" si="120"/>
        <v>5.953562987187687</v>
      </c>
      <c r="I265" s="180">
        <v>0</v>
      </c>
      <c r="J265" s="76">
        <v>0</v>
      </c>
      <c r="K265" s="116">
        <f t="shared" si="121"/>
        <v>0</v>
      </c>
      <c r="L265" s="76">
        <v>0</v>
      </c>
      <c r="M265" s="117">
        <f t="shared" si="122"/>
        <v>0</v>
      </c>
      <c r="N265" s="8">
        <f t="shared" si="123"/>
        <v>682.66289631348991</v>
      </c>
      <c r="O265" s="75">
        <f t="shared" si="124"/>
        <v>682.66289631348991</v>
      </c>
    </row>
    <row r="266" spans="1:15" x14ac:dyDescent="0.25">
      <c r="A266" s="78" t="s">
        <v>101</v>
      </c>
      <c r="B266" s="72" t="str">
        <f t="shared" ref="B266:B279" si="129">+IF(MONTH(C266)&lt;4,"Q1",IF(MONTH(C266)&lt;7,"Q2",IF(MONTH(C266)&lt;10,"Q3","Q4")))&amp;"/"&amp;YEAR(C266)</f>
        <v>Q1/2017</v>
      </c>
      <c r="C266" s="73">
        <f t="shared" si="127"/>
        <v>42736</v>
      </c>
      <c r="D266" s="73">
        <f t="shared" si="128"/>
        <v>42825</v>
      </c>
      <c r="E266" s="72">
        <f t="shared" si="125"/>
        <v>90</v>
      </c>
      <c r="F266" s="74">
        <f>VLOOKUP(D266,'FERC Interest Rate'!$A:$B,2,TRUE)</f>
        <v>3.5000000000000003E-2</v>
      </c>
      <c r="G266" s="75">
        <f t="shared" si="126"/>
        <v>682.66289631348991</v>
      </c>
      <c r="H266" s="75">
        <f t="shared" si="120"/>
        <v>5.8914743106506666</v>
      </c>
      <c r="I266" s="180">
        <f>SUM($H$261:$H$283)/20*4</f>
        <v>6.1931783463498551</v>
      </c>
      <c r="J266" s="76">
        <f t="shared" ref="J266:J282" si="130">G266*F266*(E266/(DATE(YEAR(D266),12,31)-DATE(YEAR(D266),1,1)+1))</f>
        <v>5.8914743106506666</v>
      </c>
      <c r="K266" s="116">
        <f t="shared" si="121"/>
        <v>12.084652657000522</v>
      </c>
      <c r="L266" s="76">
        <f>VLOOKUP($B$262,A$1:F$25,5,FALSE)/20*4</f>
        <v>131.51769577847827</v>
      </c>
      <c r="M266" s="117">
        <f t="shared" si="122"/>
        <v>143.6023484354788</v>
      </c>
      <c r="N266" s="8">
        <f t="shared" si="123"/>
        <v>694.44584493479124</v>
      </c>
      <c r="O266" s="75">
        <f t="shared" si="124"/>
        <v>550.84349649931244</v>
      </c>
    </row>
    <row r="267" spans="1:15" x14ac:dyDescent="0.25">
      <c r="A267" s="78" t="s">
        <v>56</v>
      </c>
      <c r="B267" s="72" t="str">
        <f t="shared" si="129"/>
        <v>Q2/2017</v>
      </c>
      <c r="C267" s="73">
        <f t="shared" si="127"/>
        <v>42826</v>
      </c>
      <c r="D267" s="73">
        <f t="shared" si="128"/>
        <v>42916</v>
      </c>
      <c r="E267" s="72">
        <f t="shared" si="125"/>
        <v>91</v>
      </c>
      <c r="F267" s="74">
        <f>VLOOKUP(D267,'FERC Interest Rate'!$A:$B,2,TRUE)</f>
        <v>3.7100000000000001E-2</v>
      </c>
      <c r="G267" s="75">
        <f t="shared" si="126"/>
        <v>550.84349649931244</v>
      </c>
      <c r="H267" s="75">
        <v>0</v>
      </c>
      <c r="I267" s="180">
        <f>SUM($H$261:$H$283)/20</f>
        <v>1.5482945865874638</v>
      </c>
      <c r="J267" s="76">
        <f t="shared" si="130"/>
        <v>5.0950759685789828</v>
      </c>
      <c r="K267" s="116">
        <f t="shared" si="121"/>
        <v>6.643370555166447</v>
      </c>
      <c r="L267" s="76">
        <f t="shared" ref="L267:L282" si="131">VLOOKUP($B$262,A$1:F$25,5,FALSE)/20</f>
        <v>32.879423944619568</v>
      </c>
      <c r="M267" s="117">
        <f t="shared" si="122"/>
        <v>39.522794499786016</v>
      </c>
      <c r="N267" s="8">
        <f t="shared" si="123"/>
        <v>555.93857246789139</v>
      </c>
      <c r="O267" s="75">
        <f t="shared" si="124"/>
        <v>516.41577796810543</v>
      </c>
    </row>
    <row r="268" spans="1:15" x14ac:dyDescent="0.25">
      <c r="A268" s="78" t="s">
        <v>57</v>
      </c>
      <c r="B268" s="72" t="str">
        <f t="shared" si="129"/>
        <v>Q3/2017</v>
      </c>
      <c r="C268" s="73">
        <f t="shared" si="127"/>
        <v>42917</v>
      </c>
      <c r="D268" s="73">
        <f t="shared" si="128"/>
        <v>43008</v>
      </c>
      <c r="E268" s="72">
        <f t="shared" si="125"/>
        <v>92</v>
      </c>
      <c r="F268" s="74">
        <f>VLOOKUP(D268,'FERC Interest Rate'!$A:$B,2,TRUE)</f>
        <v>3.9600000000000003E-2</v>
      </c>
      <c r="G268" s="75">
        <f t="shared" si="126"/>
        <v>516.41577796810543</v>
      </c>
      <c r="H268" s="75">
        <v>0</v>
      </c>
      <c r="I268" s="180">
        <f>SUM($H$261:$H$283)/20</f>
        <v>1.5482945865874638</v>
      </c>
      <c r="J268" s="76">
        <f t="shared" si="130"/>
        <v>5.1545368829956217</v>
      </c>
      <c r="K268" s="116">
        <f t="shared" si="121"/>
        <v>6.7028314695830851</v>
      </c>
      <c r="L268" s="76">
        <f t="shared" si="131"/>
        <v>32.879423944619568</v>
      </c>
      <c r="M268" s="117">
        <f t="shared" si="122"/>
        <v>39.582255414202649</v>
      </c>
      <c r="N268" s="8">
        <f t="shared" si="123"/>
        <v>521.5703148511011</v>
      </c>
      <c r="O268" s="75">
        <f t="shared" si="124"/>
        <v>481.98805943689837</v>
      </c>
    </row>
    <row r="269" spans="1:15" x14ac:dyDescent="0.25">
      <c r="A269" s="78" t="s">
        <v>58</v>
      </c>
      <c r="B269" s="72" t="str">
        <f t="shared" si="129"/>
        <v>Q4/2017</v>
      </c>
      <c r="C269" s="73">
        <f t="shared" si="127"/>
        <v>43009</v>
      </c>
      <c r="D269" s="73">
        <f t="shared" si="128"/>
        <v>43100</v>
      </c>
      <c r="E269" s="72">
        <f t="shared" si="125"/>
        <v>92</v>
      </c>
      <c r="F269" s="74">
        <f>VLOOKUP(D269,'FERC Interest Rate'!$A:$B,2,TRUE)</f>
        <v>4.2099999999999999E-2</v>
      </c>
      <c r="G269" s="75">
        <f t="shared" si="126"/>
        <v>481.98805943689837</v>
      </c>
      <c r="H269" s="75">
        <v>0</v>
      </c>
      <c r="I269" s="99">
        <f>SUM($H$261:$H$283)/20</f>
        <v>1.5482945865874638</v>
      </c>
      <c r="J269" s="76">
        <f t="shared" si="130"/>
        <v>5.1146195940027255</v>
      </c>
      <c r="K269" s="116">
        <f t="shared" si="121"/>
        <v>6.6629141805901888</v>
      </c>
      <c r="L269" s="76">
        <f t="shared" si="131"/>
        <v>32.879423944619568</v>
      </c>
      <c r="M269" s="117">
        <f t="shared" si="122"/>
        <v>39.542338125209753</v>
      </c>
      <c r="N269" s="8">
        <f t="shared" si="123"/>
        <v>487.10267903090107</v>
      </c>
      <c r="O269" s="75">
        <f t="shared" si="124"/>
        <v>447.56034090569131</v>
      </c>
    </row>
    <row r="270" spans="1:15" x14ac:dyDescent="0.25">
      <c r="A270" s="78" t="s">
        <v>59</v>
      </c>
      <c r="B270" s="72" t="str">
        <f t="shared" si="129"/>
        <v>Q1/2018</v>
      </c>
      <c r="C270" s="73">
        <f t="shared" si="127"/>
        <v>43101</v>
      </c>
      <c r="D270" s="73">
        <f t="shared" si="128"/>
        <v>43190</v>
      </c>
      <c r="E270" s="72">
        <f t="shared" si="125"/>
        <v>90</v>
      </c>
      <c r="F270" s="74">
        <f>VLOOKUP(D270,'FERC Interest Rate'!$A:$B,2,TRUE)</f>
        <v>4.2500000000000003E-2</v>
      </c>
      <c r="G270" s="75">
        <f t="shared" si="126"/>
        <v>447.56034090569131</v>
      </c>
      <c r="H270" s="75">
        <v>0</v>
      </c>
      <c r="I270" s="99">
        <f>SUM($H$261:$H$283)/20</f>
        <v>1.5482945865874638</v>
      </c>
      <c r="J270" s="76">
        <f t="shared" si="130"/>
        <v>4.6901871341486832</v>
      </c>
      <c r="K270" s="116">
        <f t="shared" si="121"/>
        <v>6.2384817207361465</v>
      </c>
      <c r="L270" s="76">
        <f t="shared" si="131"/>
        <v>32.879423944619568</v>
      </c>
      <c r="M270" s="117">
        <f t="shared" si="122"/>
        <v>39.117905665355714</v>
      </c>
      <c r="N270" s="8">
        <f t="shared" si="123"/>
        <v>452.25052803983999</v>
      </c>
      <c r="O270" s="75">
        <f t="shared" si="124"/>
        <v>413.13262237448424</v>
      </c>
    </row>
    <row r="271" spans="1:15" x14ac:dyDescent="0.25">
      <c r="A271" s="78" t="s">
        <v>60</v>
      </c>
      <c r="B271" s="72" t="str">
        <f t="shared" si="129"/>
        <v>Q2/2018</v>
      </c>
      <c r="C271" s="73">
        <f t="shared" si="127"/>
        <v>43191</v>
      </c>
      <c r="D271" s="73">
        <f t="shared" si="128"/>
        <v>43281</v>
      </c>
      <c r="E271" s="72">
        <f t="shared" si="125"/>
        <v>91</v>
      </c>
      <c r="F271" s="74">
        <f>VLOOKUP(D271,'FERC Interest Rate'!$A:$B,2,TRUE)</f>
        <v>4.4699999999999997E-2</v>
      </c>
      <c r="G271" s="75">
        <f t="shared" si="126"/>
        <v>413.13262237448424</v>
      </c>
      <c r="H271" s="75">
        <v>0</v>
      </c>
      <c r="I271" s="99">
        <f t="shared" ref="I271:I282" si="132">SUM($H$261:$H$283)/20</f>
        <v>1.5482945865874638</v>
      </c>
      <c r="J271" s="76">
        <f>G271*F271*(E271/(DATE(YEAR(D271),12,31)-DATE(YEAR(D271),1,1)+1))</f>
        <v>4.6041084055690122</v>
      </c>
      <c r="K271" s="116">
        <f t="shared" si="121"/>
        <v>6.1524029921564765</v>
      </c>
      <c r="L271" s="76">
        <f t="shared" si="131"/>
        <v>32.879423944619568</v>
      </c>
      <c r="M271" s="117">
        <f t="shared" si="122"/>
        <v>39.031826936776042</v>
      </c>
      <c r="N271" s="8">
        <f t="shared" si="123"/>
        <v>417.73673078005328</v>
      </c>
      <c r="O271" s="75">
        <f t="shared" si="124"/>
        <v>378.70490384327718</v>
      </c>
    </row>
    <row r="272" spans="1:15" x14ac:dyDescent="0.25">
      <c r="A272" s="78" t="s">
        <v>61</v>
      </c>
      <c r="B272" s="72" t="str">
        <f t="shared" si="129"/>
        <v>Q3/2018</v>
      </c>
      <c r="C272" s="73">
        <f t="shared" si="127"/>
        <v>43282</v>
      </c>
      <c r="D272" s="73">
        <f t="shared" si="128"/>
        <v>43373</v>
      </c>
      <c r="E272" s="72">
        <f t="shared" si="125"/>
        <v>92</v>
      </c>
      <c r="F272" s="74">
        <f>VLOOKUP(D272,'FERC Interest Rate'!$A:$B,2,TRUE)</f>
        <v>4.6899999999999997E-2</v>
      </c>
      <c r="G272" s="75">
        <f t="shared" si="126"/>
        <v>378.70490384327718</v>
      </c>
      <c r="H272" s="75">
        <v>0</v>
      </c>
      <c r="I272" s="99">
        <f t="shared" si="132"/>
        <v>1.5482945865874638</v>
      </c>
      <c r="J272" s="76">
        <f t="shared" si="130"/>
        <v>4.4768107372684174</v>
      </c>
      <c r="K272" s="116">
        <f t="shared" si="121"/>
        <v>6.0251053238558807</v>
      </c>
      <c r="L272" s="76">
        <f t="shared" si="131"/>
        <v>32.879423944619568</v>
      </c>
      <c r="M272" s="117">
        <f t="shared" si="122"/>
        <v>38.90452926847545</v>
      </c>
      <c r="N272" s="8">
        <f t="shared" si="123"/>
        <v>383.18171458054559</v>
      </c>
      <c r="O272" s="75">
        <f t="shared" si="124"/>
        <v>344.27718531207012</v>
      </c>
    </row>
    <row r="273" spans="1:15" x14ac:dyDescent="0.25">
      <c r="A273" s="78" t="s">
        <v>62</v>
      </c>
      <c r="B273" s="72" t="str">
        <f t="shared" si="129"/>
        <v>Q4/2018</v>
      </c>
      <c r="C273" s="73">
        <f t="shared" si="127"/>
        <v>43374</v>
      </c>
      <c r="D273" s="73">
        <f t="shared" si="128"/>
        <v>43465</v>
      </c>
      <c r="E273" s="72">
        <f t="shared" si="125"/>
        <v>92</v>
      </c>
      <c r="F273" s="74">
        <f>VLOOKUP(D273,'FERC Interest Rate'!$A:$B,2,TRUE)</f>
        <v>4.9599999999999998E-2</v>
      </c>
      <c r="G273" s="75">
        <f t="shared" si="126"/>
        <v>344.27718531207012</v>
      </c>
      <c r="H273" s="75">
        <v>0</v>
      </c>
      <c r="I273" s="99">
        <f t="shared" si="132"/>
        <v>1.5482945865874638</v>
      </c>
      <c r="J273" s="76">
        <f t="shared" si="130"/>
        <v>4.304125074016544</v>
      </c>
      <c r="K273" s="116">
        <f t="shared" si="121"/>
        <v>5.8524196606040082</v>
      </c>
      <c r="L273" s="76">
        <f t="shared" si="131"/>
        <v>32.879423944619568</v>
      </c>
      <c r="M273" s="117">
        <f t="shared" si="122"/>
        <v>38.731843605223574</v>
      </c>
      <c r="N273" s="8">
        <f t="shared" si="123"/>
        <v>348.58131038608667</v>
      </c>
      <c r="O273" s="75">
        <f t="shared" si="124"/>
        <v>309.84946678086305</v>
      </c>
    </row>
    <row r="274" spans="1:15" x14ac:dyDescent="0.25">
      <c r="A274" s="78" t="s">
        <v>63</v>
      </c>
      <c r="B274" s="72" t="str">
        <f t="shared" si="129"/>
        <v>Q1/2019</v>
      </c>
      <c r="C274" s="73">
        <f t="shared" si="127"/>
        <v>43466</v>
      </c>
      <c r="D274" s="73">
        <f t="shared" si="128"/>
        <v>43555</v>
      </c>
      <c r="E274" s="72">
        <f t="shared" si="125"/>
        <v>90</v>
      </c>
      <c r="F274" s="74">
        <f>VLOOKUP(D274,'FERC Interest Rate'!$A:$B,2,TRUE)</f>
        <v>5.1799999999999999E-2</v>
      </c>
      <c r="G274" s="75">
        <f t="shared" si="126"/>
        <v>309.84946678086305</v>
      </c>
      <c r="H274" s="75">
        <v>0</v>
      </c>
      <c r="I274" s="99">
        <f t="shared" si="132"/>
        <v>1.5482945865874638</v>
      </c>
      <c r="J274" s="76">
        <f t="shared" si="130"/>
        <v>3.9575841483079</v>
      </c>
      <c r="K274" s="116">
        <f t="shared" si="121"/>
        <v>5.5058787348953633</v>
      </c>
      <c r="L274" s="76">
        <f t="shared" si="131"/>
        <v>32.879423944619568</v>
      </c>
      <c r="M274" s="117">
        <f t="shared" si="122"/>
        <v>38.385302679514929</v>
      </c>
      <c r="N274" s="8">
        <f t="shared" si="123"/>
        <v>313.80705092917094</v>
      </c>
      <c r="O274" s="75">
        <f t="shared" si="124"/>
        <v>275.42174824965599</v>
      </c>
    </row>
    <row r="275" spans="1:15" x14ac:dyDescent="0.25">
      <c r="A275" s="78" t="s">
        <v>64</v>
      </c>
      <c r="B275" s="72" t="str">
        <f t="shared" si="129"/>
        <v>Q2/2019</v>
      </c>
      <c r="C275" s="73">
        <f t="shared" si="127"/>
        <v>43556</v>
      </c>
      <c r="D275" s="73">
        <f t="shared" si="128"/>
        <v>43646</v>
      </c>
      <c r="E275" s="72">
        <f t="shared" si="125"/>
        <v>91</v>
      </c>
      <c r="F275" s="74">
        <f>VLOOKUP(D275,'FERC Interest Rate'!$A:$B,2,TRUE)</f>
        <v>5.45E-2</v>
      </c>
      <c r="G275" s="75">
        <f t="shared" si="126"/>
        <v>275.42174824965599</v>
      </c>
      <c r="H275" s="75">
        <v>0</v>
      </c>
      <c r="I275" s="99">
        <f t="shared" si="132"/>
        <v>1.5482945865874638</v>
      </c>
      <c r="J275" s="76">
        <f t="shared" si="130"/>
        <v>3.7423401656004627</v>
      </c>
      <c r="K275" s="116">
        <f t="shared" si="121"/>
        <v>5.2906347521879269</v>
      </c>
      <c r="L275" s="76">
        <f t="shared" si="131"/>
        <v>32.879423944619568</v>
      </c>
      <c r="M275" s="117">
        <f t="shared" si="122"/>
        <v>38.170058696807494</v>
      </c>
      <c r="N275" s="8">
        <f t="shared" si="123"/>
        <v>279.16408841525646</v>
      </c>
      <c r="O275" s="75">
        <f t="shared" si="124"/>
        <v>240.99402971844896</v>
      </c>
    </row>
    <row r="276" spans="1:15" x14ac:dyDescent="0.25">
      <c r="A276" s="78" t="s">
        <v>65</v>
      </c>
      <c r="B276" s="72" t="str">
        <f t="shared" si="129"/>
        <v>Q3/2019</v>
      </c>
      <c r="C276" s="73">
        <f t="shared" si="127"/>
        <v>43647</v>
      </c>
      <c r="D276" s="73">
        <f t="shared" si="128"/>
        <v>43738</v>
      </c>
      <c r="E276" s="72">
        <f t="shared" si="125"/>
        <v>92</v>
      </c>
      <c r="F276" s="74">
        <f>VLOOKUP(D276,'FERC Interest Rate'!$A:$B,2,TRUE)</f>
        <v>5.5E-2</v>
      </c>
      <c r="G276" s="75">
        <f t="shared" si="126"/>
        <v>240.99402971844896</v>
      </c>
      <c r="H276" s="75">
        <v>0</v>
      </c>
      <c r="I276" s="99">
        <f t="shared" si="132"/>
        <v>1.5482945865874638</v>
      </c>
      <c r="J276" s="76">
        <f t="shared" si="130"/>
        <v>3.3409035352749368</v>
      </c>
      <c r="K276" s="116">
        <f t="shared" si="121"/>
        <v>4.8891981218624005</v>
      </c>
      <c r="L276" s="76">
        <f t="shared" si="131"/>
        <v>32.879423944619568</v>
      </c>
      <c r="M276" s="117">
        <f t="shared" si="122"/>
        <v>37.768622066481967</v>
      </c>
      <c r="N276" s="8">
        <f t="shared" si="123"/>
        <v>244.3349332537239</v>
      </c>
      <c r="O276" s="75">
        <f t="shared" si="124"/>
        <v>206.56631118724192</v>
      </c>
    </row>
    <row r="277" spans="1:15" x14ac:dyDescent="0.25">
      <c r="A277" s="78" t="s">
        <v>66</v>
      </c>
      <c r="B277" s="72" t="str">
        <f t="shared" si="129"/>
        <v>Q4/2019</v>
      </c>
      <c r="C277" s="73">
        <f t="shared" si="127"/>
        <v>43739</v>
      </c>
      <c r="D277" s="73">
        <f t="shared" si="128"/>
        <v>43830</v>
      </c>
      <c r="E277" s="72">
        <f t="shared" si="125"/>
        <v>92</v>
      </c>
      <c r="F277" s="74">
        <f>VLOOKUP(D277,'FERC Interest Rate'!$A:$B,2,TRUE)</f>
        <v>5.4199999999999998E-2</v>
      </c>
      <c r="G277" s="75">
        <f t="shared" si="126"/>
        <v>206.56631118724192</v>
      </c>
      <c r="H277" s="75">
        <v>0</v>
      </c>
      <c r="I277" s="99">
        <f t="shared" si="132"/>
        <v>1.5482945865874638</v>
      </c>
      <c r="J277" s="76">
        <f t="shared" si="130"/>
        <v>2.8219787783672965</v>
      </c>
      <c r="K277" s="116">
        <f t="shared" si="121"/>
        <v>4.3702733649547607</v>
      </c>
      <c r="L277" s="76">
        <f t="shared" si="131"/>
        <v>32.879423944619568</v>
      </c>
      <c r="M277" s="117">
        <f t="shared" si="122"/>
        <v>37.24969730957433</v>
      </c>
      <c r="N277" s="8">
        <f t="shared" si="123"/>
        <v>209.38828996560923</v>
      </c>
      <c r="O277" s="75">
        <f t="shared" si="124"/>
        <v>172.13859265603489</v>
      </c>
    </row>
    <row r="278" spans="1:15" x14ac:dyDescent="0.25">
      <c r="A278" s="78" t="s">
        <v>67</v>
      </c>
      <c r="B278" s="72" t="str">
        <f t="shared" si="129"/>
        <v>Q1/2020</v>
      </c>
      <c r="C278" s="73">
        <f t="shared" si="127"/>
        <v>43831</v>
      </c>
      <c r="D278" s="73">
        <f t="shared" si="128"/>
        <v>43921</v>
      </c>
      <c r="E278" s="72">
        <f t="shared" si="125"/>
        <v>91</v>
      </c>
      <c r="F278" s="74">
        <f>VLOOKUP(D278,'FERC Interest Rate'!$A:$B,2,TRUE)</f>
        <v>4.9599999999999998E-2</v>
      </c>
      <c r="G278" s="75">
        <f t="shared" si="126"/>
        <v>172.13859265603489</v>
      </c>
      <c r="H278" s="75">
        <v>0</v>
      </c>
      <c r="I278" s="99">
        <f t="shared" si="132"/>
        <v>1.5482945865874638</v>
      </c>
      <c r="J278" s="76">
        <f t="shared" si="130"/>
        <v>2.1228545131483036</v>
      </c>
      <c r="K278" s="116">
        <f t="shared" si="121"/>
        <v>3.6711490997357674</v>
      </c>
      <c r="L278" s="76">
        <f t="shared" si="131"/>
        <v>32.879423944619568</v>
      </c>
      <c r="M278" s="117">
        <f t="shared" si="122"/>
        <v>36.550573044355332</v>
      </c>
      <c r="N278" s="8">
        <f t="shared" si="123"/>
        <v>174.26144716918319</v>
      </c>
      <c r="O278" s="75">
        <f t="shared" si="124"/>
        <v>137.71087412482785</v>
      </c>
    </row>
    <row r="279" spans="1:15" x14ac:dyDescent="0.25">
      <c r="A279" s="78" t="s">
        <v>68</v>
      </c>
      <c r="B279" s="72" t="str">
        <f t="shared" si="129"/>
        <v>Q2/2020</v>
      </c>
      <c r="C279" s="73">
        <f t="shared" si="127"/>
        <v>43922</v>
      </c>
      <c r="D279" s="73">
        <f t="shared" si="128"/>
        <v>44012</v>
      </c>
      <c r="E279" s="72">
        <f t="shared" si="125"/>
        <v>91</v>
      </c>
      <c r="F279" s="74">
        <f>VLOOKUP(D279,'FERC Interest Rate'!$A:$B,2,TRUE)</f>
        <v>4.7503500000000004E-2</v>
      </c>
      <c r="G279" s="75">
        <f t="shared" si="126"/>
        <v>137.71087412482785</v>
      </c>
      <c r="H279" s="75">
        <v>0</v>
      </c>
      <c r="I279" s="99">
        <f t="shared" si="132"/>
        <v>1.5482945865874638</v>
      </c>
      <c r="J279" s="76">
        <f t="shared" si="130"/>
        <v>1.6265003123442001</v>
      </c>
      <c r="K279" s="116">
        <f t="shared" si="121"/>
        <v>3.1747948989316637</v>
      </c>
      <c r="L279" s="76">
        <f t="shared" si="131"/>
        <v>32.879423944619568</v>
      </c>
      <c r="M279" s="117">
        <f t="shared" si="122"/>
        <v>36.054218843551233</v>
      </c>
      <c r="N279" s="8">
        <f t="shared" si="123"/>
        <v>139.33737443717206</v>
      </c>
      <c r="O279" s="75">
        <f t="shared" si="124"/>
        <v>103.28315559362083</v>
      </c>
    </row>
    <row r="280" spans="1:15" x14ac:dyDescent="0.25">
      <c r="A280" s="78" t="s">
        <v>69</v>
      </c>
      <c r="B280" s="72" t="str">
        <f>+IF(MONTH(C280)&lt;4,"Q1",IF(MONTH(C280)&lt;7,"Q2",IF(MONTH(C280)&lt;10,"Q3","Q4")))&amp;"/"&amp;YEAR(C280)</f>
        <v>Q3/2020</v>
      </c>
      <c r="C280" s="73">
        <f t="shared" si="127"/>
        <v>44013</v>
      </c>
      <c r="D280" s="73">
        <f t="shared" si="128"/>
        <v>44104</v>
      </c>
      <c r="E280" s="72">
        <f t="shared" si="125"/>
        <v>92</v>
      </c>
      <c r="F280" s="74">
        <f>VLOOKUP(D280,'FERC Interest Rate'!$A:$B,2,TRUE)</f>
        <v>4.7507929999999997E-2</v>
      </c>
      <c r="G280" s="75">
        <f t="shared" si="126"/>
        <v>103.28315559362083</v>
      </c>
      <c r="H280" s="75">
        <v>0</v>
      </c>
      <c r="I280" s="99">
        <f t="shared" si="132"/>
        <v>1.5482945865874638</v>
      </c>
      <c r="J280" s="76">
        <f t="shared" si="130"/>
        <v>1.2333954677680816</v>
      </c>
      <c r="K280" s="116">
        <f t="shared" si="121"/>
        <v>2.7816900543555452</v>
      </c>
      <c r="L280" s="76">
        <f t="shared" si="131"/>
        <v>32.879423944619568</v>
      </c>
      <c r="M280" s="117">
        <f t="shared" si="122"/>
        <v>35.661113998975111</v>
      </c>
      <c r="N280" s="8">
        <f t="shared" si="123"/>
        <v>104.51655106138891</v>
      </c>
      <c r="O280" s="75">
        <f t="shared" si="124"/>
        <v>68.855437062413799</v>
      </c>
    </row>
    <row r="281" spans="1:15" x14ac:dyDescent="0.25">
      <c r="A281" s="78" t="s">
        <v>70</v>
      </c>
      <c r="B281" s="72" t="str">
        <f>+IF(MONTH(C281)&lt;4,"Q1",IF(MONTH(C281)&lt;7,"Q2",IF(MONTH(C281)&lt;10,"Q3","Q4")))&amp;"/"&amp;YEAR(C281)</f>
        <v>Q4/2020</v>
      </c>
      <c r="C281" s="73">
        <f t="shared" si="127"/>
        <v>44105</v>
      </c>
      <c r="D281" s="73">
        <f t="shared" si="128"/>
        <v>44196</v>
      </c>
      <c r="E281" s="72">
        <f t="shared" si="125"/>
        <v>92</v>
      </c>
      <c r="F281" s="74">
        <f>VLOOKUP(D281,'FERC Interest Rate'!$A:$B,2,TRUE)</f>
        <v>4.7922320000000004E-2</v>
      </c>
      <c r="G281" s="75">
        <f t="shared" si="126"/>
        <v>68.855437062413799</v>
      </c>
      <c r="H281" s="75">
        <v>0</v>
      </c>
      <c r="I281" s="99">
        <f t="shared" si="132"/>
        <v>1.5482945865874638</v>
      </c>
      <c r="J281" s="76">
        <f t="shared" si="130"/>
        <v>0.82943587583422562</v>
      </c>
      <c r="K281" s="116">
        <f t="shared" si="121"/>
        <v>2.3777304624216895</v>
      </c>
      <c r="L281" s="76">
        <f t="shared" si="131"/>
        <v>32.879423944619568</v>
      </c>
      <c r="M281" s="117">
        <f t="shared" si="122"/>
        <v>35.257154407041256</v>
      </c>
      <c r="N281" s="8">
        <f t="shared" si="123"/>
        <v>69.68487293824802</v>
      </c>
      <c r="O281" s="75">
        <f t="shared" si="124"/>
        <v>34.427718531206764</v>
      </c>
    </row>
    <row r="282" spans="1:15" x14ac:dyDescent="0.25">
      <c r="A282" s="78" t="s">
        <v>71</v>
      </c>
      <c r="B282" s="72" t="str">
        <f>+IF(MONTH(C282)&lt;4,"Q1",IF(MONTH(C282)&lt;7,"Q2",IF(MONTH(C282)&lt;10,"Q3","Q4")))&amp;"/"&amp;YEAR(C282)</f>
        <v>Q1/2021</v>
      </c>
      <c r="C282" s="73">
        <f t="shared" si="127"/>
        <v>44197</v>
      </c>
      <c r="D282" s="73">
        <f t="shared" si="128"/>
        <v>44286</v>
      </c>
      <c r="E282" s="72">
        <f t="shared" si="125"/>
        <v>90</v>
      </c>
      <c r="F282" s="74">
        <f>VLOOKUP(D282,'FERC Interest Rate'!$A:$B,2,TRUE)</f>
        <v>5.0023470000000007E-2</v>
      </c>
      <c r="G282" s="75">
        <f t="shared" si="126"/>
        <v>34.427718531206764</v>
      </c>
      <c r="H282" s="75">
        <v>0</v>
      </c>
      <c r="I282" s="99">
        <f t="shared" si="132"/>
        <v>1.5482945865874638</v>
      </c>
      <c r="J282" s="76">
        <f t="shared" si="130"/>
        <v>0.42465056180899702</v>
      </c>
      <c r="K282" s="116">
        <f t="shared" si="121"/>
        <v>1.9729451483964608</v>
      </c>
      <c r="L282" s="76">
        <f t="shared" si="131"/>
        <v>32.879423944619568</v>
      </c>
      <c r="M282" s="117">
        <f t="shared" si="122"/>
        <v>34.85236909301603</v>
      </c>
      <c r="N282" s="8">
        <f t="shared" si="123"/>
        <v>34.85236909301576</v>
      </c>
      <c r="O282" s="75">
        <f t="shared" si="124"/>
        <v>-2.6689761511988763E-13</v>
      </c>
    </row>
    <row r="283" spans="1:15" x14ac:dyDescent="0.25">
      <c r="A283" s="78"/>
      <c r="B283" s="72"/>
      <c r="C283" s="73"/>
      <c r="D283" s="73"/>
      <c r="E283" s="72"/>
      <c r="F283" s="74"/>
      <c r="G283" s="75"/>
      <c r="H283" s="75"/>
      <c r="I283" s="99"/>
      <c r="J283" s="76"/>
      <c r="K283" s="116"/>
      <c r="L283" s="76"/>
      <c r="M283" s="117"/>
      <c r="N283" s="8"/>
      <c r="O283" s="75"/>
    </row>
    <row r="284" spans="1:15" ht="13.5" thickBot="1" x14ac:dyDescent="0.35">
      <c r="A284" s="142"/>
      <c r="B284" s="143"/>
      <c r="C284" s="144"/>
      <c r="D284" s="144"/>
      <c r="E284" s="145"/>
      <c r="F284" s="143"/>
      <c r="G284" s="127">
        <f t="shared" ref="G284:O284" si="133">+SUM(G261:G283)</f>
        <v>8694.7791722653619</v>
      </c>
      <c r="H284" s="127">
        <f t="shared" si="133"/>
        <v>30.965891731749274</v>
      </c>
      <c r="I284" s="128">
        <f t="shared" si="133"/>
        <v>30.96589173174927</v>
      </c>
      <c r="J284" s="127">
        <f t="shared" si="133"/>
        <v>59.430581465685066</v>
      </c>
      <c r="K284" s="127">
        <f t="shared" si="133"/>
        <v>90.396473197434347</v>
      </c>
      <c r="L284" s="127">
        <f t="shared" si="133"/>
        <v>657.58847889239155</v>
      </c>
      <c r="M284" s="129">
        <f t="shared" si="133"/>
        <v>747.9849520898257</v>
      </c>
      <c r="N284" s="127">
        <f t="shared" si="133"/>
        <v>8785.1756454627975</v>
      </c>
      <c r="O284" s="127">
        <f t="shared" si="133"/>
        <v>8037.1906933729706</v>
      </c>
    </row>
    <row r="285" spans="1:15" ht="13" thickTop="1" x14ac:dyDescent="0.25">
      <c r="B285" s="103"/>
      <c r="C285" s="103"/>
      <c r="D285" s="103"/>
      <c r="E285" s="103"/>
      <c r="F285" s="103"/>
      <c r="G285" s="103"/>
      <c r="H285" s="103"/>
      <c r="I285" s="102"/>
      <c r="J285" s="103"/>
      <c r="K285" s="103"/>
      <c r="L285" s="103"/>
      <c r="M285" s="118"/>
      <c r="O285" s="103"/>
    </row>
    <row r="286" spans="1:15" ht="13" thickBot="1" x14ac:dyDescent="0.3">
      <c r="I286" s="106"/>
      <c r="J286" s="107"/>
      <c r="K286" s="107"/>
      <c r="L286" s="107"/>
      <c r="M286" s="108"/>
    </row>
  </sheetData>
  <mergeCells count="10">
    <mergeCell ref="Q27:V27"/>
    <mergeCell ref="A234:B234"/>
    <mergeCell ref="A261:B261"/>
    <mergeCell ref="A53:B53"/>
    <mergeCell ref="A85:B85"/>
    <mergeCell ref="A116:B116"/>
    <mergeCell ref="A147:B147"/>
    <mergeCell ref="A177:B177"/>
    <mergeCell ref="A206:B206"/>
    <mergeCell ref="A29:B29"/>
  </mergeCells>
  <pageMargins left="0.25" right="0.25" top="0.75" bottom="0.75" header="0.3" footer="0.3"/>
  <pageSetup scale="60" fitToHeight="0" orientation="landscape" r:id="rId1"/>
  <headerFooter alignWithMargins="0">
    <oddHeader>&amp;RTO2021 Annual Update
Attachment 4
WP- Schedule 22 NUCs
Page &amp;P of &amp;N</oddHeader>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V286"/>
  <sheetViews>
    <sheetView view="pageLayout" zoomScale="50" zoomScaleNormal="40" zoomScalePageLayoutView="5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7" width="16.36328125" style="6" customWidth="1"/>
    <col min="8" max="8" width="18.54296875" style="6" customWidth="1"/>
    <col min="9" max="9" width="16.1796875" style="6" customWidth="1"/>
    <col min="10" max="10" width="17.26953125" style="6" bestFit="1" customWidth="1"/>
    <col min="11" max="15" width="16.1796875" style="6" customWidth="1"/>
    <col min="16" max="16" width="1.453125" style="6" customWidth="1"/>
    <col min="17" max="18" width="9.1796875" style="6"/>
    <col min="19" max="22" width="12.54296875" style="6" customWidth="1"/>
    <col min="23" max="16384" width="9.1796875" style="6"/>
  </cols>
  <sheetData>
    <row r="1" spans="1:14" ht="26" x14ac:dyDescent="0.3">
      <c r="A1" s="81" t="s">
        <v>8</v>
      </c>
      <c r="B1" s="82" t="s">
        <v>86</v>
      </c>
      <c r="C1" s="81" t="s">
        <v>2</v>
      </c>
      <c r="D1" s="81" t="s">
        <v>1</v>
      </c>
      <c r="E1" s="82" t="s">
        <v>72</v>
      </c>
      <c r="F1" s="82" t="s">
        <v>47</v>
      </c>
      <c r="H1" s="81" t="s">
        <v>8</v>
      </c>
      <c r="I1" s="82" t="s">
        <v>86</v>
      </c>
      <c r="J1" s="81" t="s">
        <v>2</v>
      </c>
      <c r="K1" s="81" t="s">
        <v>1</v>
      </c>
      <c r="L1" s="82" t="s">
        <v>72</v>
      </c>
      <c r="M1" s="82" t="s">
        <v>114</v>
      </c>
      <c r="N1" s="82" t="s">
        <v>47</v>
      </c>
    </row>
    <row r="2" spans="1:14" ht="12.75" customHeight="1" x14ac:dyDescent="0.25">
      <c r="A2" s="78" t="s">
        <v>52</v>
      </c>
      <c r="B2" s="3">
        <v>41831</v>
      </c>
      <c r="C2" s="4">
        <v>38561</v>
      </c>
      <c r="D2" s="4">
        <v>0</v>
      </c>
      <c r="E2" s="43">
        <v>820.99610606341548</v>
      </c>
      <c r="F2" s="7">
        <f>SUM(C2:E2)</f>
        <v>39381.996106063416</v>
      </c>
      <c r="H2" s="78" t="s">
        <v>52</v>
      </c>
      <c r="I2" s="3">
        <v>41831</v>
      </c>
      <c r="J2" s="4">
        <v>38561</v>
      </c>
      <c r="K2" s="4">
        <v>0</v>
      </c>
      <c r="L2" s="4">
        <v>2904</v>
      </c>
      <c r="M2" s="8">
        <f>18296*L2/64716</f>
        <v>820.99610606341548</v>
      </c>
      <c r="N2" s="7">
        <f t="shared" ref="N2:N15" si="0">SUM(J2:L2)</f>
        <v>41465</v>
      </c>
    </row>
    <row r="3" spans="1:14" ht="12.75" customHeight="1" outlineLevel="1" x14ac:dyDescent="0.25">
      <c r="A3" s="78" t="s">
        <v>53</v>
      </c>
      <c r="B3" s="3">
        <v>41831</v>
      </c>
      <c r="C3" s="4">
        <v>78491</v>
      </c>
      <c r="D3" s="4">
        <v>0</v>
      </c>
      <c r="E3" s="43">
        <v>1709.5604178255765</v>
      </c>
      <c r="F3" s="7">
        <f t="shared" ref="F3:F21" si="1">SUM(C3:E3)</f>
        <v>80200.560417825574</v>
      </c>
      <c r="H3" s="78" t="s">
        <v>53</v>
      </c>
      <c r="I3" s="3">
        <v>41831</v>
      </c>
      <c r="J3" s="4">
        <v>78491</v>
      </c>
      <c r="K3" s="4">
        <v>0</v>
      </c>
      <c r="L3" s="4">
        <v>6047</v>
      </c>
      <c r="M3" s="8">
        <f t="shared" ref="M3:M15" si="2">18296*L3/64716</f>
        <v>1709.5604178255765</v>
      </c>
      <c r="N3" s="7">
        <f t="shared" si="0"/>
        <v>84538</v>
      </c>
    </row>
    <row r="4" spans="1:14" outlineLevel="1" x14ac:dyDescent="0.25">
      <c r="A4" s="78" t="s">
        <v>54</v>
      </c>
      <c r="B4" s="3">
        <v>41873</v>
      </c>
      <c r="C4" s="4">
        <v>137548</v>
      </c>
      <c r="D4" s="4">
        <v>0</v>
      </c>
      <c r="E4" s="43">
        <v>3018.2349959824464</v>
      </c>
      <c r="F4" s="7">
        <f t="shared" si="1"/>
        <v>140566.23499598244</v>
      </c>
      <c r="H4" s="78" t="s">
        <v>54</v>
      </c>
      <c r="I4" s="3">
        <v>41873</v>
      </c>
      <c r="J4" s="4">
        <v>137548</v>
      </c>
      <c r="K4" s="4">
        <v>0</v>
      </c>
      <c r="L4" s="4">
        <v>10676</v>
      </c>
      <c r="M4" s="8">
        <f t="shared" si="2"/>
        <v>3018.2349959824464</v>
      </c>
      <c r="N4" s="7">
        <f t="shared" si="0"/>
        <v>148224</v>
      </c>
    </row>
    <row r="5" spans="1:14" outlineLevel="1" x14ac:dyDescent="0.25">
      <c r="A5" s="78" t="s">
        <v>55</v>
      </c>
      <c r="B5" s="3">
        <v>41978</v>
      </c>
      <c r="C5" s="4">
        <v>190908</v>
      </c>
      <c r="D5" s="4">
        <v>0</v>
      </c>
      <c r="E5" s="43">
        <v>4130.7073366709928</v>
      </c>
      <c r="F5" s="7">
        <f t="shared" si="1"/>
        <v>195038.70733667098</v>
      </c>
      <c r="H5" s="78" t="s">
        <v>55</v>
      </c>
      <c r="I5" s="3">
        <v>41978</v>
      </c>
      <c r="J5" s="4">
        <v>190908</v>
      </c>
      <c r="K5" s="4">
        <v>0</v>
      </c>
      <c r="L5" s="4">
        <v>14611</v>
      </c>
      <c r="M5" s="8">
        <f t="shared" si="2"/>
        <v>4130.7073366709928</v>
      </c>
      <c r="N5" s="7">
        <f t="shared" si="0"/>
        <v>205519</v>
      </c>
    </row>
    <row r="6" spans="1:14" ht="12.75" customHeight="1" outlineLevel="1" x14ac:dyDescent="0.25">
      <c r="A6" s="78" t="s">
        <v>56</v>
      </c>
      <c r="B6" s="3">
        <v>42058</v>
      </c>
      <c r="C6" s="4">
        <v>191013</v>
      </c>
      <c r="D6" s="4">
        <v>0</v>
      </c>
      <c r="E6" s="43">
        <v>3923.479325050992</v>
      </c>
      <c r="F6" s="7">
        <f t="shared" si="1"/>
        <v>194936.47932505098</v>
      </c>
      <c r="H6" s="78" t="s">
        <v>56</v>
      </c>
      <c r="I6" s="3">
        <v>42058</v>
      </c>
      <c r="J6" s="4">
        <v>191013</v>
      </c>
      <c r="K6" s="4">
        <v>0</v>
      </c>
      <c r="L6" s="4">
        <v>13878</v>
      </c>
      <c r="M6" s="8">
        <f t="shared" si="2"/>
        <v>3923.479325050992</v>
      </c>
      <c r="N6" s="7">
        <f t="shared" si="0"/>
        <v>204891</v>
      </c>
    </row>
    <row r="7" spans="1:14" outlineLevel="1" x14ac:dyDescent="0.25">
      <c r="A7" s="78" t="s">
        <v>57</v>
      </c>
      <c r="B7" s="3">
        <v>42143</v>
      </c>
      <c r="C7" s="4">
        <v>145282</v>
      </c>
      <c r="D7" s="4">
        <v>0</v>
      </c>
      <c r="E7" s="43">
        <v>2637.7044316706842</v>
      </c>
      <c r="F7" s="7">
        <f t="shared" si="1"/>
        <v>147919.70443167069</v>
      </c>
      <c r="H7" s="78" t="s">
        <v>57</v>
      </c>
      <c r="I7" s="3">
        <v>42143</v>
      </c>
      <c r="J7" s="4">
        <v>145282</v>
      </c>
      <c r="K7" s="4">
        <v>0</v>
      </c>
      <c r="L7" s="4">
        <v>9330</v>
      </c>
      <c r="M7" s="8">
        <f t="shared" si="2"/>
        <v>2637.7044316706842</v>
      </c>
      <c r="N7" s="7">
        <f t="shared" si="0"/>
        <v>154612</v>
      </c>
    </row>
    <row r="8" spans="1:14" outlineLevel="1" x14ac:dyDescent="0.25">
      <c r="A8" s="78" t="s">
        <v>58</v>
      </c>
      <c r="B8" s="3">
        <v>42242</v>
      </c>
      <c r="C8" s="4">
        <v>97056</v>
      </c>
      <c r="D8" s="4">
        <v>0</v>
      </c>
      <c r="E8" s="43">
        <v>1397.7289078435008</v>
      </c>
      <c r="F8" s="7">
        <f t="shared" si="1"/>
        <v>98453.728907843499</v>
      </c>
      <c r="H8" s="78" t="s">
        <v>58</v>
      </c>
      <c r="I8" s="3">
        <v>42242</v>
      </c>
      <c r="J8" s="4">
        <v>97056</v>
      </c>
      <c r="K8" s="4">
        <v>0</v>
      </c>
      <c r="L8" s="4">
        <v>4944</v>
      </c>
      <c r="M8" s="8">
        <f t="shared" si="2"/>
        <v>1397.7289078435008</v>
      </c>
      <c r="N8" s="7">
        <f t="shared" si="0"/>
        <v>102000</v>
      </c>
    </row>
    <row r="9" spans="1:14" outlineLevel="1" x14ac:dyDescent="0.25">
      <c r="A9" s="78" t="s">
        <v>59</v>
      </c>
      <c r="B9" s="3">
        <v>42333</v>
      </c>
      <c r="C9" s="4">
        <v>64128</v>
      </c>
      <c r="D9" s="4">
        <v>0</v>
      </c>
      <c r="E9" s="43">
        <v>657.58847889239132</v>
      </c>
      <c r="F9" s="7">
        <f t="shared" si="1"/>
        <v>64785.588478892394</v>
      </c>
      <c r="H9" s="78" t="s">
        <v>59</v>
      </c>
      <c r="I9" s="3">
        <v>42333</v>
      </c>
      <c r="J9" s="4">
        <v>64128</v>
      </c>
      <c r="K9" s="4">
        <v>0</v>
      </c>
      <c r="L9" s="4">
        <v>2326</v>
      </c>
      <c r="M9" s="8">
        <f t="shared" si="2"/>
        <v>657.58847889239132</v>
      </c>
      <c r="N9" s="7">
        <f t="shared" si="0"/>
        <v>66454</v>
      </c>
    </row>
    <row r="10" spans="1:14" outlineLevel="1" x14ac:dyDescent="0.25">
      <c r="A10" s="78" t="s">
        <v>60</v>
      </c>
      <c r="B10" s="3">
        <v>42430</v>
      </c>
      <c r="C10" s="4">
        <v>29664</v>
      </c>
      <c r="D10" s="4">
        <v>0</v>
      </c>
      <c r="E10" s="4">
        <v>0</v>
      </c>
      <c r="F10" s="7">
        <f t="shared" si="1"/>
        <v>29664</v>
      </c>
      <c r="H10" s="78" t="s">
        <v>60</v>
      </c>
      <c r="I10" s="3">
        <v>42430</v>
      </c>
      <c r="J10" s="4">
        <v>29664</v>
      </c>
      <c r="K10" s="4">
        <v>0</v>
      </c>
      <c r="L10" s="4">
        <v>0</v>
      </c>
      <c r="M10" s="8">
        <f t="shared" si="2"/>
        <v>0</v>
      </c>
      <c r="N10" s="7">
        <f t="shared" si="0"/>
        <v>29664</v>
      </c>
    </row>
    <row r="11" spans="1:14" outlineLevel="1" x14ac:dyDescent="0.25">
      <c r="A11" s="78" t="s">
        <v>61</v>
      </c>
      <c r="B11" s="3">
        <v>42569</v>
      </c>
      <c r="C11" s="4">
        <v>20944</v>
      </c>
      <c r="D11" s="4">
        <v>0</v>
      </c>
      <c r="E11" s="4">
        <v>0</v>
      </c>
      <c r="F11" s="7">
        <f t="shared" si="1"/>
        <v>20944</v>
      </c>
      <c r="H11" s="78" t="s">
        <v>61</v>
      </c>
      <c r="I11" s="18" t="s">
        <v>21</v>
      </c>
      <c r="J11" s="4">
        <v>20944</v>
      </c>
      <c r="K11" s="4">
        <v>0</v>
      </c>
      <c r="L11" s="4">
        <v>0</v>
      </c>
      <c r="M11" s="8">
        <f t="shared" si="2"/>
        <v>0</v>
      </c>
      <c r="N11" s="7">
        <f t="shared" si="0"/>
        <v>20944</v>
      </c>
    </row>
    <row r="12" spans="1:14" outlineLevel="1" x14ac:dyDescent="0.25">
      <c r="A12" s="78" t="s">
        <v>62</v>
      </c>
      <c r="B12" s="3">
        <v>42664</v>
      </c>
      <c r="C12" s="4">
        <v>13570</v>
      </c>
      <c r="D12" s="4">
        <v>0</v>
      </c>
      <c r="E12" s="4">
        <v>0</v>
      </c>
      <c r="F12" s="7">
        <f t="shared" si="1"/>
        <v>13570</v>
      </c>
      <c r="H12" s="78" t="s">
        <v>62</v>
      </c>
      <c r="I12" s="18" t="s">
        <v>21</v>
      </c>
      <c r="J12" s="4">
        <v>13570</v>
      </c>
      <c r="K12" s="4">
        <v>0</v>
      </c>
      <c r="L12" s="4">
        <v>0</v>
      </c>
      <c r="M12" s="8">
        <f t="shared" si="2"/>
        <v>0</v>
      </c>
      <c r="N12" s="7">
        <f t="shared" si="0"/>
        <v>13570</v>
      </c>
    </row>
    <row r="13" spans="1:14" outlineLevel="1" x14ac:dyDescent="0.25">
      <c r="A13" s="78" t="s">
        <v>63</v>
      </c>
      <c r="B13" s="3">
        <v>42739</v>
      </c>
      <c r="C13" s="4">
        <v>8438</v>
      </c>
      <c r="D13" s="4">
        <v>0</v>
      </c>
      <c r="E13" s="4">
        <v>0</v>
      </c>
      <c r="F13" s="7">
        <f t="shared" si="1"/>
        <v>8438</v>
      </c>
      <c r="H13" s="78" t="s">
        <v>63</v>
      </c>
      <c r="I13" s="18" t="s">
        <v>21</v>
      </c>
      <c r="J13" s="4">
        <v>8438</v>
      </c>
      <c r="K13" s="4">
        <v>0</v>
      </c>
      <c r="L13" s="4">
        <v>0</v>
      </c>
      <c r="M13" s="8">
        <f t="shared" si="2"/>
        <v>0</v>
      </c>
      <c r="N13" s="7">
        <f t="shared" si="0"/>
        <v>8438</v>
      </c>
    </row>
    <row r="14" spans="1:14" outlineLevel="1" x14ac:dyDescent="0.25">
      <c r="A14" s="78" t="s">
        <v>64</v>
      </c>
      <c r="B14" s="3">
        <v>42856</v>
      </c>
      <c r="C14" s="4">
        <v>5037</v>
      </c>
      <c r="D14" s="4">
        <v>0</v>
      </c>
      <c r="E14" s="4">
        <v>0</v>
      </c>
      <c r="F14" s="7">
        <f t="shared" si="1"/>
        <v>5037</v>
      </c>
      <c r="H14" s="78" t="s">
        <v>64</v>
      </c>
      <c r="I14" s="18" t="s">
        <v>21</v>
      </c>
      <c r="J14" s="4">
        <v>5037</v>
      </c>
      <c r="K14" s="4">
        <v>0</v>
      </c>
      <c r="L14" s="4">
        <v>0</v>
      </c>
      <c r="M14" s="8">
        <f t="shared" si="2"/>
        <v>0</v>
      </c>
      <c r="N14" s="7">
        <f t="shared" si="0"/>
        <v>5037</v>
      </c>
    </row>
    <row r="15" spans="1:14" outlineLevel="1" x14ac:dyDescent="0.25">
      <c r="A15" s="78" t="s">
        <v>65</v>
      </c>
      <c r="B15" s="3">
        <v>42896</v>
      </c>
      <c r="C15" s="4">
        <v>1156</v>
      </c>
      <c r="D15" s="4">
        <v>0</v>
      </c>
      <c r="E15" s="4">
        <v>0</v>
      </c>
      <c r="F15" s="7">
        <f t="shared" si="1"/>
        <v>1156</v>
      </c>
      <c r="H15" s="78" t="s">
        <v>65</v>
      </c>
      <c r="I15" s="18" t="s">
        <v>21</v>
      </c>
      <c r="J15" s="4">
        <v>1156</v>
      </c>
      <c r="K15" s="4">
        <v>0</v>
      </c>
      <c r="L15" s="4">
        <v>0</v>
      </c>
      <c r="M15" s="8">
        <f t="shared" si="2"/>
        <v>0</v>
      </c>
      <c r="N15" s="7">
        <f t="shared" si="0"/>
        <v>1156</v>
      </c>
    </row>
    <row r="16" spans="1:14" ht="13.5" outlineLevel="1" thickBot="1" x14ac:dyDescent="0.35">
      <c r="A16" s="78" t="s">
        <v>66</v>
      </c>
      <c r="B16" s="18" t="s">
        <v>21</v>
      </c>
      <c r="C16" s="4">
        <v>0</v>
      </c>
      <c r="D16" s="4">
        <v>0</v>
      </c>
      <c r="E16" s="4">
        <v>0</v>
      </c>
      <c r="F16" s="7">
        <f t="shared" si="1"/>
        <v>0</v>
      </c>
      <c r="H16" s="179"/>
      <c r="I16" s="80"/>
      <c r="J16" s="65">
        <f>+SUM(J2:J15)</f>
        <v>1021796</v>
      </c>
      <c r="K16" s="65">
        <f>+SUM(K2:K15)</f>
        <v>0</v>
      </c>
      <c r="L16" s="65">
        <f>+SUM(L2:L15)</f>
        <v>64716</v>
      </c>
      <c r="M16" s="65">
        <f>+SUM(M2:M15)</f>
        <v>18296</v>
      </c>
      <c r="N16" s="65">
        <f>+SUM(N2:N15)</f>
        <v>1086512</v>
      </c>
    </row>
    <row r="17" spans="1:22" ht="13" outlineLevel="2" thickTop="1" x14ac:dyDescent="0.25">
      <c r="A17" s="78" t="s">
        <v>67</v>
      </c>
      <c r="B17" s="18" t="s">
        <v>21</v>
      </c>
      <c r="C17" s="4">
        <v>0</v>
      </c>
      <c r="D17" s="4">
        <v>0</v>
      </c>
      <c r="E17" s="4">
        <v>0</v>
      </c>
      <c r="F17" s="7">
        <f t="shared" si="1"/>
        <v>0</v>
      </c>
      <c r="H17" s="15"/>
      <c r="K17" s="140" t="s">
        <v>110</v>
      </c>
      <c r="L17" s="8">
        <f>527418-503525</f>
        <v>23893</v>
      </c>
    </row>
    <row r="18" spans="1:22" outlineLevel="2" x14ac:dyDescent="0.25">
      <c r="A18" s="78" t="s">
        <v>68</v>
      </c>
      <c r="B18" s="18" t="s">
        <v>21</v>
      </c>
      <c r="C18" s="4">
        <v>0</v>
      </c>
      <c r="D18" s="4">
        <v>0</v>
      </c>
      <c r="E18" s="4">
        <v>0</v>
      </c>
      <c r="F18" s="7">
        <f t="shared" si="1"/>
        <v>0</v>
      </c>
      <c r="H18" s="15"/>
      <c r="K18" s="140" t="s">
        <v>111</v>
      </c>
      <c r="L18" s="116">
        <f>1040092-1021796</f>
        <v>18296</v>
      </c>
    </row>
    <row r="19" spans="1:22" outlineLevel="2" x14ac:dyDescent="0.25">
      <c r="A19" s="78" t="s">
        <v>69</v>
      </c>
      <c r="B19" s="18" t="s">
        <v>21</v>
      </c>
      <c r="C19" s="4">
        <v>0</v>
      </c>
      <c r="D19" s="4">
        <v>0</v>
      </c>
      <c r="E19" s="4">
        <v>0</v>
      </c>
      <c r="F19" s="7">
        <f t="shared" si="1"/>
        <v>0</v>
      </c>
      <c r="K19" s="140" t="s">
        <v>112</v>
      </c>
      <c r="L19" s="8">
        <v>22527</v>
      </c>
    </row>
    <row r="20" spans="1:22" ht="13.5" outlineLevel="2" thickBot="1" x14ac:dyDescent="0.35">
      <c r="A20" s="78" t="s">
        <v>70</v>
      </c>
      <c r="B20" s="18" t="s">
        <v>21</v>
      </c>
      <c r="C20" s="4">
        <v>0</v>
      </c>
      <c r="D20" s="4">
        <v>0</v>
      </c>
      <c r="E20" s="4">
        <v>0</v>
      </c>
      <c r="F20" s="7">
        <f t="shared" si="1"/>
        <v>0</v>
      </c>
      <c r="K20" s="33" t="s">
        <v>113</v>
      </c>
      <c r="L20" s="65">
        <f>+SUM(L17:L19)</f>
        <v>64716</v>
      </c>
    </row>
    <row r="21" spans="1:22" ht="13.5" outlineLevel="1" thickTop="1" thickBot="1" x14ac:dyDescent="0.3">
      <c r="A21" s="78" t="s">
        <v>71</v>
      </c>
      <c r="B21" s="18" t="s">
        <v>21</v>
      </c>
      <c r="C21" s="4">
        <v>0</v>
      </c>
      <c r="D21" s="4">
        <v>0</v>
      </c>
      <c r="E21" s="4">
        <v>0</v>
      </c>
      <c r="F21" s="7">
        <f t="shared" si="1"/>
        <v>0</v>
      </c>
    </row>
    <row r="22" spans="1:22" ht="13" x14ac:dyDescent="0.3">
      <c r="B22" s="34" t="s">
        <v>0</v>
      </c>
      <c r="C22" s="109">
        <f>SUM(C2:C21)</f>
        <v>1021796</v>
      </c>
      <c r="D22" s="109">
        <f>SUM(D2:D21)</f>
        <v>0</v>
      </c>
      <c r="E22" s="109">
        <f>SUM(E2:E21)</f>
        <v>18296</v>
      </c>
      <c r="F22" s="109">
        <f>SUM(F2:F21)</f>
        <v>1040091.9999999999</v>
      </c>
      <c r="H22" s="153"/>
      <c r="I22" s="149" t="s">
        <v>13</v>
      </c>
      <c r="J22" s="149" t="s">
        <v>12</v>
      </c>
      <c r="K22" s="150" t="s">
        <v>20</v>
      </c>
      <c r="L22" s="151"/>
      <c r="M22" s="152"/>
    </row>
    <row r="23" spans="1:22" ht="13" x14ac:dyDescent="0.3">
      <c r="A23" s="17" t="s">
        <v>18</v>
      </c>
      <c r="B23" s="18" t="s">
        <v>21</v>
      </c>
      <c r="C23" s="8">
        <v>0</v>
      </c>
      <c r="D23" s="8">
        <v>0</v>
      </c>
      <c r="E23" s="8">
        <v>0</v>
      </c>
      <c r="F23" s="8">
        <f>SUM(C23:E23)</f>
        <v>0</v>
      </c>
      <c r="H23" s="147" t="s">
        <v>10</v>
      </c>
      <c r="I23" s="84">
        <v>42473</v>
      </c>
      <c r="J23" s="85">
        <f>I23</f>
        <v>42473</v>
      </c>
      <c r="K23" s="86"/>
      <c r="L23" s="87"/>
      <c r="M23" s="88"/>
    </row>
    <row r="24" spans="1:22" ht="13.5" thickBot="1" x14ac:dyDescent="0.35">
      <c r="A24" s="17" t="s">
        <v>19</v>
      </c>
      <c r="B24" s="18" t="s">
        <v>21</v>
      </c>
      <c r="C24" s="8">
        <v>0</v>
      </c>
      <c r="D24" s="8">
        <v>0</v>
      </c>
      <c r="E24" s="8">
        <v>0</v>
      </c>
      <c r="F24" s="8">
        <f>SUM(C24:E24)</f>
        <v>0</v>
      </c>
      <c r="H24" s="148" t="s">
        <v>16</v>
      </c>
      <c r="I24" s="89">
        <v>42473</v>
      </c>
      <c r="J24" s="90">
        <v>42490</v>
      </c>
      <c r="K24" s="91"/>
      <c r="L24" s="92"/>
      <c r="M24" s="93"/>
    </row>
    <row r="25" spans="1:22" ht="13.5" thickBot="1" x14ac:dyDescent="0.35">
      <c r="B25" s="34" t="s">
        <v>50</v>
      </c>
      <c r="C25" s="65">
        <f>+SUM(C22:C24)</f>
        <v>1021796</v>
      </c>
      <c r="D25" s="65">
        <f>+SUM(D22:D24)</f>
        <v>0</v>
      </c>
      <c r="E25" s="65">
        <f>+SUM(E22:E24)</f>
        <v>18296</v>
      </c>
      <c r="F25" s="65">
        <f>+SUM(F22:F24)</f>
        <v>1040091.9999999999</v>
      </c>
    </row>
    <row r="26" spans="1:22" ht="14" thickTop="1" thickBot="1" x14ac:dyDescent="0.35">
      <c r="B26" s="34"/>
      <c r="C26" s="13"/>
      <c r="D26" s="13"/>
      <c r="E26" s="13"/>
      <c r="F26" s="13"/>
    </row>
    <row r="27" spans="1:22" ht="13" x14ac:dyDescent="0.3">
      <c r="B27" s="33"/>
      <c r="C27" s="5"/>
      <c r="D27" s="17"/>
      <c r="I27" s="130"/>
      <c r="J27" s="113"/>
      <c r="K27" s="113"/>
      <c r="L27" s="113"/>
      <c r="M27" s="97"/>
      <c r="Q27" s="346" t="s">
        <v>15</v>
      </c>
      <c r="R27" s="346"/>
      <c r="S27" s="346"/>
      <c r="T27" s="346"/>
      <c r="U27" s="346"/>
      <c r="V27" s="346"/>
    </row>
    <row r="28" spans="1:22" ht="39"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2" ht="13" x14ac:dyDescent="0.3">
      <c r="A29" s="347" t="s">
        <v>9</v>
      </c>
      <c r="B29" s="347"/>
      <c r="C29" s="73">
        <f>$J$23</f>
        <v>42473</v>
      </c>
      <c r="D29" s="73">
        <f t="shared" ref="D29:D48" si="3">DATE(YEAR(C29),IF(MONTH(C29)&lt;=3,3,IF(MONTH(C29)&lt;=6,6,IF(MONTH(C29)&lt;=9,9,12))),IF(OR(MONTH(C29)&lt;=3,MONTH(C29)&gt;=10),31,30))</f>
        <v>42551</v>
      </c>
      <c r="E29" s="72">
        <f t="shared" ref="E29:E48" si="4">D29-C29+1</f>
        <v>79</v>
      </c>
      <c r="F29" s="74">
        <f>VLOOKUP(D29,'FERC Interest Rate'!$A:$B,2,TRUE)</f>
        <v>3.4599999999999999E-2</v>
      </c>
      <c r="G29" s="75">
        <f>+SUM(C2:C10)</f>
        <v>972651</v>
      </c>
      <c r="H29" s="75">
        <f>G29*F29*(E29/(DATE(YEAR(D29),12,31)-DATE(YEAR(D29),1,1)+1))</f>
        <v>7264.0553098360651</v>
      </c>
      <c r="I29" s="99">
        <v>0</v>
      </c>
      <c r="J29" s="76">
        <v>0</v>
      </c>
      <c r="K29" s="116">
        <f t="shared" ref="K29:K48" si="5">+SUM(I29:J29)</f>
        <v>0</v>
      </c>
      <c r="L29" s="76">
        <v>0</v>
      </c>
      <c r="M29" s="117">
        <f t="shared" ref="M29:M48" si="6">+SUM(K29:L29)</f>
        <v>0</v>
      </c>
      <c r="N29" s="8">
        <f t="shared" ref="N29:N48" si="7">+G29+H29+J29</f>
        <v>979915.05530983605</v>
      </c>
      <c r="O29" s="75">
        <f t="shared" ref="O29:O48" si="8">G29+H29-L29-I29</f>
        <v>979915.05530983605</v>
      </c>
      <c r="Q29" s="73">
        <f>$J$23</f>
        <v>42473</v>
      </c>
      <c r="R29" s="73">
        <f>DATE(YEAR(Q29),IF(MONTH(Q29)&lt;=3,3,IF(MONTH(Q29)&lt;=6,6,IF(MONTH(Q29)&lt;=9,9,12))),IF(OR(MONTH(Q29)&lt;=3,MONTH(Q29)&gt;=10),31,30))</f>
        <v>42551</v>
      </c>
      <c r="S29" s="76">
        <f>+I60+I92+I123+I153+I182+I210+I237+I263</f>
        <v>0</v>
      </c>
      <c r="T29" s="76">
        <f>+J60+J92+J123+J153+J182+J210+J237+J263</f>
        <v>0</v>
      </c>
      <c r="U29" s="75">
        <f t="shared" ref="U29:U48" si="9">T29+S29</f>
        <v>0</v>
      </c>
      <c r="V29" s="76">
        <f>+L60+L92+L123+L153+L182+L210+L237+L263</f>
        <v>0</v>
      </c>
    </row>
    <row r="30" spans="1:22" x14ac:dyDescent="0.25">
      <c r="A30" s="309" t="s">
        <v>120</v>
      </c>
      <c r="B30" s="72" t="str">
        <f t="shared" ref="B30:B48" si="10">+IF(MONTH(C30)&lt;4,"Q1",IF(MONTH(C30)&lt;7,"Q2",IF(MONTH(C30)&lt;10,"Q3","Q4")))&amp;"/"&amp;YEAR(C30)</f>
        <v>Q3/2016</v>
      </c>
      <c r="C30" s="73">
        <f>D29+1</f>
        <v>42552</v>
      </c>
      <c r="D30" s="73">
        <f t="shared" si="3"/>
        <v>42643</v>
      </c>
      <c r="E30" s="72">
        <f t="shared" si="4"/>
        <v>92</v>
      </c>
      <c r="F30" s="74">
        <f>VLOOKUP(D30,'FERC Interest Rate'!$A:$B,2,TRUE)</f>
        <v>3.5000000000000003E-2</v>
      </c>
      <c r="G30" s="75">
        <f>O29</f>
        <v>979915.05530983605</v>
      </c>
      <c r="H30" s="75">
        <f>G30*F30*(E30/(DATE(YEAR(D30),12,31)-DATE(YEAR(D30),1,1)+1))</f>
        <v>8621.1105958952812</v>
      </c>
      <c r="I30" s="99">
        <f>(SUM($H$29:$H$48)/20)*2</f>
        <v>1588.5165905731346</v>
      </c>
      <c r="J30" s="76">
        <f>G30*F30*(E30/(DATE(YEAR(D30),12,31)-DATE(YEAR(D30),1,1)+1))</f>
        <v>8621.1105958952812</v>
      </c>
      <c r="K30" s="116">
        <f t="shared" si="5"/>
        <v>10209.627186468417</v>
      </c>
      <c r="L30" s="76">
        <f>(2*$G$29/20)</f>
        <v>97265.1</v>
      </c>
      <c r="M30" s="117">
        <f t="shared" si="6"/>
        <v>107474.72718646843</v>
      </c>
      <c r="N30" s="8">
        <f t="shared" si="7"/>
        <v>997157.27650162671</v>
      </c>
      <c r="O30" s="75">
        <f t="shared" si="8"/>
        <v>889682.54931515828</v>
      </c>
      <c r="Q30" s="73">
        <f>R29+1</f>
        <v>42552</v>
      </c>
      <c r="R30" s="73">
        <f>EOMONTH(R29,3)</f>
        <v>42643</v>
      </c>
      <c r="S30" s="76">
        <f t="shared" ref="S30:S48" si="11">+I61+I93+I124+I154+I183+I211+I238+I264</f>
        <v>0</v>
      </c>
      <c r="T30" s="76">
        <f t="shared" ref="T30:T48" si="12">+J61+J93+J124+J154+J183+J211+J238+J264</f>
        <v>0</v>
      </c>
      <c r="U30" s="75">
        <f t="shared" si="9"/>
        <v>0</v>
      </c>
      <c r="V30" s="76">
        <f t="shared" ref="V30:V48" si="13">+L61+L93+L124+L154+L183+L211+L238+L264</f>
        <v>0</v>
      </c>
    </row>
    <row r="31" spans="1:22" x14ac:dyDescent="0.25">
      <c r="A31" s="17" t="s">
        <v>54</v>
      </c>
      <c r="B31" s="72" t="str">
        <f t="shared" si="10"/>
        <v>Q4/2016</v>
      </c>
      <c r="C31" s="73">
        <f t="shared" ref="C31:C48" si="14">D30+1</f>
        <v>42644</v>
      </c>
      <c r="D31" s="73">
        <f t="shared" si="3"/>
        <v>42735</v>
      </c>
      <c r="E31" s="72">
        <f t="shared" si="4"/>
        <v>92</v>
      </c>
      <c r="F31" s="74">
        <f>VLOOKUP(D31,'FERC Interest Rate'!$A:$B,2,TRUE)</f>
        <v>3.5000000000000003E-2</v>
      </c>
      <c r="G31" s="75">
        <f>O30+C11+C12</f>
        <v>924196.54931515828</v>
      </c>
      <c r="H31" s="75">
        <v>0</v>
      </c>
      <c r="I31" s="99">
        <f>(SUM($H$29:$H$48)/20)</f>
        <v>794.25829528656732</v>
      </c>
      <c r="J31" s="76">
        <f>G31*F31*(E31/(DATE(YEAR(D31),12,31)-DATE(YEAR(D31),1,1)+1))</f>
        <v>8130.9095322262565</v>
      </c>
      <c r="K31" s="116">
        <f t="shared" si="5"/>
        <v>8925.1678275128234</v>
      </c>
      <c r="L31" s="76">
        <f>($G$29/20)+($C$11/18)+($C$12/18)</f>
        <v>50549.994444444448</v>
      </c>
      <c r="M31" s="117">
        <f t="shared" si="6"/>
        <v>59475.16227195727</v>
      </c>
      <c r="N31" s="8">
        <f t="shared" si="7"/>
        <v>932327.45884738455</v>
      </c>
      <c r="O31" s="75">
        <f t="shared" si="8"/>
        <v>872852.29657542729</v>
      </c>
      <c r="Q31" s="73">
        <f t="shared" ref="Q31:Q48" si="15">R30+1</f>
        <v>42644</v>
      </c>
      <c r="R31" s="73">
        <f t="shared" ref="R31:R48" si="16">EOMONTH(R30,3)</f>
        <v>42735</v>
      </c>
      <c r="S31" s="76">
        <f t="shared" si="11"/>
        <v>0</v>
      </c>
      <c r="T31" s="76">
        <f t="shared" si="12"/>
        <v>0</v>
      </c>
      <c r="U31" s="75">
        <f t="shared" si="9"/>
        <v>0</v>
      </c>
      <c r="V31" s="76">
        <f t="shared" si="13"/>
        <v>0</v>
      </c>
    </row>
    <row r="32" spans="1:22" x14ac:dyDescent="0.25">
      <c r="A32" s="17" t="s">
        <v>55</v>
      </c>
      <c r="B32" s="72" t="str">
        <f t="shared" si="10"/>
        <v>Q1/2017</v>
      </c>
      <c r="C32" s="73">
        <f t="shared" si="14"/>
        <v>42736</v>
      </c>
      <c r="D32" s="73">
        <f t="shared" si="3"/>
        <v>42825</v>
      </c>
      <c r="E32" s="72">
        <f t="shared" si="4"/>
        <v>90</v>
      </c>
      <c r="F32" s="74">
        <f>VLOOKUP(D32,'FERC Interest Rate'!$A:$B,2,TRUE)</f>
        <v>3.5000000000000003E-2</v>
      </c>
      <c r="G32" s="75">
        <f>O31+C13</f>
        <v>881290.29657542729</v>
      </c>
      <c r="H32" s="75">
        <v>0</v>
      </c>
      <c r="I32" s="99">
        <f>(SUM($H$29:$H$48)/20)</f>
        <v>794.25829528656732</v>
      </c>
      <c r="J32" s="76">
        <f>G32*F32*(E32/(DATE(YEAR(D32),12,31)-DATE(YEAR(D32),1,1)+1))</f>
        <v>7605.6559841440985</v>
      </c>
      <c r="K32" s="116">
        <f t="shared" si="5"/>
        <v>8399.9142794306663</v>
      </c>
      <c r="L32" s="76">
        <f>($G$29/20)+($C$11/18)+($C$12/18)+($C$13/17)</f>
        <v>51046.347385620917</v>
      </c>
      <c r="M32" s="117">
        <f t="shared" si="6"/>
        <v>59446.261665051585</v>
      </c>
      <c r="N32" s="8">
        <f t="shared" si="7"/>
        <v>888895.95255957136</v>
      </c>
      <c r="O32" s="75">
        <f t="shared" si="8"/>
        <v>829449.69089451979</v>
      </c>
      <c r="Q32" s="73">
        <f t="shared" si="15"/>
        <v>42736</v>
      </c>
      <c r="R32" s="73">
        <f t="shared" si="16"/>
        <v>42825</v>
      </c>
      <c r="S32" s="76">
        <f t="shared" si="11"/>
        <v>282.45856293147017</v>
      </c>
      <c r="T32" s="76">
        <f t="shared" si="12"/>
        <v>168.62996704107198</v>
      </c>
      <c r="U32" s="75">
        <f t="shared" si="9"/>
        <v>451.08852997254212</v>
      </c>
      <c r="V32" s="76">
        <f t="shared" si="13"/>
        <v>3659.2</v>
      </c>
    </row>
    <row r="33" spans="1:22" x14ac:dyDescent="0.25">
      <c r="A33" s="17" t="s">
        <v>56</v>
      </c>
      <c r="B33" s="72" t="str">
        <f t="shared" si="10"/>
        <v>Q2/2017</v>
      </c>
      <c r="C33" s="73">
        <f t="shared" si="14"/>
        <v>42826</v>
      </c>
      <c r="D33" s="73">
        <f t="shared" si="3"/>
        <v>42916</v>
      </c>
      <c r="E33" s="72">
        <f t="shared" si="4"/>
        <v>91</v>
      </c>
      <c r="F33" s="74">
        <f>VLOOKUP(D33,'FERC Interest Rate'!$A:$B,2,TRUE)</f>
        <v>3.7100000000000001E-2</v>
      </c>
      <c r="G33" s="75">
        <f>O32+C14+C15</f>
        <v>835642.69089451979</v>
      </c>
      <c r="H33" s="75">
        <v>0</v>
      </c>
      <c r="I33" s="99">
        <f>(SUM($H$29:$H$48)/20)</f>
        <v>794.25829528656732</v>
      </c>
      <c r="J33" s="76">
        <f>G33*F33*(E33/(DATE(YEAR(D33),12,31)-DATE(YEAR(D33),1,1)+1))</f>
        <v>7729.351475969831</v>
      </c>
      <c r="K33" s="116">
        <f t="shared" si="5"/>
        <v>8523.6097712563987</v>
      </c>
      <c r="L33" s="76">
        <f>($G$29/20)+($C$11/18)+($C$12/18)+($C$13/17)+($C$14/16)</f>
        <v>51361.159885620917</v>
      </c>
      <c r="M33" s="117">
        <f t="shared" si="6"/>
        <v>59884.769656877317</v>
      </c>
      <c r="N33" s="8">
        <f t="shared" si="7"/>
        <v>843372.04237048968</v>
      </c>
      <c r="O33" s="75">
        <f t="shared" si="8"/>
        <v>783487.2727136123</v>
      </c>
      <c r="Q33" s="73">
        <f t="shared" si="15"/>
        <v>42826</v>
      </c>
      <c r="R33" s="73">
        <f t="shared" si="16"/>
        <v>42916</v>
      </c>
      <c r="S33" s="76">
        <f t="shared" si="11"/>
        <v>70.614640732867542</v>
      </c>
      <c r="T33" s="76">
        <f t="shared" si="12"/>
        <v>145.8348873897308</v>
      </c>
      <c r="U33" s="75">
        <f t="shared" si="9"/>
        <v>216.44952812259834</v>
      </c>
      <c r="V33" s="76">
        <f t="shared" si="13"/>
        <v>914.8</v>
      </c>
    </row>
    <row r="34" spans="1:22" x14ac:dyDescent="0.25">
      <c r="A34" s="17" t="s">
        <v>57</v>
      </c>
      <c r="B34" s="72" t="str">
        <f t="shared" si="10"/>
        <v>Q3/2017</v>
      </c>
      <c r="C34" s="73">
        <f t="shared" si="14"/>
        <v>42917</v>
      </c>
      <c r="D34" s="73">
        <f t="shared" si="3"/>
        <v>43008</v>
      </c>
      <c r="E34" s="72">
        <f t="shared" si="4"/>
        <v>92</v>
      </c>
      <c r="F34" s="74">
        <f>VLOOKUP(D34,'FERC Interest Rate'!$A:$B,2,TRUE)</f>
        <v>3.9600000000000003E-2</v>
      </c>
      <c r="G34" s="75">
        <f t="shared" ref="G34:G48" si="17">O33</f>
        <v>783487.2727136123</v>
      </c>
      <c r="H34" s="75">
        <v>0</v>
      </c>
      <c r="I34" s="99">
        <f t="shared" ref="I34:I48" si="18">(SUM($H$29:$H$48)/20)</f>
        <v>794.25829528656732</v>
      </c>
      <c r="J34" s="76">
        <f t="shared" ref="J34:J48" si="19">G34*F34*(E34/(DATE(YEAR(D34),12,31)-DATE(YEAR(D34),1,1)+1))</f>
        <v>7820.2762519184453</v>
      </c>
      <c r="K34" s="116">
        <f t="shared" si="5"/>
        <v>8614.5345472050121</v>
      </c>
      <c r="L34" s="76">
        <f>($G$29/20)+($C$11/18)+($C$12/18)+($C$13/17)+($C$14/16)+($C$15/15)</f>
        <v>51438.226552287582</v>
      </c>
      <c r="M34" s="117">
        <f t="shared" si="6"/>
        <v>60052.761099492593</v>
      </c>
      <c r="N34" s="8">
        <f t="shared" si="7"/>
        <v>791307.5489655307</v>
      </c>
      <c r="O34" s="75">
        <f t="shared" si="8"/>
        <v>731254.78786603815</v>
      </c>
      <c r="Q34" s="73">
        <f t="shared" si="15"/>
        <v>42917</v>
      </c>
      <c r="R34" s="73">
        <f t="shared" si="16"/>
        <v>43008</v>
      </c>
      <c r="S34" s="76">
        <f t="shared" si="11"/>
        <v>70.614640732867542</v>
      </c>
      <c r="T34" s="76">
        <f t="shared" si="12"/>
        <v>147.53681996375272</v>
      </c>
      <c r="U34" s="75">
        <f t="shared" si="9"/>
        <v>218.15146069662026</v>
      </c>
      <c r="V34" s="76">
        <f t="shared" si="13"/>
        <v>914.8</v>
      </c>
    </row>
    <row r="35" spans="1:22" x14ac:dyDescent="0.25">
      <c r="A35" s="17" t="s">
        <v>58</v>
      </c>
      <c r="B35" s="72" t="str">
        <f t="shared" si="10"/>
        <v>Q4/2017</v>
      </c>
      <c r="C35" s="73">
        <f t="shared" si="14"/>
        <v>43009</v>
      </c>
      <c r="D35" s="73">
        <f t="shared" si="3"/>
        <v>43100</v>
      </c>
      <c r="E35" s="72">
        <f t="shared" si="4"/>
        <v>92</v>
      </c>
      <c r="F35" s="74">
        <f>VLOOKUP(D35,'FERC Interest Rate'!$A:$B,2,TRUE)</f>
        <v>4.2099999999999999E-2</v>
      </c>
      <c r="G35" s="75">
        <f t="shared" si="17"/>
        <v>731254.78786603815</v>
      </c>
      <c r="H35" s="75">
        <v>0</v>
      </c>
      <c r="I35" s="99">
        <f t="shared" si="18"/>
        <v>794.25829528656732</v>
      </c>
      <c r="J35" s="76">
        <f t="shared" si="19"/>
        <v>7759.7151900349018</v>
      </c>
      <c r="K35" s="116">
        <f t="shared" si="5"/>
        <v>8553.9734853214686</v>
      </c>
      <c r="L35" s="76">
        <f t="shared" ref="L35:L48" si="20">($G$29/20)+($C$11/18)+($C$12/18)+($C$13/17)+($C$14/16)+($C$15/15)</f>
        <v>51438.226552287582</v>
      </c>
      <c r="M35" s="117">
        <f t="shared" si="6"/>
        <v>59992.200037609051</v>
      </c>
      <c r="N35" s="8">
        <f t="shared" si="7"/>
        <v>739014.5030560731</v>
      </c>
      <c r="O35" s="75">
        <f t="shared" si="8"/>
        <v>679022.30301846401</v>
      </c>
      <c r="Q35" s="73">
        <f t="shared" si="15"/>
        <v>43009</v>
      </c>
      <c r="R35" s="73">
        <f t="shared" si="16"/>
        <v>43100</v>
      </c>
      <c r="S35" s="76">
        <f t="shared" si="11"/>
        <v>70.614640732867542</v>
      </c>
      <c r="T35" s="76">
        <f t="shared" si="12"/>
        <v>146.39427893373039</v>
      </c>
      <c r="U35" s="75">
        <f t="shared" si="9"/>
        <v>217.00891966659793</v>
      </c>
      <c r="V35" s="76">
        <f t="shared" si="13"/>
        <v>914.8</v>
      </c>
    </row>
    <row r="36" spans="1:22" x14ac:dyDescent="0.25">
      <c r="A36" s="17" t="s">
        <v>59</v>
      </c>
      <c r="B36" s="72" t="str">
        <f t="shared" si="10"/>
        <v>Q1/2018</v>
      </c>
      <c r="C36" s="73">
        <f t="shared" si="14"/>
        <v>43101</v>
      </c>
      <c r="D36" s="73">
        <f t="shared" si="3"/>
        <v>43190</v>
      </c>
      <c r="E36" s="72">
        <f t="shared" si="4"/>
        <v>90</v>
      </c>
      <c r="F36" s="74">
        <f>VLOOKUP(D36,'FERC Interest Rate'!$A:$B,2,TRUE)</f>
        <v>4.2500000000000003E-2</v>
      </c>
      <c r="G36" s="75">
        <f t="shared" si="17"/>
        <v>679022.30301846401</v>
      </c>
      <c r="H36" s="75">
        <v>0</v>
      </c>
      <c r="I36" s="99">
        <f t="shared" si="18"/>
        <v>794.25829528656732</v>
      </c>
      <c r="J36" s="76">
        <f t="shared" si="19"/>
        <v>7115.7816686181504</v>
      </c>
      <c r="K36" s="116">
        <f t="shared" si="5"/>
        <v>7910.0399639047173</v>
      </c>
      <c r="L36" s="76">
        <f t="shared" si="20"/>
        <v>51438.226552287582</v>
      </c>
      <c r="M36" s="117">
        <f t="shared" si="6"/>
        <v>59348.2665161923</v>
      </c>
      <c r="N36" s="8">
        <f t="shared" si="7"/>
        <v>686138.08468708221</v>
      </c>
      <c r="O36" s="75">
        <f t="shared" si="8"/>
        <v>626789.81817088986</v>
      </c>
      <c r="Q36" s="73">
        <f t="shared" si="15"/>
        <v>43101</v>
      </c>
      <c r="R36" s="73">
        <f t="shared" si="16"/>
        <v>43190</v>
      </c>
      <c r="S36" s="76">
        <f t="shared" si="11"/>
        <v>70.614640732867542</v>
      </c>
      <c r="T36" s="76">
        <f t="shared" si="12"/>
        <v>134.24587126148447</v>
      </c>
      <c r="U36" s="75">
        <f t="shared" si="9"/>
        <v>204.86051199435201</v>
      </c>
      <c r="V36" s="76">
        <f t="shared" si="13"/>
        <v>914.8</v>
      </c>
    </row>
    <row r="37" spans="1:22" x14ac:dyDescent="0.25">
      <c r="A37" s="17" t="s">
        <v>60</v>
      </c>
      <c r="B37" s="72" t="str">
        <f t="shared" si="10"/>
        <v>Q2/2018</v>
      </c>
      <c r="C37" s="73">
        <f t="shared" si="14"/>
        <v>43191</v>
      </c>
      <c r="D37" s="73">
        <f t="shared" si="3"/>
        <v>43281</v>
      </c>
      <c r="E37" s="72">
        <f t="shared" si="4"/>
        <v>91</v>
      </c>
      <c r="F37" s="74">
        <f>VLOOKUP(D37,'FERC Interest Rate'!$A:$B,2,TRUE)</f>
        <v>4.4699999999999997E-2</v>
      </c>
      <c r="G37" s="75">
        <f t="shared" si="17"/>
        <v>626789.81817088986</v>
      </c>
      <c r="H37" s="75">
        <v>0</v>
      </c>
      <c r="I37" s="99">
        <f t="shared" si="18"/>
        <v>794.25829528656732</v>
      </c>
      <c r="J37" s="76">
        <f t="shared" si="19"/>
        <v>6985.1861462293937</v>
      </c>
      <c r="K37" s="116">
        <f t="shared" si="5"/>
        <v>7779.4444415159614</v>
      </c>
      <c r="L37" s="76">
        <f t="shared" si="20"/>
        <v>51438.226552287582</v>
      </c>
      <c r="M37" s="117">
        <f t="shared" si="6"/>
        <v>59217.670993803542</v>
      </c>
      <c r="N37" s="8">
        <f t="shared" si="7"/>
        <v>633775.00431711925</v>
      </c>
      <c r="O37" s="75">
        <f t="shared" si="8"/>
        <v>574557.33332331572</v>
      </c>
      <c r="Q37" s="73">
        <f t="shared" si="15"/>
        <v>43191</v>
      </c>
      <c r="R37" s="73">
        <f t="shared" si="16"/>
        <v>43281</v>
      </c>
      <c r="S37" s="76">
        <f t="shared" si="11"/>
        <v>70.614640732867542</v>
      </c>
      <c r="T37" s="76">
        <f t="shared" si="12"/>
        <v>131.78206468303839</v>
      </c>
      <c r="U37" s="75">
        <f t="shared" si="9"/>
        <v>202.39670541590593</v>
      </c>
      <c r="V37" s="76">
        <f t="shared" si="13"/>
        <v>914.8</v>
      </c>
    </row>
    <row r="38" spans="1:22" x14ac:dyDescent="0.25">
      <c r="A38" s="17" t="s">
        <v>61</v>
      </c>
      <c r="B38" s="72" t="str">
        <f t="shared" si="10"/>
        <v>Q3/2018</v>
      </c>
      <c r="C38" s="73">
        <f t="shared" si="14"/>
        <v>43282</v>
      </c>
      <c r="D38" s="73">
        <f t="shared" si="3"/>
        <v>43373</v>
      </c>
      <c r="E38" s="72">
        <f t="shared" si="4"/>
        <v>92</v>
      </c>
      <c r="F38" s="74">
        <f>VLOOKUP(D38,'FERC Interest Rate'!$A:$B,2,TRUE)</f>
        <v>4.6899999999999997E-2</v>
      </c>
      <c r="G38" s="75">
        <f t="shared" si="17"/>
        <v>574557.33332331572</v>
      </c>
      <c r="H38" s="75">
        <v>0</v>
      </c>
      <c r="I38" s="99">
        <f t="shared" si="18"/>
        <v>794.25829528656732</v>
      </c>
      <c r="J38" s="76">
        <f t="shared" si="19"/>
        <v>6792.0547447217614</v>
      </c>
      <c r="K38" s="116">
        <f t="shared" si="5"/>
        <v>7586.3130400083282</v>
      </c>
      <c r="L38" s="76">
        <f t="shared" si="20"/>
        <v>51438.226552287582</v>
      </c>
      <c r="M38" s="117">
        <f t="shared" si="6"/>
        <v>59024.539592295914</v>
      </c>
      <c r="N38" s="8">
        <f t="shared" si="7"/>
        <v>581349.38806803746</v>
      </c>
      <c r="O38" s="75">
        <f t="shared" si="8"/>
        <v>522324.84847574157</v>
      </c>
      <c r="Q38" s="73">
        <f t="shared" si="15"/>
        <v>43282</v>
      </c>
      <c r="R38" s="73">
        <f t="shared" si="16"/>
        <v>43373</v>
      </c>
      <c r="S38" s="76">
        <f t="shared" si="11"/>
        <v>70.614640732867542</v>
      </c>
      <c r="T38" s="76">
        <f t="shared" si="12"/>
        <v>128.13846030185186</v>
      </c>
      <c r="U38" s="75">
        <f t="shared" si="9"/>
        <v>198.75310103471941</v>
      </c>
      <c r="V38" s="76">
        <f t="shared" si="13"/>
        <v>914.8</v>
      </c>
    </row>
    <row r="39" spans="1:22" x14ac:dyDescent="0.25">
      <c r="A39" s="17" t="s">
        <v>62</v>
      </c>
      <c r="B39" s="72" t="str">
        <f t="shared" si="10"/>
        <v>Q4/2018</v>
      </c>
      <c r="C39" s="73">
        <f t="shared" si="14"/>
        <v>43374</v>
      </c>
      <c r="D39" s="73">
        <f t="shared" si="3"/>
        <v>43465</v>
      </c>
      <c r="E39" s="72">
        <f t="shared" si="4"/>
        <v>92</v>
      </c>
      <c r="F39" s="74">
        <f>VLOOKUP(D39,'FERC Interest Rate'!$A:$B,2,TRUE)</f>
        <v>4.9599999999999998E-2</v>
      </c>
      <c r="G39" s="75">
        <f t="shared" si="17"/>
        <v>522324.84847574157</v>
      </c>
      <c r="H39" s="75">
        <v>0</v>
      </c>
      <c r="I39" s="99">
        <f t="shared" si="18"/>
        <v>794.25829528656732</v>
      </c>
      <c r="J39" s="76">
        <f t="shared" si="19"/>
        <v>6530.0623248342581</v>
      </c>
      <c r="K39" s="116">
        <f t="shared" si="5"/>
        <v>7324.320620120825</v>
      </c>
      <c r="L39" s="76">
        <f t="shared" si="20"/>
        <v>51438.226552287582</v>
      </c>
      <c r="M39" s="117">
        <f t="shared" si="6"/>
        <v>58762.547172408405</v>
      </c>
      <c r="N39" s="8">
        <f t="shared" si="7"/>
        <v>528854.91080057586</v>
      </c>
      <c r="O39" s="75">
        <f t="shared" si="8"/>
        <v>470092.36362816743</v>
      </c>
      <c r="Q39" s="73">
        <f t="shared" si="15"/>
        <v>43374</v>
      </c>
      <c r="R39" s="73">
        <f t="shared" si="16"/>
        <v>43465</v>
      </c>
      <c r="S39" s="76">
        <f t="shared" si="11"/>
        <v>70.614640732867542</v>
      </c>
      <c r="T39" s="76">
        <f t="shared" si="12"/>
        <v>123.19572845458136</v>
      </c>
      <c r="U39" s="75">
        <f t="shared" si="9"/>
        <v>193.81036918744888</v>
      </c>
      <c r="V39" s="76">
        <f t="shared" si="13"/>
        <v>914.8</v>
      </c>
    </row>
    <row r="40" spans="1:22" x14ac:dyDescent="0.25">
      <c r="A40" s="17" t="s">
        <v>63</v>
      </c>
      <c r="B40" s="72" t="str">
        <f t="shared" si="10"/>
        <v>Q1/2019</v>
      </c>
      <c r="C40" s="73">
        <f t="shared" si="14"/>
        <v>43466</v>
      </c>
      <c r="D40" s="73">
        <f t="shared" si="3"/>
        <v>43555</v>
      </c>
      <c r="E40" s="72">
        <f t="shared" si="4"/>
        <v>90</v>
      </c>
      <c r="F40" s="74">
        <f>VLOOKUP(D40,'FERC Interest Rate'!$A:$B,2,TRUE)</f>
        <v>5.1799999999999999E-2</v>
      </c>
      <c r="G40" s="75">
        <f t="shared" si="17"/>
        <v>470092.36362816743</v>
      </c>
      <c r="H40" s="75">
        <v>0</v>
      </c>
      <c r="I40" s="99">
        <f t="shared" si="18"/>
        <v>794.25829528656732</v>
      </c>
      <c r="J40" s="76">
        <f t="shared" si="19"/>
        <v>6004.3030116014152</v>
      </c>
      <c r="K40" s="116">
        <f t="shared" si="5"/>
        <v>6798.5613068879829</v>
      </c>
      <c r="L40" s="76">
        <f t="shared" si="20"/>
        <v>51438.226552287582</v>
      </c>
      <c r="M40" s="117">
        <f t="shared" si="6"/>
        <v>58236.787859175565</v>
      </c>
      <c r="N40" s="8">
        <f t="shared" si="7"/>
        <v>476096.66663976887</v>
      </c>
      <c r="O40" s="75">
        <f t="shared" si="8"/>
        <v>417859.87878059328</v>
      </c>
      <c r="Q40" s="73">
        <f t="shared" si="15"/>
        <v>43466</v>
      </c>
      <c r="R40" s="73">
        <f t="shared" si="16"/>
        <v>43555</v>
      </c>
      <c r="S40" s="76">
        <f t="shared" si="11"/>
        <v>70.614640732867542</v>
      </c>
      <c r="T40" s="76">
        <f t="shared" si="12"/>
        <v>113.27678765991681</v>
      </c>
      <c r="U40" s="75">
        <f t="shared" si="9"/>
        <v>183.89142839278435</v>
      </c>
      <c r="V40" s="76">
        <f t="shared" si="13"/>
        <v>914.8</v>
      </c>
    </row>
    <row r="41" spans="1:22" x14ac:dyDescent="0.25">
      <c r="A41" s="17" t="s">
        <v>64</v>
      </c>
      <c r="B41" s="72" t="str">
        <f t="shared" si="10"/>
        <v>Q2/2019</v>
      </c>
      <c r="C41" s="73">
        <f t="shared" si="14"/>
        <v>43556</v>
      </c>
      <c r="D41" s="73">
        <f t="shared" si="3"/>
        <v>43646</v>
      </c>
      <c r="E41" s="72">
        <f t="shared" si="4"/>
        <v>91</v>
      </c>
      <c r="F41" s="74">
        <f>VLOOKUP(D41,'FERC Interest Rate'!$A:$B,2,TRUE)</f>
        <v>5.45E-2</v>
      </c>
      <c r="G41" s="75">
        <f t="shared" si="17"/>
        <v>417859.87878059328</v>
      </c>
      <c r="H41" s="75">
        <v>0</v>
      </c>
      <c r="I41" s="99">
        <f t="shared" si="18"/>
        <v>794.25829528656732</v>
      </c>
      <c r="J41" s="76">
        <f t="shared" si="19"/>
        <v>5677.7426542804178</v>
      </c>
      <c r="K41" s="116">
        <f t="shared" si="5"/>
        <v>6472.0009495669856</v>
      </c>
      <c r="L41" s="76">
        <f t="shared" si="20"/>
        <v>51438.226552287582</v>
      </c>
      <c r="M41" s="117">
        <f t="shared" si="6"/>
        <v>57910.22750185457</v>
      </c>
      <c r="N41" s="8">
        <f t="shared" si="7"/>
        <v>423537.62143487373</v>
      </c>
      <c r="O41" s="75">
        <f t="shared" si="8"/>
        <v>365627.39393301914</v>
      </c>
      <c r="Q41" s="73">
        <f t="shared" si="15"/>
        <v>43556</v>
      </c>
      <c r="R41" s="73">
        <f t="shared" si="16"/>
        <v>43646</v>
      </c>
      <c r="S41" s="76">
        <f t="shared" si="11"/>
        <v>70.614640732867542</v>
      </c>
      <c r="T41" s="76">
        <f t="shared" si="12"/>
        <v>107.11592133073214</v>
      </c>
      <c r="U41" s="75">
        <f t="shared" si="9"/>
        <v>177.73056206359968</v>
      </c>
      <c r="V41" s="76">
        <f t="shared" si="13"/>
        <v>914.8</v>
      </c>
    </row>
    <row r="42" spans="1:22" x14ac:dyDescent="0.25">
      <c r="A42" s="17" t="s">
        <v>65</v>
      </c>
      <c r="B42" s="72" t="str">
        <f t="shared" si="10"/>
        <v>Q3/2019</v>
      </c>
      <c r="C42" s="73">
        <f t="shared" si="14"/>
        <v>43647</v>
      </c>
      <c r="D42" s="73">
        <f t="shared" si="3"/>
        <v>43738</v>
      </c>
      <c r="E42" s="72">
        <f t="shared" si="4"/>
        <v>92</v>
      </c>
      <c r="F42" s="74">
        <f>VLOOKUP(D42,'FERC Interest Rate'!$A:$B,2,TRUE)</f>
        <v>5.5E-2</v>
      </c>
      <c r="G42" s="75">
        <f t="shared" si="17"/>
        <v>365627.39393301914</v>
      </c>
      <c r="H42" s="75">
        <v>0</v>
      </c>
      <c r="I42" s="99">
        <f t="shared" si="18"/>
        <v>794.25829528656732</v>
      </c>
      <c r="J42" s="76">
        <f t="shared" si="19"/>
        <v>5068.6975706878829</v>
      </c>
      <c r="K42" s="116">
        <f t="shared" si="5"/>
        <v>5862.9558659744507</v>
      </c>
      <c r="L42" s="76">
        <f t="shared" si="20"/>
        <v>51438.226552287582</v>
      </c>
      <c r="M42" s="117">
        <f t="shared" si="6"/>
        <v>57301.182418262033</v>
      </c>
      <c r="N42" s="8">
        <f t="shared" si="7"/>
        <v>370696.09150370699</v>
      </c>
      <c r="O42" s="75">
        <f t="shared" si="8"/>
        <v>313394.90908544499</v>
      </c>
      <c r="Q42" s="73">
        <f t="shared" si="15"/>
        <v>43647</v>
      </c>
      <c r="R42" s="73">
        <f t="shared" si="16"/>
        <v>43738</v>
      </c>
      <c r="S42" s="76">
        <f t="shared" si="11"/>
        <v>70.614640732867542</v>
      </c>
      <c r="T42" s="76">
        <f t="shared" si="12"/>
        <v>95.625716643173021</v>
      </c>
      <c r="U42" s="75">
        <f t="shared" si="9"/>
        <v>166.24035737604055</v>
      </c>
      <c r="V42" s="76">
        <f t="shared" si="13"/>
        <v>914.8</v>
      </c>
    </row>
    <row r="43" spans="1:22" x14ac:dyDescent="0.25">
      <c r="A43" s="17" t="s">
        <v>66</v>
      </c>
      <c r="B43" s="72" t="str">
        <f t="shared" si="10"/>
        <v>Q4/2019</v>
      </c>
      <c r="C43" s="73">
        <f t="shared" si="14"/>
        <v>43739</v>
      </c>
      <c r="D43" s="73">
        <f t="shared" si="3"/>
        <v>43830</v>
      </c>
      <c r="E43" s="72">
        <f t="shared" si="4"/>
        <v>92</v>
      </c>
      <c r="F43" s="74">
        <f>VLOOKUP(D43,'FERC Interest Rate'!$A:$B,2,TRUE)</f>
        <v>5.4199999999999998E-2</v>
      </c>
      <c r="G43" s="75">
        <f t="shared" si="17"/>
        <v>313394.90908544499</v>
      </c>
      <c r="H43" s="75">
        <v>0</v>
      </c>
      <c r="I43" s="99">
        <f t="shared" si="18"/>
        <v>794.25829528656732</v>
      </c>
      <c r="J43" s="76">
        <f t="shared" si="19"/>
        <v>4281.4037662018163</v>
      </c>
      <c r="K43" s="116">
        <f t="shared" si="5"/>
        <v>5075.6620614883832</v>
      </c>
      <c r="L43" s="76">
        <f t="shared" si="20"/>
        <v>51438.226552287582</v>
      </c>
      <c r="M43" s="117">
        <f t="shared" si="6"/>
        <v>56513.888613775969</v>
      </c>
      <c r="N43" s="8">
        <f t="shared" si="7"/>
        <v>317676.3128516468</v>
      </c>
      <c r="O43" s="75">
        <f t="shared" si="8"/>
        <v>261162.42423787084</v>
      </c>
      <c r="Q43" s="73">
        <f t="shared" si="15"/>
        <v>43739</v>
      </c>
      <c r="R43" s="73">
        <f t="shared" si="16"/>
        <v>43830</v>
      </c>
      <c r="S43" s="76">
        <f t="shared" si="11"/>
        <v>70.614640732867542</v>
      </c>
      <c r="T43" s="76">
        <f t="shared" si="12"/>
        <v>80.772683252882743</v>
      </c>
      <c r="U43" s="75">
        <f t="shared" si="9"/>
        <v>151.3873239857503</v>
      </c>
      <c r="V43" s="76">
        <f t="shared" si="13"/>
        <v>914.8</v>
      </c>
    </row>
    <row r="44" spans="1:22" x14ac:dyDescent="0.25">
      <c r="A44" s="17" t="s">
        <v>67</v>
      </c>
      <c r="B44" s="72" t="str">
        <f t="shared" si="10"/>
        <v>Q1/2020</v>
      </c>
      <c r="C44" s="73">
        <f t="shared" si="14"/>
        <v>43831</v>
      </c>
      <c r="D44" s="73">
        <f t="shared" si="3"/>
        <v>43921</v>
      </c>
      <c r="E44" s="72">
        <f t="shared" si="4"/>
        <v>91</v>
      </c>
      <c r="F44" s="74">
        <f>VLOOKUP(D44,'FERC Interest Rate'!$A:$B,2,TRUE)</f>
        <v>4.9599999999999998E-2</v>
      </c>
      <c r="G44" s="75">
        <f t="shared" si="17"/>
        <v>261162.42423787084</v>
      </c>
      <c r="H44" s="75">
        <v>0</v>
      </c>
      <c r="I44" s="99">
        <f t="shared" si="18"/>
        <v>794.25829528656732</v>
      </c>
      <c r="J44" s="76">
        <f t="shared" si="19"/>
        <v>3220.7178088526057</v>
      </c>
      <c r="K44" s="116">
        <f t="shared" si="5"/>
        <v>4014.976104139173</v>
      </c>
      <c r="L44" s="76">
        <f t="shared" si="20"/>
        <v>51438.226552287582</v>
      </c>
      <c r="M44" s="117">
        <f t="shared" si="6"/>
        <v>55453.202656426758</v>
      </c>
      <c r="N44" s="8">
        <f t="shared" si="7"/>
        <v>264383.14204672346</v>
      </c>
      <c r="O44" s="75">
        <f t="shared" si="8"/>
        <v>208929.9393902967</v>
      </c>
      <c r="Q44" s="73">
        <f t="shared" si="15"/>
        <v>43831</v>
      </c>
      <c r="R44" s="73">
        <f t="shared" si="16"/>
        <v>43921</v>
      </c>
      <c r="S44" s="76">
        <f t="shared" si="11"/>
        <v>70.614640732867542</v>
      </c>
      <c r="T44" s="76">
        <f t="shared" si="12"/>
        <v>60.761851399069222</v>
      </c>
      <c r="U44" s="75">
        <f t="shared" si="9"/>
        <v>131.37649213193677</v>
      </c>
      <c r="V44" s="76">
        <f t="shared" si="13"/>
        <v>914.8</v>
      </c>
    </row>
    <row r="45" spans="1:22" x14ac:dyDescent="0.25">
      <c r="A45" s="17" t="s">
        <v>68</v>
      </c>
      <c r="B45" s="72" t="str">
        <f t="shared" si="10"/>
        <v>Q2/2020</v>
      </c>
      <c r="C45" s="73">
        <f t="shared" si="14"/>
        <v>43922</v>
      </c>
      <c r="D45" s="73">
        <f t="shared" si="3"/>
        <v>44012</v>
      </c>
      <c r="E45" s="72">
        <f t="shared" si="4"/>
        <v>91</v>
      </c>
      <c r="F45" s="74">
        <f>VLOOKUP(D45,'FERC Interest Rate'!$A:$B,2,TRUE)</f>
        <v>4.7503500000000004E-2</v>
      </c>
      <c r="G45" s="75">
        <f t="shared" si="17"/>
        <v>208929.9393902967</v>
      </c>
      <c r="H45" s="75">
        <v>0</v>
      </c>
      <c r="I45" s="99">
        <f t="shared" si="18"/>
        <v>794.25829528656732</v>
      </c>
      <c r="J45" s="76">
        <f t="shared" si="19"/>
        <v>2467.6672327875776</v>
      </c>
      <c r="K45" s="116">
        <f t="shared" si="5"/>
        <v>3261.9255280741449</v>
      </c>
      <c r="L45" s="76">
        <f t="shared" si="20"/>
        <v>51438.226552287582</v>
      </c>
      <c r="M45" s="117">
        <f t="shared" si="6"/>
        <v>54700.152080361724</v>
      </c>
      <c r="N45" s="8">
        <f t="shared" si="7"/>
        <v>211397.60662308428</v>
      </c>
      <c r="O45" s="75">
        <f t="shared" si="8"/>
        <v>156697.45454272255</v>
      </c>
      <c r="Q45" s="73">
        <f t="shared" si="15"/>
        <v>43922</v>
      </c>
      <c r="R45" s="73">
        <f t="shared" si="16"/>
        <v>44012</v>
      </c>
      <c r="S45" s="76">
        <f t="shared" si="11"/>
        <v>70.614640732867542</v>
      </c>
      <c r="T45" s="76">
        <f t="shared" si="12"/>
        <v>46.554848515091678</v>
      </c>
      <c r="U45" s="75">
        <f t="shared" si="9"/>
        <v>117.16948924795922</v>
      </c>
      <c r="V45" s="76">
        <f t="shared" si="13"/>
        <v>914.8</v>
      </c>
    </row>
    <row r="46" spans="1:22" x14ac:dyDescent="0.25">
      <c r="A46" s="17" t="s">
        <v>69</v>
      </c>
      <c r="B46" s="72" t="str">
        <f t="shared" si="10"/>
        <v>Q3/2020</v>
      </c>
      <c r="C46" s="73">
        <f t="shared" si="14"/>
        <v>44013</v>
      </c>
      <c r="D46" s="73">
        <f t="shared" si="3"/>
        <v>44104</v>
      </c>
      <c r="E46" s="72">
        <f t="shared" si="4"/>
        <v>92</v>
      </c>
      <c r="F46" s="74">
        <f>VLOOKUP(D46,'FERC Interest Rate'!$A:$B,2,TRUE)</f>
        <v>4.7507929999999997E-2</v>
      </c>
      <c r="G46" s="75">
        <f t="shared" si="17"/>
        <v>156697.45454272255</v>
      </c>
      <c r="H46" s="75">
        <v>0</v>
      </c>
      <c r="I46" s="99">
        <f t="shared" si="18"/>
        <v>794.25829528656732</v>
      </c>
      <c r="J46" s="76">
        <f t="shared" si="19"/>
        <v>1871.2628320946276</v>
      </c>
      <c r="K46" s="116">
        <f t="shared" si="5"/>
        <v>2665.5211273811947</v>
      </c>
      <c r="L46" s="76">
        <f t="shared" si="20"/>
        <v>51438.226552287582</v>
      </c>
      <c r="M46" s="117">
        <f t="shared" si="6"/>
        <v>54103.747679668777</v>
      </c>
      <c r="N46" s="8">
        <f t="shared" si="7"/>
        <v>158568.71737481718</v>
      </c>
      <c r="O46" s="75">
        <f t="shared" si="8"/>
        <v>104464.96969514841</v>
      </c>
      <c r="Q46" s="73">
        <f t="shared" si="15"/>
        <v>44013</v>
      </c>
      <c r="R46" s="73">
        <f t="shared" si="16"/>
        <v>44104</v>
      </c>
      <c r="S46" s="76">
        <f t="shared" si="11"/>
        <v>70.614640732867542</v>
      </c>
      <c r="T46" s="76">
        <f t="shared" si="12"/>
        <v>35.303122123835394</v>
      </c>
      <c r="U46" s="75">
        <f t="shared" si="9"/>
        <v>105.91776285670294</v>
      </c>
      <c r="V46" s="76">
        <f t="shared" si="13"/>
        <v>914.8</v>
      </c>
    </row>
    <row r="47" spans="1:22" x14ac:dyDescent="0.25">
      <c r="A47" s="17" t="s">
        <v>70</v>
      </c>
      <c r="B47" s="72" t="str">
        <f t="shared" si="10"/>
        <v>Q4/2020</v>
      </c>
      <c r="C47" s="73">
        <f t="shared" si="14"/>
        <v>44105</v>
      </c>
      <c r="D47" s="73">
        <f t="shared" si="3"/>
        <v>44196</v>
      </c>
      <c r="E47" s="72">
        <f t="shared" si="4"/>
        <v>92</v>
      </c>
      <c r="F47" s="74">
        <f>VLOOKUP(D47,'FERC Interest Rate'!$A:$B,2,TRUE)</f>
        <v>4.7922320000000004E-2</v>
      </c>
      <c r="G47" s="75">
        <f t="shared" si="17"/>
        <v>104464.96969514841</v>
      </c>
      <c r="H47" s="75">
        <v>0</v>
      </c>
      <c r="I47" s="99">
        <f t="shared" si="18"/>
        <v>794.25829528656732</v>
      </c>
      <c r="J47" s="76">
        <f t="shared" si="19"/>
        <v>1258.3900027321063</v>
      </c>
      <c r="K47" s="116">
        <f t="shared" si="5"/>
        <v>2052.6482980186738</v>
      </c>
      <c r="L47" s="76">
        <f t="shared" si="20"/>
        <v>51438.226552287582</v>
      </c>
      <c r="M47" s="117">
        <f t="shared" si="6"/>
        <v>53490.874850306252</v>
      </c>
      <c r="N47" s="8">
        <f t="shared" si="7"/>
        <v>105723.35969788051</v>
      </c>
      <c r="O47" s="75">
        <f t="shared" si="8"/>
        <v>52232.484847574255</v>
      </c>
      <c r="Q47" s="73">
        <f t="shared" si="15"/>
        <v>44105</v>
      </c>
      <c r="R47" s="73">
        <f t="shared" si="16"/>
        <v>44196</v>
      </c>
      <c r="S47" s="76">
        <f t="shared" si="11"/>
        <v>70.614640732867542</v>
      </c>
      <c r="T47" s="76">
        <f t="shared" si="12"/>
        <v>23.740703435089937</v>
      </c>
      <c r="U47" s="75">
        <f t="shared" si="9"/>
        <v>94.355344167957483</v>
      </c>
      <c r="V47" s="76">
        <f t="shared" si="13"/>
        <v>914.8</v>
      </c>
    </row>
    <row r="48" spans="1:22" x14ac:dyDescent="0.25">
      <c r="A48" s="17" t="s">
        <v>71</v>
      </c>
      <c r="B48" s="72" t="str">
        <f t="shared" si="10"/>
        <v>Q1/2021</v>
      </c>
      <c r="C48" s="73">
        <f t="shared" si="14"/>
        <v>44197</v>
      </c>
      <c r="D48" s="73">
        <f t="shared" si="3"/>
        <v>44286</v>
      </c>
      <c r="E48" s="72">
        <f t="shared" si="4"/>
        <v>90</v>
      </c>
      <c r="F48" s="74">
        <f>VLOOKUP(D48,'FERC Interest Rate'!$A:$B,2,TRUE)</f>
        <v>5.0023470000000007E-2</v>
      </c>
      <c r="G48" s="75">
        <f t="shared" si="17"/>
        <v>52232.484847574255</v>
      </c>
      <c r="H48" s="75">
        <v>0</v>
      </c>
      <c r="I48" s="99">
        <f t="shared" si="18"/>
        <v>794.25829528656732</v>
      </c>
      <c r="J48" s="76">
        <f t="shared" si="19"/>
        <v>644.26441778582921</v>
      </c>
      <c r="K48" s="116">
        <f t="shared" si="5"/>
        <v>1438.5227130723965</v>
      </c>
      <c r="L48" s="76">
        <f t="shared" si="20"/>
        <v>51438.226552287582</v>
      </c>
      <c r="M48" s="117">
        <f t="shared" si="6"/>
        <v>52876.749265359977</v>
      </c>
      <c r="N48" s="8">
        <f t="shared" si="7"/>
        <v>52876.749265360086</v>
      </c>
      <c r="O48" s="75">
        <f t="shared" si="8"/>
        <v>1.0504663805477321E-10</v>
      </c>
      <c r="Q48" s="73">
        <f t="shared" si="15"/>
        <v>44197</v>
      </c>
      <c r="R48" s="73">
        <f t="shared" si="16"/>
        <v>44286</v>
      </c>
      <c r="S48" s="76">
        <f t="shared" si="11"/>
        <v>70.614640732867542</v>
      </c>
      <c r="T48" s="76">
        <f t="shared" si="12"/>
        <v>12.154650341489058</v>
      </c>
      <c r="U48" s="75">
        <f t="shared" si="9"/>
        <v>82.769291074356602</v>
      </c>
      <c r="V48" s="76">
        <f t="shared" si="13"/>
        <v>914.8</v>
      </c>
    </row>
    <row r="49" spans="1:22" x14ac:dyDescent="0.25">
      <c r="B49" s="11"/>
      <c r="C49" s="111"/>
      <c r="D49" s="111"/>
      <c r="E49" s="10"/>
      <c r="F49" s="11"/>
      <c r="G49" s="76"/>
      <c r="H49" s="12"/>
      <c r="I49" s="101"/>
      <c r="J49" s="76"/>
      <c r="K49" s="103"/>
      <c r="L49" s="58"/>
      <c r="M49" s="118"/>
      <c r="O49" s="76"/>
      <c r="Q49" s="111"/>
      <c r="R49" s="111"/>
      <c r="S49" s="12"/>
      <c r="T49" s="76"/>
      <c r="U49" s="76"/>
    </row>
    <row r="50" spans="1:22" ht="13.5" thickBot="1" x14ac:dyDescent="0.35">
      <c r="A50" s="142"/>
      <c r="B50" s="143"/>
      <c r="C50" s="146"/>
      <c r="D50" s="146"/>
      <c r="E50" s="145"/>
      <c r="F50" s="143"/>
      <c r="G50" s="127">
        <f t="shared" ref="G50:O50" si="21">+SUM(G29:G49)</f>
        <v>10861593.773803841</v>
      </c>
      <c r="H50" s="127">
        <f t="shared" si="21"/>
        <v>15885.165905731346</v>
      </c>
      <c r="I50" s="128">
        <f t="shared" si="21"/>
        <v>15885.165905731341</v>
      </c>
      <c r="J50" s="127">
        <f t="shared" si="21"/>
        <v>105584.55321161666</v>
      </c>
      <c r="K50" s="127">
        <f t="shared" si="21"/>
        <v>121469.71911734802</v>
      </c>
      <c r="L50" s="127">
        <f t="shared" si="21"/>
        <v>1021796</v>
      </c>
      <c r="M50" s="129">
        <f t="shared" si="21"/>
        <v>1143265.7191173481</v>
      </c>
      <c r="N50" s="127">
        <f t="shared" si="21"/>
        <v>10983063.492921188</v>
      </c>
      <c r="O50" s="127">
        <f t="shared" si="21"/>
        <v>9839797.7738038413</v>
      </c>
      <c r="Q50" s="127"/>
      <c r="R50" s="127"/>
      <c r="S50" s="127">
        <f>+SUM(S29:S49)</f>
        <v>1412.2928146573504</v>
      </c>
      <c r="T50" s="127">
        <f>+SUM(T29:T49)</f>
        <v>1701.0643627305219</v>
      </c>
      <c r="U50" s="127">
        <f>+SUM(U29:U49)</f>
        <v>3113.357177387873</v>
      </c>
      <c r="V50" s="127">
        <f>+SUM(V29:V49)</f>
        <v>18295.999999999993</v>
      </c>
    </row>
    <row r="51" spans="1:22" ht="13" thickTop="1" x14ac:dyDescent="0.25">
      <c r="B51" s="103"/>
      <c r="C51" s="103"/>
      <c r="D51" s="103"/>
      <c r="E51" s="103"/>
      <c r="F51" s="103"/>
      <c r="G51" s="103"/>
      <c r="H51" s="103"/>
      <c r="I51" s="102"/>
      <c r="J51" s="103"/>
      <c r="K51" s="103"/>
      <c r="L51" s="103"/>
      <c r="M51" s="118"/>
      <c r="O51" s="103"/>
      <c r="S51" s="8">
        <f>+I81+I113+I144+I174+I203+I231+I258+I284</f>
        <v>1412.2928146573511</v>
      </c>
      <c r="T51" s="8">
        <f>+J81+J113+J144+J174+J203+J231+J258+J284</f>
        <v>1701.0643627305219</v>
      </c>
      <c r="U51" s="8">
        <f>+K81+K113+K144+K174+K203+K231+K258+K284</f>
        <v>3113.3571773878725</v>
      </c>
      <c r="V51" s="8">
        <f>+L81+L113+L144+L174+L203+L231+L258+L284</f>
        <v>18296.000000000004</v>
      </c>
    </row>
    <row r="52" spans="1:22" ht="39" x14ac:dyDescent="0.3">
      <c r="A52" s="77" t="s">
        <v>51</v>
      </c>
      <c r="B52" s="77" t="s">
        <v>3</v>
      </c>
      <c r="C52" s="77" t="s">
        <v>4</v>
      </c>
      <c r="D52" s="77" t="s">
        <v>5</v>
      </c>
      <c r="E52" s="77" t="s">
        <v>6</v>
      </c>
      <c r="F52" s="77" t="s">
        <v>7</v>
      </c>
      <c r="G52" s="77" t="s">
        <v>92</v>
      </c>
      <c r="H52" s="77" t="s">
        <v>93</v>
      </c>
      <c r="I52" s="94" t="s">
        <v>94</v>
      </c>
      <c r="J52" s="95" t="s">
        <v>95</v>
      </c>
      <c r="K52" s="95" t="s">
        <v>96</v>
      </c>
      <c r="L52" s="95" t="s">
        <v>97</v>
      </c>
      <c r="M52" s="96" t="s">
        <v>98</v>
      </c>
      <c r="N52" s="77" t="s">
        <v>99</v>
      </c>
      <c r="O52" s="77" t="s">
        <v>100</v>
      </c>
      <c r="S52" s="8">
        <f>+S51-S50</f>
        <v>0</v>
      </c>
      <c r="T52" s="8">
        <f>+T51-T50</f>
        <v>0</v>
      </c>
      <c r="U52" s="8">
        <f>+U51-U50</f>
        <v>0</v>
      </c>
      <c r="V52" s="8">
        <f>+V51-V50</f>
        <v>0</v>
      </c>
    </row>
    <row r="53" spans="1:22" ht="13" x14ac:dyDescent="0.3">
      <c r="A53" s="347" t="s">
        <v>14</v>
      </c>
      <c r="B53" s="347"/>
      <c r="C53" s="73">
        <f>VLOOKUP(B54,A$1:F$25,2,FALSE)</f>
        <v>41831</v>
      </c>
      <c r="D53" s="73">
        <f>DATE(YEAR(C53),IF(MONTH(C53)&lt;=3,3,IF(MONTH(C53)&lt;=6,6,IF(MONTH(C53)&lt;=9,9,12))),IF(OR(MONTH(C53)&lt;=3,MONTH(C53)&gt;=10),31,30))</f>
        <v>41912</v>
      </c>
      <c r="E53" s="72">
        <f>D53-C53+1</f>
        <v>82</v>
      </c>
      <c r="F53" s="74">
        <f>VLOOKUP(D53,'FERC Interest Rate'!$A:$B,2,TRUE)</f>
        <v>3.2500000000000001E-2</v>
      </c>
      <c r="G53" s="75">
        <f>VLOOKUP(B54,$A$1:$F$25,5,FALSE)</f>
        <v>820.99610606341548</v>
      </c>
      <c r="H53" s="75">
        <f t="shared" ref="H53:H63" si="22">G53*F53*(E53/(DATE(YEAR(D53),12,31)-DATE(YEAR(D53),1,1)+1))</f>
        <v>5.9943962264630199</v>
      </c>
      <c r="I53" s="180">
        <v>0</v>
      </c>
      <c r="J53" s="76">
        <v>0</v>
      </c>
      <c r="K53" s="76">
        <f t="shared" ref="K53:K79" si="23">+SUM(I53:J53)</f>
        <v>0</v>
      </c>
      <c r="L53" s="76">
        <v>0</v>
      </c>
      <c r="M53" s="100">
        <f t="shared" ref="M53:M79" si="24">+SUM(K53:L53)</f>
        <v>0</v>
      </c>
      <c r="N53" s="76">
        <f t="shared" ref="N53:N79" si="25">+G53+H53+J53</f>
        <v>826.99050228987846</v>
      </c>
      <c r="O53" s="75">
        <f t="shared" ref="O53:O79" si="26">G53+H53-L53-I53</f>
        <v>826.99050228987846</v>
      </c>
    </row>
    <row r="54" spans="1:22" ht="13" x14ac:dyDescent="0.3">
      <c r="A54" s="110" t="s">
        <v>40</v>
      </c>
      <c r="B54" s="141" t="s">
        <v>52</v>
      </c>
      <c r="C54" s="73">
        <f>D53+1</f>
        <v>41913</v>
      </c>
      <c r="D54" s="73">
        <f>EOMONTH(D53,3)</f>
        <v>42004</v>
      </c>
      <c r="E54" s="72">
        <f t="shared" ref="E54:E79" si="27">D54-C54+1</f>
        <v>92</v>
      </c>
      <c r="F54" s="74">
        <f>VLOOKUP(D54,'FERC Interest Rate'!$A:$B,2,TRUE)</f>
        <v>3.2500000000000001E-2</v>
      </c>
      <c r="G54" s="75">
        <f t="shared" ref="G54:G79" si="28">O53</f>
        <v>826.99050228987846</v>
      </c>
      <c r="H54" s="75">
        <f t="shared" si="22"/>
        <v>6.7745249365664026</v>
      </c>
      <c r="I54" s="180">
        <v>0</v>
      </c>
      <c r="J54" s="76">
        <v>0</v>
      </c>
      <c r="K54" s="76">
        <f t="shared" si="23"/>
        <v>0</v>
      </c>
      <c r="L54" s="76">
        <v>0</v>
      </c>
      <c r="M54" s="100">
        <f t="shared" si="24"/>
        <v>0</v>
      </c>
      <c r="N54" s="76">
        <f t="shared" si="25"/>
        <v>833.76502722644489</v>
      </c>
      <c r="O54" s="75">
        <f t="shared" si="26"/>
        <v>833.76502722644489</v>
      </c>
    </row>
    <row r="55" spans="1:22" ht="13" x14ac:dyDescent="0.3">
      <c r="A55" s="321"/>
      <c r="B55" s="301"/>
      <c r="C55" s="73">
        <f t="shared" ref="C55:C79" si="29">D54+1</f>
        <v>42005</v>
      </c>
      <c r="D55" s="73">
        <f t="shared" ref="D55:D79" si="30">EOMONTH(D54,3)</f>
        <v>42094</v>
      </c>
      <c r="E55" s="72">
        <f t="shared" si="27"/>
        <v>90</v>
      </c>
      <c r="F55" s="74">
        <f>VLOOKUP(D55,'FERC Interest Rate'!$A:$B,2,TRUE)</f>
        <v>3.2500000000000001E-2</v>
      </c>
      <c r="G55" s="75">
        <f t="shared" si="28"/>
        <v>833.76502722644489</v>
      </c>
      <c r="H55" s="75">
        <f t="shared" si="22"/>
        <v>6.6815416565406887</v>
      </c>
      <c r="I55" s="180">
        <v>0</v>
      </c>
      <c r="J55" s="76">
        <v>0</v>
      </c>
      <c r="K55" s="76">
        <f t="shared" si="23"/>
        <v>0</v>
      </c>
      <c r="L55" s="76">
        <v>0</v>
      </c>
      <c r="M55" s="100">
        <f t="shared" si="24"/>
        <v>0</v>
      </c>
      <c r="N55" s="76">
        <f t="shared" si="25"/>
        <v>840.44656888298562</v>
      </c>
      <c r="O55" s="75">
        <f t="shared" si="26"/>
        <v>840.44656888298562</v>
      </c>
    </row>
    <row r="56" spans="1:22" ht="13" x14ac:dyDescent="0.3">
      <c r="A56" s="321"/>
      <c r="B56" s="301"/>
      <c r="C56" s="73">
        <f t="shared" si="29"/>
        <v>42095</v>
      </c>
      <c r="D56" s="73">
        <f t="shared" si="30"/>
        <v>42185</v>
      </c>
      <c r="E56" s="72">
        <f t="shared" si="27"/>
        <v>91</v>
      </c>
      <c r="F56" s="74">
        <f>VLOOKUP(D56,'FERC Interest Rate'!$A:$B,2,TRUE)</f>
        <v>3.2500000000000001E-2</v>
      </c>
      <c r="G56" s="75">
        <f t="shared" si="28"/>
        <v>840.44656888298562</v>
      </c>
      <c r="H56" s="75">
        <f t="shared" si="22"/>
        <v>6.8099198012915894</v>
      </c>
      <c r="I56" s="180">
        <v>0</v>
      </c>
      <c r="J56" s="76">
        <v>0</v>
      </c>
      <c r="K56" s="76">
        <f t="shared" si="23"/>
        <v>0</v>
      </c>
      <c r="L56" s="76">
        <v>0</v>
      </c>
      <c r="M56" s="100">
        <f t="shared" si="24"/>
        <v>0</v>
      </c>
      <c r="N56" s="76">
        <f t="shared" si="25"/>
        <v>847.2564886842772</v>
      </c>
      <c r="O56" s="75">
        <f t="shared" si="26"/>
        <v>847.2564886842772</v>
      </c>
    </row>
    <row r="57" spans="1:22" ht="13" x14ac:dyDescent="0.3">
      <c r="A57" s="321"/>
      <c r="B57" s="301"/>
      <c r="C57" s="73">
        <f t="shared" si="29"/>
        <v>42186</v>
      </c>
      <c r="D57" s="73">
        <f t="shared" si="30"/>
        <v>42277</v>
      </c>
      <c r="E57" s="72">
        <f t="shared" si="27"/>
        <v>92</v>
      </c>
      <c r="F57" s="74">
        <f>VLOOKUP(D57,'FERC Interest Rate'!$A:$B,2,TRUE)</f>
        <v>3.2500000000000001E-2</v>
      </c>
      <c r="G57" s="75">
        <f t="shared" si="28"/>
        <v>847.2564886842772</v>
      </c>
      <c r="H57" s="75">
        <f t="shared" si="22"/>
        <v>6.9405394552492847</v>
      </c>
      <c r="I57" s="180">
        <v>0</v>
      </c>
      <c r="J57" s="76">
        <v>0</v>
      </c>
      <c r="K57" s="76">
        <f t="shared" si="23"/>
        <v>0</v>
      </c>
      <c r="L57" s="76">
        <v>0</v>
      </c>
      <c r="M57" s="100">
        <f t="shared" si="24"/>
        <v>0</v>
      </c>
      <c r="N57" s="76">
        <f t="shared" si="25"/>
        <v>854.19702813952654</v>
      </c>
      <c r="O57" s="75">
        <f t="shared" si="26"/>
        <v>854.19702813952654</v>
      </c>
    </row>
    <row r="58" spans="1:22" ht="13" x14ac:dyDescent="0.3">
      <c r="A58" s="321"/>
      <c r="B58" s="301"/>
      <c r="C58" s="73">
        <f t="shared" si="29"/>
        <v>42278</v>
      </c>
      <c r="D58" s="73">
        <f t="shared" si="30"/>
        <v>42369</v>
      </c>
      <c r="E58" s="72">
        <f t="shared" si="27"/>
        <v>92</v>
      </c>
      <c r="F58" s="74">
        <f>VLOOKUP(D58,'FERC Interest Rate'!$A:$B,2,TRUE)</f>
        <v>3.2500000000000001E-2</v>
      </c>
      <c r="G58" s="75">
        <f t="shared" si="28"/>
        <v>854.19702813952654</v>
      </c>
      <c r="H58" s="75">
        <f t="shared" si="22"/>
        <v>6.9973948332525602</v>
      </c>
      <c r="I58" s="180">
        <v>0</v>
      </c>
      <c r="J58" s="76">
        <v>0</v>
      </c>
      <c r="K58" s="76">
        <f t="shared" si="23"/>
        <v>0</v>
      </c>
      <c r="L58" s="76">
        <v>0</v>
      </c>
      <c r="M58" s="100">
        <f t="shared" si="24"/>
        <v>0</v>
      </c>
      <c r="N58" s="76">
        <f t="shared" si="25"/>
        <v>861.19442297277908</v>
      </c>
      <c r="O58" s="75">
        <f t="shared" si="26"/>
        <v>861.19442297277908</v>
      </c>
    </row>
    <row r="59" spans="1:22" ht="13" x14ac:dyDescent="0.3">
      <c r="A59" s="321"/>
      <c r="B59" s="301"/>
      <c r="C59" s="73">
        <f t="shared" si="29"/>
        <v>42370</v>
      </c>
      <c r="D59" s="73">
        <f t="shared" si="30"/>
        <v>42460</v>
      </c>
      <c r="E59" s="72">
        <f t="shared" si="27"/>
        <v>91</v>
      </c>
      <c r="F59" s="74">
        <f>VLOOKUP(D59,'FERC Interest Rate'!$A:$B,2,TRUE)</f>
        <v>3.2500000000000001E-2</v>
      </c>
      <c r="G59" s="75">
        <f t="shared" si="28"/>
        <v>861.19442297277908</v>
      </c>
      <c r="H59" s="75">
        <f t="shared" si="22"/>
        <v>6.9589685954699299</v>
      </c>
      <c r="I59" s="180">
        <v>0</v>
      </c>
      <c r="J59" s="76">
        <v>0</v>
      </c>
      <c r="K59" s="76">
        <f t="shared" si="23"/>
        <v>0</v>
      </c>
      <c r="L59" s="76">
        <v>0</v>
      </c>
      <c r="M59" s="100">
        <f t="shared" si="24"/>
        <v>0</v>
      </c>
      <c r="N59" s="76">
        <f t="shared" si="25"/>
        <v>868.15339156824905</v>
      </c>
      <c r="O59" s="75">
        <f t="shared" si="26"/>
        <v>868.15339156824905</v>
      </c>
    </row>
    <row r="60" spans="1:22" x14ac:dyDescent="0.25">
      <c r="A60" s="78"/>
      <c r="B60" s="72"/>
      <c r="C60" s="73">
        <f t="shared" si="29"/>
        <v>42461</v>
      </c>
      <c r="D60" s="73">
        <f t="shared" si="30"/>
        <v>42551</v>
      </c>
      <c r="E60" s="72">
        <f t="shared" si="27"/>
        <v>91</v>
      </c>
      <c r="F60" s="74">
        <f>VLOOKUP(D60,'FERC Interest Rate'!$A:$B,2,TRUE)</f>
        <v>3.4599999999999999E-2</v>
      </c>
      <c r="G60" s="75">
        <f t="shared" si="28"/>
        <v>868.15339156824905</v>
      </c>
      <c r="H60" s="75">
        <f t="shared" si="22"/>
        <v>7.4684911712890409</v>
      </c>
      <c r="I60" s="180">
        <v>0</v>
      </c>
      <c r="J60" s="76">
        <v>0</v>
      </c>
      <c r="K60" s="76">
        <f t="shared" si="23"/>
        <v>0</v>
      </c>
      <c r="L60" s="76">
        <v>0</v>
      </c>
      <c r="M60" s="100">
        <f t="shared" si="24"/>
        <v>0</v>
      </c>
      <c r="N60" s="76">
        <f t="shared" si="25"/>
        <v>875.62188273953814</v>
      </c>
      <c r="O60" s="75">
        <f t="shared" si="26"/>
        <v>875.62188273953814</v>
      </c>
    </row>
    <row r="61" spans="1:22" x14ac:dyDescent="0.25">
      <c r="A61" s="309"/>
      <c r="B61" s="72"/>
      <c r="C61" s="73">
        <f t="shared" si="29"/>
        <v>42552</v>
      </c>
      <c r="D61" s="73">
        <f t="shared" si="30"/>
        <v>42643</v>
      </c>
      <c r="E61" s="72">
        <f t="shared" si="27"/>
        <v>92</v>
      </c>
      <c r="F61" s="74">
        <f>VLOOKUP(D61,'FERC Interest Rate'!$A:$B,2,TRUE)</f>
        <v>3.5000000000000003E-2</v>
      </c>
      <c r="G61" s="75">
        <f t="shared" si="28"/>
        <v>875.62188273953814</v>
      </c>
      <c r="H61" s="75">
        <f t="shared" si="22"/>
        <v>7.7035586404953911</v>
      </c>
      <c r="I61" s="99">
        <v>0</v>
      </c>
      <c r="J61" s="76">
        <v>0</v>
      </c>
      <c r="K61" s="76">
        <f t="shared" si="23"/>
        <v>0</v>
      </c>
      <c r="L61" s="76">
        <v>0</v>
      </c>
      <c r="M61" s="100">
        <f t="shared" si="24"/>
        <v>0</v>
      </c>
      <c r="N61" s="76">
        <f t="shared" si="25"/>
        <v>883.32544138003357</v>
      </c>
      <c r="O61" s="75">
        <f t="shared" si="26"/>
        <v>883.32544138003357</v>
      </c>
    </row>
    <row r="62" spans="1:22" x14ac:dyDescent="0.25">
      <c r="A62" s="78"/>
      <c r="B62" s="72"/>
      <c r="C62" s="73">
        <f t="shared" si="29"/>
        <v>42644</v>
      </c>
      <c r="D62" s="73">
        <f t="shared" si="30"/>
        <v>42735</v>
      </c>
      <c r="E62" s="72">
        <f t="shared" si="27"/>
        <v>92</v>
      </c>
      <c r="F62" s="74">
        <f>VLOOKUP(D62,'FERC Interest Rate'!$A:$B,2,TRUE)</f>
        <v>3.5000000000000003E-2</v>
      </c>
      <c r="G62" s="75">
        <f t="shared" si="28"/>
        <v>883.32544138003357</v>
      </c>
      <c r="H62" s="75">
        <f t="shared" si="22"/>
        <v>7.7713331181522092</v>
      </c>
      <c r="I62" s="99">
        <v>0</v>
      </c>
      <c r="J62" s="76">
        <v>0</v>
      </c>
      <c r="K62" s="76">
        <f t="shared" si="23"/>
        <v>0</v>
      </c>
      <c r="L62" s="76">
        <v>0</v>
      </c>
      <c r="M62" s="100">
        <f t="shared" si="24"/>
        <v>0</v>
      </c>
      <c r="N62" s="76">
        <f t="shared" si="25"/>
        <v>891.09677449818582</v>
      </c>
      <c r="O62" s="75">
        <f t="shared" si="26"/>
        <v>891.09677449818582</v>
      </c>
    </row>
    <row r="63" spans="1:22" x14ac:dyDescent="0.25">
      <c r="A63" s="78" t="s">
        <v>101</v>
      </c>
      <c r="B63" s="72" t="str">
        <f t="shared" ref="B63:B79" si="31">+IF(MONTH(C63)&lt;4,"Q1",IF(MONTH(C63)&lt;7,"Q2",IF(MONTH(C63)&lt;10,"Q3","Q4")))&amp;"/"&amp;YEAR(C63)</f>
        <v>Q1/2017</v>
      </c>
      <c r="C63" s="73">
        <f t="shared" si="29"/>
        <v>42736</v>
      </c>
      <c r="D63" s="73">
        <f t="shared" si="30"/>
        <v>42825</v>
      </c>
      <c r="E63" s="72">
        <f t="shared" si="27"/>
        <v>90</v>
      </c>
      <c r="F63" s="74">
        <f>VLOOKUP(D63,'FERC Interest Rate'!$A:$B,2,TRUE)</f>
        <v>3.5000000000000003E-2</v>
      </c>
      <c r="G63" s="75">
        <f t="shared" si="28"/>
        <v>891.09677449818582</v>
      </c>
      <c r="H63" s="75">
        <f t="shared" si="22"/>
        <v>7.690287231970645</v>
      </c>
      <c r="I63" s="99">
        <f>(SUM($H$53:$H$80)/20)*4</f>
        <v>15.558191133348151</v>
      </c>
      <c r="J63" s="76">
        <f t="shared" ref="J63:J79" si="32">G63*F63*(E63/(DATE(YEAR(D63),12,31)-DATE(YEAR(D63),1,1)+1))</f>
        <v>7.690287231970645</v>
      </c>
      <c r="K63" s="76">
        <f t="shared" si="23"/>
        <v>23.248478365318796</v>
      </c>
      <c r="L63" s="76">
        <f>VLOOKUP($B$54,A$1:F$25,5,FALSE)/20*4</f>
        <v>164.19922121268309</v>
      </c>
      <c r="M63" s="100">
        <f t="shared" si="24"/>
        <v>187.44769957800187</v>
      </c>
      <c r="N63" s="76">
        <f t="shared" si="25"/>
        <v>906.47734896212705</v>
      </c>
      <c r="O63" s="75">
        <f t="shared" si="26"/>
        <v>719.02964938412515</v>
      </c>
    </row>
    <row r="64" spans="1:22" x14ac:dyDescent="0.25">
      <c r="A64" s="78" t="s">
        <v>56</v>
      </c>
      <c r="B64" s="72" t="str">
        <f t="shared" si="31"/>
        <v>Q2/2017</v>
      </c>
      <c r="C64" s="73">
        <f t="shared" si="29"/>
        <v>42826</v>
      </c>
      <c r="D64" s="73">
        <f t="shared" si="30"/>
        <v>42916</v>
      </c>
      <c r="E64" s="72">
        <f t="shared" si="27"/>
        <v>91</v>
      </c>
      <c r="F64" s="74">
        <f>VLOOKUP(D64,'FERC Interest Rate'!$A:$B,2,TRUE)</f>
        <v>3.7100000000000001E-2</v>
      </c>
      <c r="G64" s="75">
        <f t="shared" si="28"/>
        <v>719.02964938412515</v>
      </c>
      <c r="H64" s="75">
        <v>0</v>
      </c>
      <c r="I64" s="99">
        <f t="shared" ref="I64:I79" si="33">(SUM($H$53:$H$80)/20)</f>
        <v>3.8895477833370378</v>
      </c>
      <c r="J64" s="76">
        <f t="shared" si="32"/>
        <v>6.6507287651664253</v>
      </c>
      <c r="K64" s="116">
        <f t="shared" si="23"/>
        <v>10.540276548503464</v>
      </c>
      <c r="L64" s="76">
        <f t="shared" ref="L64:L79" si="34">VLOOKUP($B$54,A$1:F$25,5,FALSE)/20</f>
        <v>41.049805303170771</v>
      </c>
      <c r="M64" s="117">
        <f t="shared" si="24"/>
        <v>51.590081851674235</v>
      </c>
      <c r="N64" s="8">
        <f t="shared" si="25"/>
        <v>725.68037814929153</v>
      </c>
      <c r="O64" s="75">
        <f t="shared" si="26"/>
        <v>674.09029629761733</v>
      </c>
    </row>
    <row r="65" spans="1:15" x14ac:dyDescent="0.25">
      <c r="A65" s="78" t="s">
        <v>57</v>
      </c>
      <c r="B65" s="72" t="str">
        <f t="shared" si="31"/>
        <v>Q3/2017</v>
      </c>
      <c r="C65" s="73">
        <f t="shared" si="29"/>
        <v>42917</v>
      </c>
      <c r="D65" s="73">
        <f t="shared" si="30"/>
        <v>43008</v>
      </c>
      <c r="E65" s="72">
        <f t="shared" si="27"/>
        <v>92</v>
      </c>
      <c r="F65" s="74">
        <f>VLOOKUP(D65,'FERC Interest Rate'!$A:$B,2,TRUE)</f>
        <v>3.9600000000000003E-2</v>
      </c>
      <c r="G65" s="75">
        <f t="shared" si="28"/>
        <v>674.09029629761733</v>
      </c>
      <c r="H65" s="75">
        <v>0</v>
      </c>
      <c r="I65" s="99">
        <f t="shared" si="33"/>
        <v>3.8895477833370378</v>
      </c>
      <c r="J65" s="76">
        <f t="shared" si="32"/>
        <v>6.7283445684150136</v>
      </c>
      <c r="K65" s="116">
        <f t="shared" si="23"/>
        <v>10.617892351752051</v>
      </c>
      <c r="L65" s="76">
        <f t="shared" si="34"/>
        <v>41.049805303170771</v>
      </c>
      <c r="M65" s="117">
        <f t="shared" si="24"/>
        <v>51.667697654922819</v>
      </c>
      <c r="N65" s="8">
        <f t="shared" si="25"/>
        <v>680.8186408660323</v>
      </c>
      <c r="O65" s="75">
        <f t="shared" si="26"/>
        <v>629.15094321110951</v>
      </c>
    </row>
    <row r="66" spans="1:15" x14ac:dyDescent="0.25">
      <c r="A66" s="78" t="s">
        <v>58</v>
      </c>
      <c r="B66" s="72" t="str">
        <f t="shared" si="31"/>
        <v>Q4/2017</v>
      </c>
      <c r="C66" s="73">
        <f t="shared" si="29"/>
        <v>43009</v>
      </c>
      <c r="D66" s="73">
        <f t="shared" si="30"/>
        <v>43100</v>
      </c>
      <c r="E66" s="72">
        <f t="shared" si="27"/>
        <v>92</v>
      </c>
      <c r="F66" s="74">
        <f>VLOOKUP(D66,'FERC Interest Rate'!$A:$B,2,TRUE)</f>
        <v>4.2099999999999999E-2</v>
      </c>
      <c r="G66" s="75">
        <f t="shared" si="28"/>
        <v>629.15094321110951</v>
      </c>
      <c r="H66" s="75">
        <v>0</v>
      </c>
      <c r="I66" s="99">
        <f t="shared" si="33"/>
        <v>3.8895477833370378</v>
      </c>
      <c r="J66" s="76">
        <f t="shared" si="32"/>
        <v>6.6762395431377248</v>
      </c>
      <c r="K66" s="116">
        <f t="shared" si="23"/>
        <v>10.565787326474762</v>
      </c>
      <c r="L66" s="76">
        <f t="shared" si="34"/>
        <v>41.049805303170771</v>
      </c>
      <c r="M66" s="117">
        <f t="shared" si="24"/>
        <v>51.615592629645533</v>
      </c>
      <c r="N66" s="8">
        <f t="shared" si="25"/>
        <v>635.82718275424725</v>
      </c>
      <c r="O66" s="75">
        <f t="shared" si="26"/>
        <v>584.21159012460168</v>
      </c>
    </row>
    <row r="67" spans="1:15" x14ac:dyDescent="0.25">
      <c r="A67" s="78" t="s">
        <v>59</v>
      </c>
      <c r="B67" s="72" t="str">
        <f t="shared" si="31"/>
        <v>Q1/2018</v>
      </c>
      <c r="C67" s="73">
        <f t="shared" si="29"/>
        <v>43101</v>
      </c>
      <c r="D67" s="73">
        <f t="shared" si="30"/>
        <v>43190</v>
      </c>
      <c r="E67" s="72">
        <f t="shared" si="27"/>
        <v>90</v>
      </c>
      <c r="F67" s="74">
        <f>VLOOKUP(D67,'FERC Interest Rate'!$A:$B,2,TRUE)</f>
        <v>4.2500000000000003E-2</v>
      </c>
      <c r="G67" s="75">
        <f t="shared" si="28"/>
        <v>584.21159012460168</v>
      </c>
      <c r="H67" s="75">
        <v>0</v>
      </c>
      <c r="I67" s="99">
        <f t="shared" si="33"/>
        <v>3.8895477833370378</v>
      </c>
      <c r="J67" s="76">
        <f t="shared" si="32"/>
        <v>6.1222173485660312</v>
      </c>
      <c r="K67" s="116">
        <f t="shared" si="23"/>
        <v>10.011765131903068</v>
      </c>
      <c r="L67" s="76">
        <f t="shared" si="34"/>
        <v>41.049805303170771</v>
      </c>
      <c r="M67" s="117">
        <f t="shared" si="24"/>
        <v>51.06157043507384</v>
      </c>
      <c r="N67" s="8">
        <f t="shared" si="25"/>
        <v>590.33380747316767</v>
      </c>
      <c r="O67" s="75">
        <f t="shared" si="26"/>
        <v>539.27223703809386</v>
      </c>
    </row>
    <row r="68" spans="1:15" x14ac:dyDescent="0.25">
      <c r="A68" s="78" t="s">
        <v>60</v>
      </c>
      <c r="B68" s="72" t="str">
        <f t="shared" si="31"/>
        <v>Q2/2018</v>
      </c>
      <c r="C68" s="73">
        <f t="shared" si="29"/>
        <v>43191</v>
      </c>
      <c r="D68" s="73">
        <f t="shared" si="30"/>
        <v>43281</v>
      </c>
      <c r="E68" s="72">
        <f t="shared" si="27"/>
        <v>91</v>
      </c>
      <c r="F68" s="74">
        <f>VLOOKUP(D68,'FERC Interest Rate'!$A:$B,2,TRUE)</f>
        <v>4.4699999999999997E-2</v>
      </c>
      <c r="G68" s="75">
        <f t="shared" si="28"/>
        <v>539.27223703809386</v>
      </c>
      <c r="H68" s="75">
        <v>0</v>
      </c>
      <c r="I68" s="99">
        <f t="shared" si="33"/>
        <v>3.8895477833370378</v>
      </c>
      <c r="J68" s="76">
        <f t="shared" si="32"/>
        <v>6.0098566536982307</v>
      </c>
      <c r="K68" s="116">
        <f t="shared" si="23"/>
        <v>9.899404437035269</v>
      </c>
      <c r="L68" s="76">
        <f t="shared" si="34"/>
        <v>41.049805303170771</v>
      </c>
      <c r="M68" s="117">
        <f t="shared" si="24"/>
        <v>50.949209740206044</v>
      </c>
      <c r="N68" s="8">
        <f t="shared" si="25"/>
        <v>545.28209369179206</v>
      </c>
      <c r="O68" s="75">
        <f t="shared" si="26"/>
        <v>494.33288395158604</v>
      </c>
    </row>
    <row r="69" spans="1:15" x14ac:dyDescent="0.25">
      <c r="A69" s="78" t="s">
        <v>61</v>
      </c>
      <c r="B69" s="72" t="str">
        <f t="shared" si="31"/>
        <v>Q3/2018</v>
      </c>
      <c r="C69" s="73">
        <f t="shared" si="29"/>
        <v>43282</v>
      </c>
      <c r="D69" s="73">
        <f t="shared" si="30"/>
        <v>43373</v>
      </c>
      <c r="E69" s="72">
        <f t="shared" si="27"/>
        <v>92</v>
      </c>
      <c r="F69" s="74">
        <f>VLOOKUP(D69,'FERC Interest Rate'!$A:$B,2,TRUE)</f>
        <v>4.6899999999999997E-2</v>
      </c>
      <c r="G69" s="75">
        <f t="shared" si="28"/>
        <v>494.33288395158604</v>
      </c>
      <c r="H69" s="75">
        <v>0</v>
      </c>
      <c r="I69" s="99">
        <f t="shared" si="33"/>
        <v>3.8895477833370378</v>
      </c>
      <c r="J69" s="76">
        <f t="shared" si="32"/>
        <v>5.8436918566419278</v>
      </c>
      <c r="K69" s="116">
        <f t="shared" si="23"/>
        <v>9.7332396399789651</v>
      </c>
      <c r="L69" s="76">
        <f t="shared" si="34"/>
        <v>41.049805303170771</v>
      </c>
      <c r="M69" s="117">
        <f t="shared" si="24"/>
        <v>50.783044943149733</v>
      </c>
      <c r="N69" s="8">
        <f t="shared" si="25"/>
        <v>500.17657580822799</v>
      </c>
      <c r="O69" s="75">
        <f t="shared" si="26"/>
        <v>449.39353086507822</v>
      </c>
    </row>
    <row r="70" spans="1:15" x14ac:dyDescent="0.25">
      <c r="A70" s="78" t="s">
        <v>62</v>
      </c>
      <c r="B70" s="72" t="str">
        <f t="shared" si="31"/>
        <v>Q4/2018</v>
      </c>
      <c r="C70" s="73">
        <f t="shared" si="29"/>
        <v>43374</v>
      </c>
      <c r="D70" s="73">
        <f t="shared" si="30"/>
        <v>43465</v>
      </c>
      <c r="E70" s="72">
        <f t="shared" si="27"/>
        <v>92</v>
      </c>
      <c r="F70" s="74">
        <f>VLOOKUP(D70,'FERC Interest Rate'!$A:$B,2,TRUE)</f>
        <v>4.9599999999999998E-2</v>
      </c>
      <c r="G70" s="75">
        <f t="shared" si="28"/>
        <v>449.39353086507822</v>
      </c>
      <c r="H70" s="75">
        <v>0</v>
      </c>
      <c r="I70" s="99">
        <f t="shared" si="33"/>
        <v>3.8895477833370378</v>
      </c>
      <c r="J70" s="76">
        <f t="shared" si="32"/>
        <v>5.6182809864206167</v>
      </c>
      <c r="K70" s="116">
        <f t="shared" si="23"/>
        <v>9.5078287697576549</v>
      </c>
      <c r="L70" s="76">
        <f t="shared" si="34"/>
        <v>41.049805303170771</v>
      </c>
      <c r="M70" s="117">
        <f t="shared" si="24"/>
        <v>50.557634072928423</v>
      </c>
      <c r="N70" s="8">
        <f t="shared" si="25"/>
        <v>455.01181185149886</v>
      </c>
      <c r="O70" s="75">
        <f t="shared" si="26"/>
        <v>404.4541777785704</v>
      </c>
    </row>
    <row r="71" spans="1:15" x14ac:dyDescent="0.25">
      <c r="A71" s="78" t="s">
        <v>63</v>
      </c>
      <c r="B71" s="72" t="str">
        <f t="shared" si="31"/>
        <v>Q1/2019</v>
      </c>
      <c r="C71" s="73">
        <f t="shared" si="29"/>
        <v>43466</v>
      </c>
      <c r="D71" s="73">
        <f t="shared" si="30"/>
        <v>43555</v>
      </c>
      <c r="E71" s="72">
        <f t="shared" si="27"/>
        <v>90</v>
      </c>
      <c r="F71" s="74">
        <f>VLOOKUP(D71,'FERC Interest Rate'!$A:$B,2,TRUE)</f>
        <v>5.1799999999999999E-2</v>
      </c>
      <c r="G71" s="75">
        <f t="shared" si="28"/>
        <v>404.4541777785704</v>
      </c>
      <c r="H71" s="75">
        <v>0</v>
      </c>
      <c r="I71" s="99">
        <f t="shared" si="33"/>
        <v>3.8895477833370378</v>
      </c>
      <c r="J71" s="76">
        <f t="shared" si="32"/>
        <v>5.1659325391882058</v>
      </c>
      <c r="K71" s="116">
        <f t="shared" si="23"/>
        <v>9.0554803225252432</v>
      </c>
      <c r="L71" s="76">
        <f t="shared" si="34"/>
        <v>41.049805303170771</v>
      </c>
      <c r="M71" s="117">
        <f t="shared" si="24"/>
        <v>50.105285625696013</v>
      </c>
      <c r="N71" s="8">
        <f t="shared" si="25"/>
        <v>409.62011031775859</v>
      </c>
      <c r="O71" s="75">
        <f t="shared" si="26"/>
        <v>359.51482469206258</v>
      </c>
    </row>
    <row r="72" spans="1:15" x14ac:dyDescent="0.25">
      <c r="A72" s="78" t="s">
        <v>64</v>
      </c>
      <c r="B72" s="72" t="str">
        <f t="shared" si="31"/>
        <v>Q2/2019</v>
      </c>
      <c r="C72" s="73">
        <f t="shared" si="29"/>
        <v>43556</v>
      </c>
      <c r="D72" s="73">
        <f t="shared" si="30"/>
        <v>43646</v>
      </c>
      <c r="E72" s="72">
        <f t="shared" si="27"/>
        <v>91</v>
      </c>
      <c r="F72" s="74">
        <f>VLOOKUP(D72,'FERC Interest Rate'!$A:$B,2,TRUE)</f>
        <v>5.45E-2</v>
      </c>
      <c r="G72" s="75">
        <f t="shared" si="28"/>
        <v>359.51482469206258</v>
      </c>
      <c r="H72" s="75">
        <v>0</v>
      </c>
      <c r="I72" s="99">
        <f t="shared" si="33"/>
        <v>3.8895477833370378</v>
      </c>
      <c r="J72" s="76">
        <f t="shared" si="32"/>
        <v>4.8849692412610528</v>
      </c>
      <c r="K72" s="116">
        <f t="shared" si="23"/>
        <v>8.7745170245980901</v>
      </c>
      <c r="L72" s="76">
        <f t="shared" si="34"/>
        <v>41.049805303170771</v>
      </c>
      <c r="M72" s="117">
        <f t="shared" si="24"/>
        <v>49.824322327768861</v>
      </c>
      <c r="N72" s="8">
        <f t="shared" si="25"/>
        <v>364.39979393332362</v>
      </c>
      <c r="O72" s="75">
        <f t="shared" si="26"/>
        <v>314.57547160555475</v>
      </c>
    </row>
    <row r="73" spans="1:15" x14ac:dyDescent="0.25">
      <c r="A73" s="78" t="s">
        <v>65</v>
      </c>
      <c r="B73" s="72" t="str">
        <f t="shared" si="31"/>
        <v>Q3/2019</v>
      </c>
      <c r="C73" s="73">
        <f t="shared" si="29"/>
        <v>43647</v>
      </c>
      <c r="D73" s="73">
        <f t="shared" si="30"/>
        <v>43738</v>
      </c>
      <c r="E73" s="72">
        <f t="shared" si="27"/>
        <v>92</v>
      </c>
      <c r="F73" s="74">
        <f>VLOOKUP(D73,'FERC Interest Rate'!$A:$B,2,TRUE)</f>
        <v>5.5E-2</v>
      </c>
      <c r="G73" s="75">
        <f t="shared" si="28"/>
        <v>314.57547160555475</v>
      </c>
      <c r="H73" s="75">
        <v>0</v>
      </c>
      <c r="I73" s="99">
        <f t="shared" si="33"/>
        <v>3.8895477833370378</v>
      </c>
      <c r="J73" s="76">
        <f t="shared" si="32"/>
        <v>4.3609640721208409</v>
      </c>
      <c r="K73" s="116">
        <f t="shared" si="23"/>
        <v>8.2505118554578782</v>
      </c>
      <c r="L73" s="76">
        <f t="shared" si="34"/>
        <v>41.049805303170771</v>
      </c>
      <c r="M73" s="117">
        <f t="shared" si="24"/>
        <v>49.300317158628651</v>
      </c>
      <c r="N73" s="8">
        <f t="shared" si="25"/>
        <v>318.9364356776756</v>
      </c>
      <c r="O73" s="75">
        <f t="shared" si="26"/>
        <v>269.63611851904693</v>
      </c>
    </row>
    <row r="74" spans="1:15" x14ac:dyDescent="0.25">
      <c r="A74" s="78" t="s">
        <v>66</v>
      </c>
      <c r="B74" s="72" t="str">
        <f t="shared" si="31"/>
        <v>Q4/2019</v>
      </c>
      <c r="C74" s="73">
        <f t="shared" si="29"/>
        <v>43739</v>
      </c>
      <c r="D74" s="73">
        <f t="shared" si="30"/>
        <v>43830</v>
      </c>
      <c r="E74" s="72">
        <f t="shared" si="27"/>
        <v>92</v>
      </c>
      <c r="F74" s="74">
        <f>VLOOKUP(D74,'FERC Interest Rate'!$A:$B,2,TRUE)</f>
        <v>5.4199999999999998E-2</v>
      </c>
      <c r="G74" s="75">
        <f t="shared" si="28"/>
        <v>269.63611851904693</v>
      </c>
      <c r="H74" s="75">
        <v>0</v>
      </c>
      <c r="I74" s="99">
        <f t="shared" si="33"/>
        <v>3.8895477833370378</v>
      </c>
      <c r="J74" s="76">
        <f t="shared" si="32"/>
        <v>3.683598743516098</v>
      </c>
      <c r="K74" s="116">
        <f t="shared" si="23"/>
        <v>7.5731465268531357</v>
      </c>
      <c r="L74" s="76">
        <f t="shared" si="34"/>
        <v>41.049805303170771</v>
      </c>
      <c r="M74" s="117">
        <f t="shared" si="24"/>
        <v>48.622951830023908</v>
      </c>
      <c r="N74" s="8">
        <f t="shared" si="25"/>
        <v>273.31971726256302</v>
      </c>
      <c r="O74" s="75">
        <f t="shared" si="26"/>
        <v>224.69676543253911</v>
      </c>
    </row>
    <row r="75" spans="1:15" x14ac:dyDescent="0.25">
      <c r="A75" s="78" t="s">
        <v>67</v>
      </c>
      <c r="B75" s="72" t="str">
        <f t="shared" si="31"/>
        <v>Q1/2020</v>
      </c>
      <c r="C75" s="73">
        <f t="shared" si="29"/>
        <v>43831</v>
      </c>
      <c r="D75" s="73">
        <f t="shared" si="30"/>
        <v>43921</v>
      </c>
      <c r="E75" s="72">
        <f t="shared" si="27"/>
        <v>91</v>
      </c>
      <c r="F75" s="74">
        <f>VLOOKUP(D75,'FERC Interest Rate'!$A:$B,2,TRUE)</f>
        <v>4.9599999999999998E-2</v>
      </c>
      <c r="G75" s="75">
        <f t="shared" si="28"/>
        <v>224.69676543253911</v>
      </c>
      <c r="H75" s="75">
        <v>0</v>
      </c>
      <c r="I75" s="99">
        <f t="shared" si="33"/>
        <v>3.8895477833370378</v>
      </c>
      <c r="J75" s="76">
        <f t="shared" si="32"/>
        <v>2.7710145367658701</v>
      </c>
      <c r="K75" s="116">
        <f t="shared" si="23"/>
        <v>6.6605623201029083</v>
      </c>
      <c r="L75" s="76">
        <f t="shared" si="34"/>
        <v>41.049805303170771</v>
      </c>
      <c r="M75" s="117">
        <f t="shared" si="24"/>
        <v>47.710367623273683</v>
      </c>
      <c r="N75" s="8">
        <f t="shared" si="25"/>
        <v>227.46777996930498</v>
      </c>
      <c r="O75" s="75">
        <f t="shared" si="26"/>
        <v>179.75741234603129</v>
      </c>
    </row>
    <row r="76" spans="1:15" x14ac:dyDescent="0.25">
      <c r="A76" s="78" t="s">
        <v>68</v>
      </c>
      <c r="B76" s="72" t="str">
        <f t="shared" si="31"/>
        <v>Q2/2020</v>
      </c>
      <c r="C76" s="73">
        <f t="shared" si="29"/>
        <v>43922</v>
      </c>
      <c r="D76" s="73">
        <f t="shared" si="30"/>
        <v>44012</v>
      </c>
      <c r="E76" s="72">
        <f t="shared" si="27"/>
        <v>91</v>
      </c>
      <c r="F76" s="74">
        <f>VLOOKUP(D76,'FERC Interest Rate'!$A:$B,2,TRUE)</f>
        <v>4.7503500000000004E-2</v>
      </c>
      <c r="G76" s="75">
        <f t="shared" si="28"/>
        <v>179.75741234603129</v>
      </c>
      <c r="H76" s="75">
        <v>0</v>
      </c>
      <c r="I76" s="99">
        <f t="shared" si="33"/>
        <v>3.8895477833370378</v>
      </c>
      <c r="J76" s="76">
        <f t="shared" si="32"/>
        <v>2.1231111136654439</v>
      </c>
      <c r="K76" s="116">
        <f t="shared" si="23"/>
        <v>6.0126588970024812</v>
      </c>
      <c r="L76" s="76">
        <f t="shared" si="34"/>
        <v>41.049805303170771</v>
      </c>
      <c r="M76" s="117">
        <f t="shared" si="24"/>
        <v>47.062464200173252</v>
      </c>
      <c r="N76" s="8">
        <f t="shared" si="25"/>
        <v>181.88052345969672</v>
      </c>
      <c r="O76" s="75">
        <f t="shared" si="26"/>
        <v>134.81805925952347</v>
      </c>
    </row>
    <row r="77" spans="1:15" x14ac:dyDescent="0.25">
      <c r="A77" s="78" t="s">
        <v>69</v>
      </c>
      <c r="B77" s="72" t="str">
        <f t="shared" si="31"/>
        <v>Q3/2020</v>
      </c>
      <c r="C77" s="73">
        <f t="shared" si="29"/>
        <v>44013</v>
      </c>
      <c r="D77" s="73">
        <f t="shared" si="30"/>
        <v>44104</v>
      </c>
      <c r="E77" s="72">
        <f t="shared" si="27"/>
        <v>92</v>
      </c>
      <c r="F77" s="74">
        <f>VLOOKUP(D77,'FERC Interest Rate'!$A:$B,2,TRUE)</f>
        <v>4.7507929999999997E-2</v>
      </c>
      <c r="G77" s="75">
        <f t="shared" si="28"/>
        <v>134.81805925952347</v>
      </c>
      <c r="H77" s="75">
        <v>0</v>
      </c>
      <c r="I77" s="99">
        <f t="shared" si="33"/>
        <v>3.8895477833370378</v>
      </c>
      <c r="J77" s="76">
        <f t="shared" si="32"/>
        <v>1.6099816306760408</v>
      </c>
      <c r="K77" s="116">
        <f t="shared" si="23"/>
        <v>5.4995294140130788</v>
      </c>
      <c r="L77" s="76">
        <f t="shared" si="34"/>
        <v>41.049805303170771</v>
      </c>
      <c r="M77" s="117">
        <f t="shared" si="24"/>
        <v>46.549334717183854</v>
      </c>
      <c r="N77" s="8">
        <f t="shared" si="25"/>
        <v>136.4280408901995</v>
      </c>
      <c r="O77" s="75">
        <f t="shared" si="26"/>
        <v>89.878706173015658</v>
      </c>
    </row>
    <row r="78" spans="1:15" x14ac:dyDescent="0.25">
      <c r="A78" s="78" t="s">
        <v>70</v>
      </c>
      <c r="B78" s="72" t="str">
        <f t="shared" si="31"/>
        <v>Q4/2020</v>
      </c>
      <c r="C78" s="73">
        <f t="shared" si="29"/>
        <v>44105</v>
      </c>
      <c r="D78" s="73">
        <f t="shared" si="30"/>
        <v>44196</v>
      </c>
      <c r="E78" s="72">
        <f t="shared" si="27"/>
        <v>92</v>
      </c>
      <c r="F78" s="74">
        <f>VLOOKUP(D78,'FERC Interest Rate'!$A:$B,2,TRUE)</f>
        <v>4.7922320000000004E-2</v>
      </c>
      <c r="G78" s="75">
        <f t="shared" si="28"/>
        <v>89.878706173015658</v>
      </c>
      <c r="H78" s="75">
        <v>0</v>
      </c>
      <c r="I78" s="99">
        <f t="shared" si="33"/>
        <v>3.8895477833370378</v>
      </c>
      <c r="J78" s="76">
        <f t="shared" si="32"/>
        <v>1.0826831773050529</v>
      </c>
      <c r="K78" s="116">
        <f t="shared" si="23"/>
        <v>4.9722309606420909</v>
      </c>
      <c r="L78" s="76">
        <f t="shared" si="34"/>
        <v>41.049805303170771</v>
      </c>
      <c r="M78" s="117">
        <f t="shared" si="24"/>
        <v>46.022036263812865</v>
      </c>
      <c r="N78" s="8">
        <f t="shared" si="25"/>
        <v>90.961389350320715</v>
      </c>
      <c r="O78" s="75">
        <f t="shared" si="26"/>
        <v>44.93935308650785</v>
      </c>
    </row>
    <row r="79" spans="1:15" x14ac:dyDescent="0.25">
      <c r="A79" s="78" t="s">
        <v>71</v>
      </c>
      <c r="B79" s="72" t="str">
        <f t="shared" si="31"/>
        <v>Q1/2021</v>
      </c>
      <c r="C79" s="73">
        <f t="shared" si="29"/>
        <v>44197</v>
      </c>
      <c r="D79" s="73">
        <f t="shared" si="30"/>
        <v>44286</v>
      </c>
      <c r="E79" s="72">
        <f t="shared" si="27"/>
        <v>90</v>
      </c>
      <c r="F79" s="74">
        <f>VLOOKUP(D79,'FERC Interest Rate'!$A:$B,2,TRUE)</f>
        <v>5.0023470000000007E-2</v>
      </c>
      <c r="G79" s="75">
        <f t="shared" si="28"/>
        <v>44.93935308650785</v>
      </c>
      <c r="H79" s="75">
        <v>0</v>
      </c>
      <c r="I79" s="99">
        <f t="shared" si="33"/>
        <v>3.8895477833370378</v>
      </c>
      <c r="J79" s="76">
        <f t="shared" si="32"/>
        <v>0.55430688845153409</v>
      </c>
      <c r="K79" s="116">
        <f t="shared" si="23"/>
        <v>4.4438546717885714</v>
      </c>
      <c r="L79" s="76">
        <f t="shared" si="34"/>
        <v>41.049805303170771</v>
      </c>
      <c r="M79" s="117">
        <f t="shared" si="24"/>
        <v>45.493659974959343</v>
      </c>
      <c r="N79" s="8">
        <f t="shared" si="25"/>
        <v>45.493659974959385</v>
      </c>
      <c r="O79" s="75">
        <f t="shared" si="26"/>
        <v>4.1300296516055823E-14</v>
      </c>
    </row>
    <row r="80" spans="1:15" x14ac:dyDescent="0.25">
      <c r="B80" s="72"/>
      <c r="C80" s="73"/>
      <c r="D80" s="73"/>
      <c r="E80" s="72"/>
      <c r="F80" s="74"/>
      <c r="G80" s="75"/>
      <c r="H80" s="75"/>
      <c r="I80" s="99"/>
      <c r="J80" s="76"/>
      <c r="K80" s="116"/>
      <c r="L80" s="76"/>
      <c r="M80" s="117"/>
      <c r="N80" s="8"/>
      <c r="O80" s="75"/>
    </row>
    <row r="81" spans="1:15" ht="13.5" thickBot="1" x14ac:dyDescent="0.35">
      <c r="A81" s="142"/>
      <c r="B81" s="143"/>
      <c r="C81" s="144"/>
      <c r="D81" s="144"/>
      <c r="E81" s="145"/>
      <c r="F81" s="143"/>
      <c r="G81" s="131">
        <f>+SUM(G53:G80)</f>
        <v>15514.795654210377</v>
      </c>
      <c r="H81" s="131">
        <f t="shared" ref="H81:O81" si="35">+SUM(H53:H80)</f>
        <v>77.790955666740757</v>
      </c>
      <c r="I81" s="125">
        <f t="shared" si="35"/>
        <v>77.790955666740743</v>
      </c>
      <c r="J81" s="124">
        <f t="shared" si="35"/>
        <v>77.576208896966762</v>
      </c>
      <c r="K81" s="124">
        <f t="shared" si="35"/>
        <v>155.36716456370749</v>
      </c>
      <c r="L81" s="124">
        <f t="shared" si="35"/>
        <v>820.99610606341525</v>
      </c>
      <c r="M81" s="126">
        <f t="shared" si="35"/>
        <v>976.36327062712314</v>
      </c>
      <c r="N81" s="124">
        <f t="shared" si="35"/>
        <v>15670.162818774084</v>
      </c>
      <c r="O81" s="124">
        <f t="shared" si="35"/>
        <v>14693.799548146961</v>
      </c>
    </row>
    <row r="82" spans="1:15" ht="13" thickTop="1" x14ac:dyDescent="0.25">
      <c r="B82" s="11"/>
      <c r="C82" s="79"/>
      <c r="D82" s="79"/>
      <c r="E82" s="10"/>
      <c r="F82" s="11"/>
      <c r="G82" s="76"/>
      <c r="H82" s="76"/>
      <c r="I82" s="119"/>
      <c r="J82" s="58"/>
      <c r="K82" s="116"/>
      <c r="L82" s="58"/>
      <c r="M82" s="117"/>
      <c r="N82" s="8"/>
    </row>
    <row r="83" spans="1:15" x14ac:dyDescent="0.25">
      <c r="B83" s="11"/>
      <c r="C83" s="79"/>
      <c r="D83" s="79"/>
      <c r="E83" s="10"/>
      <c r="F83" s="11"/>
      <c r="G83" s="76"/>
      <c r="H83" s="76"/>
      <c r="I83" s="119"/>
      <c r="J83" s="58"/>
      <c r="K83" s="116"/>
      <c r="L83" s="58"/>
      <c r="M83" s="117"/>
      <c r="N83" s="8"/>
    </row>
    <row r="84" spans="1:15" ht="39" x14ac:dyDescent="0.3">
      <c r="A84" s="77" t="s">
        <v>51</v>
      </c>
      <c r="B84" s="77" t="s">
        <v>3</v>
      </c>
      <c r="C84" s="77" t="s">
        <v>4</v>
      </c>
      <c r="D84" s="77" t="s">
        <v>5</v>
      </c>
      <c r="E84" s="77" t="s">
        <v>6</v>
      </c>
      <c r="F84" s="77" t="s">
        <v>7</v>
      </c>
      <c r="G84" s="77" t="s">
        <v>92</v>
      </c>
      <c r="H84" s="77" t="s">
        <v>93</v>
      </c>
      <c r="I84" s="94" t="s">
        <v>94</v>
      </c>
      <c r="J84" s="95" t="s">
        <v>95</v>
      </c>
      <c r="K84" s="95" t="s">
        <v>96</v>
      </c>
      <c r="L84" s="95" t="s">
        <v>97</v>
      </c>
      <c r="M84" s="96" t="s">
        <v>98</v>
      </c>
      <c r="N84" s="77" t="s">
        <v>99</v>
      </c>
      <c r="O84" s="77" t="s">
        <v>100</v>
      </c>
    </row>
    <row r="85" spans="1:15" ht="13" x14ac:dyDescent="0.3">
      <c r="A85" s="347" t="s">
        <v>14</v>
      </c>
      <c r="B85" s="347"/>
      <c r="C85" s="73">
        <f>VLOOKUP(B86,A$1:F$25,2,FALSE)</f>
        <v>41831</v>
      </c>
      <c r="D85" s="73">
        <f>DATE(YEAR(C85),IF(MONTH(C85)&lt;=3,3,IF(MONTH(C85)&lt;=6,6,IF(MONTH(C85)&lt;=9,9,12))),IF(OR(MONTH(C85)&lt;=3,MONTH(C85)&gt;=10),31,30))</f>
        <v>41912</v>
      </c>
      <c r="E85" s="72">
        <f>D85-C85+1</f>
        <v>82</v>
      </c>
      <c r="F85" s="74">
        <f>VLOOKUP(D85,'FERC Interest Rate'!$A:$B,2,TRUE)</f>
        <v>3.2500000000000001E-2</v>
      </c>
      <c r="G85" s="75">
        <f>VLOOKUP(B86,$A$1:$F$29,5,FALSE)</f>
        <v>1709.5604178255765</v>
      </c>
      <c r="H85" s="75">
        <f t="shared" ref="H85:H95" si="36">G85*F85*(E85/(DATE(YEAR(D85),12,31)-DATE(YEAR(D85),1,1)+1))</f>
        <v>12.482132913712769</v>
      </c>
      <c r="I85" s="180">
        <v>0</v>
      </c>
      <c r="J85" s="76">
        <v>0</v>
      </c>
      <c r="K85" s="116">
        <f>+SUM(I85:J85)</f>
        <v>0</v>
      </c>
      <c r="L85" s="76">
        <v>0</v>
      </c>
      <c r="M85" s="117">
        <f>+SUM(K85:L85)</f>
        <v>0</v>
      </c>
      <c r="N85" s="8">
        <f>+G85+H85+J85</f>
        <v>1722.0425507392893</v>
      </c>
      <c r="O85" s="75">
        <f t="shared" ref="O85:O111" si="37">G85+H85-L85-I85</f>
        <v>1722.0425507392893</v>
      </c>
    </row>
    <row r="86" spans="1:15" ht="13" x14ac:dyDescent="0.3">
      <c r="A86" s="110" t="s">
        <v>40</v>
      </c>
      <c r="B86" s="141" t="s">
        <v>53</v>
      </c>
      <c r="C86" s="73">
        <f>D85+1</f>
        <v>41913</v>
      </c>
      <c r="D86" s="73">
        <f>EOMONTH(D85,3)</f>
        <v>42004</v>
      </c>
      <c r="E86" s="72">
        <f t="shared" ref="E86:E111" si="38">D86-C86+1</f>
        <v>92</v>
      </c>
      <c r="F86" s="74">
        <f>VLOOKUP(D86,'FERC Interest Rate'!$A:$B,2,TRUE)</f>
        <v>3.2500000000000001E-2</v>
      </c>
      <c r="G86" s="75">
        <f t="shared" ref="G86:G111" si="39">O85</f>
        <v>1722.0425507392893</v>
      </c>
      <c r="H86" s="75">
        <f t="shared" si="36"/>
        <v>14.106595141672535</v>
      </c>
      <c r="I86" s="180">
        <v>0</v>
      </c>
      <c r="J86" s="76">
        <v>0</v>
      </c>
      <c r="K86" s="116">
        <f t="shared" ref="K86:K111" si="40">+SUM(I86:J86)</f>
        <v>0</v>
      </c>
      <c r="L86" s="76">
        <v>0</v>
      </c>
      <c r="M86" s="117">
        <f t="shared" ref="M86:M111" si="41">+SUM(K86:L86)</f>
        <v>0</v>
      </c>
      <c r="N86" s="8">
        <f t="shared" ref="N86:N111" si="42">+G86+H86+J86</f>
        <v>1736.1491458809619</v>
      </c>
      <c r="O86" s="75">
        <f t="shared" si="37"/>
        <v>1736.1491458809619</v>
      </c>
    </row>
    <row r="87" spans="1:15" ht="13" x14ac:dyDescent="0.3">
      <c r="B87" s="301"/>
      <c r="C87" s="73">
        <f t="shared" ref="C87:C111" si="43">D86+1</f>
        <v>42005</v>
      </c>
      <c r="D87" s="73">
        <f t="shared" ref="D87:D111" si="44">EOMONTH(D86,3)</f>
        <v>42094</v>
      </c>
      <c r="E87" s="72">
        <f t="shared" si="38"/>
        <v>90</v>
      </c>
      <c r="F87" s="74">
        <f>VLOOKUP(D87,'FERC Interest Rate'!$A:$B,2,TRUE)</f>
        <v>3.2500000000000001E-2</v>
      </c>
      <c r="G87" s="75">
        <f t="shared" si="39"/>
        <v>1736.1491458809619</v>
      </c>
      <c r="H87" s="75">
        <f t="shared" si="36"/>
        <v>13.912976032059762</v>
      </c>
      <c r="I87" s="180">
        <v>0</v>
      </c>
      <c r="J87" s="76">
        <v>0</v>
      </c>
      <c r="K87" s="116">
        <f t="shared" si="40"/>
        <v>0</v>
      </c>
      <c r="L87" s="76">
        <v>0</v>
      </c>
      <c r="M87" s="117">
        <f t="shared" si="41"/>
        <v>0</v>
      </c>
      <c r="N87" s="8">
        <f t="shared" si="42"/>
        <v>1750.0621219130217</v>
      </c>
      <c r="O87" s="75">
        <f t="shared" si="37"/>
        <v>1750.0621219130217</v>
      </c>
    </row>
    <row r="88" spans="1:15" ht="13" x14ac:dyDescent="0.3">
      <c r="B88" s="301"/>
      <c r="C88" s="73">
        <f t="shared" si="43"/>
        <v>42095</v>
      </c>
      <c r="D88" s="73">
        <f t="shared" si="44"/>
        <v>42185</v>
      </c>
      <c r="E88" s="72">
        <f t="shared" si="38"/>
        <v>91</v>
      </c>
      <c r="F88" s="74">
        <f>VLOOKUP(D88,'FERC Interest Rate'!$A:$B,2,TRUE)</f>
        <v>3.2500000000000001E-2</v>
      </c>
      <c r="G88" s="75">
        <f t="shared" si="39"/>
        <v>1750.0621219130217</v>
      </c>
      <c r="H88" s="75">
        <f t="shared" si="36"/>
        <v>14.180297878240443</v>
      </c>
      <c r="I88" s="180">
        <v>0</v>
      </c>
      <c r="J88" s="76">
        <v>0</v>
      </c>
      <c r="K88" s="116">
        <f t="shared" si="40"/>
        <v>0</v>
      </c>
      <c r="L88" s="76">
        <v>0</v>
      </c>
      <c r="M88" s="117">
        <f t="shared" si="41"/>
        <v>0</v>
      </c>
      <c r="N88" s="8">
        <f t="shared" si="42"/>
        <v>1764.2424197912621</v>
      </c>
      <c r="O88" s="75">
        <f t="shared" si="37"/>
        <v>1764.2424197912621</v>
      </c>
    </row>
    <row r="89" spans="1:15" ht="13" x14ac:dyDescent="0.3">
      <c r="B89" s="301"/>
      <c r="C89" s="73">
        <f t="shared" si="43"/>
        <v>42186</v>
      </c>
      <c r="D89" s="73">
        <f t="shared" si="44"/>
        <v>42277</v>
      </c>
      <c r="E89" s="72">
        <f t="shared" si="38"/>
        <v>92</v>
      </c>
      <c r="F89" s="74">
        <f>VLOOKUP(D89,'FERC Interest Rate'!$A:$B,2,TRUE)</f>
        <v>3.2500000000000001E-2</v>
      </c>
      <c r="G89" s="75">
        <f t="shared" si="39"/>
        <v>1764.2424197912621</v>
      </c>
      <c r="H89" s="75">
        <f t="shared" si="36"/>
        <v>14.452287219659929</v>
      </c>
      <c r="I89" s="180">
        <v>0</v>
      </c>
      <c r="J89" s="76">
        <v>0</v>
      </c>
      <c r="K89" s="116">
        <f t="shared" si="40"/>
        <v>0</v>
      </c>
      <c r="L89" s="76">
        <v>0</v>
      </c>
      <c r="M89" s="117">
        <f t="shared" si="41"/>
        <v>0</v>
      </c>
      <c r="N89" s="8">
        <f t="shared" si="42"/>
        <v>1778.694707010922</v>
      </c>
      <c r="O89" s="75">
        <f t="shared" si="37"/>
        <v>1778.694707010922</v>
      </c>
    </row>
    <row r="90" spans="1:15" ht="13" x14ac:dyDescent="0.3">
      <c r="B90" s="301"/>
      <c r="C90" s="73">
        <f t="shared" si="43"/>
        <v>42278</v>
      </c>
      <c r="D90" s="73">
        <f t="shared" si="44"/>
        <v>42369</v>
      </c>
      <c r="E90" s="72">
        <f t="shared" si="38"/>
        <v>92</v>
      </c>
      <c r="F90" s="74">
        <f>VLOOKUP(D90,'FERC Interest Rate'!$A:$B,2,TRUE)</f>
        <v>3.2500000000000001E-2</v>
      </c>
      <c r="G90" s="75">
        <f t="shared" si="39"/>
        <v>1778.694707010922</v>
      </c>
      <c r="H90" s="75">
        <f t="shared" si="36"/>
        <v>14.570677188938788</v>
      </c>
      <c r="I90" s="180">
        <v>0</v>
      </c>
      <c r="J90" s="76">
        <v>0</v>
      </c>
      <c r="K90" s="116">
        <f t="shared" si="40"/>
        <v>0</v>
      </c>
      <c r="L90" s="76">
        <v>0</v>
      </c>
      <c r="M90" s="117">
        <f t="shared" si="41"/>
        <v>0</v>
      </c>
      <c r="N90" s="8">
        <f t="shared" si="42"/>
        <v>1793.2653841998608</v>
      </c>
      <c r="O90" s="75">
        <f t="shared" si="37"/>
        <v>1793.2653841998608</v>
      </c>
    </row>
    <row r="91" spans="1:15" ht="13" x14ac:dyDescent="0.3">
      <c r="B91" s="301"/>
      <c r="C91" s="73">
        <f t="shared" si="43"/>
        <v>42370</v>
      </c>
      <c r="D91" s="73">
        <f t="shared" si="44"/>
        <v>42460</v>
      </c>
      <c r="E91" s="72">
        <f t="shared" si="38"/>
        <v>91</v>
      </c>
      <c r="F91" s="74">
        <f>VLOOKUP(D91,'FERC Interest Rate'!$A:$B,2,TRUE)</f>
        <v>3.2500000000000001E-2</v>
      </c>
      <c r="G91" s="75">
        <f t="shared" si="39"/>
        <v>1793.2653841998608</v>
      </c>
      <c r="H91" s="75">
        <f t="shared" si="36"/>
        <v>14.490662223418274</v>
      </c>
      <c r="I91" s="180">
        <v>0</v>
      </c>
      <c r="J91" s="76">
        <v>0</v>
      </c>
      <c r="K91" s="116">
        <f t="shared" si="40"/>
        <v>0</v>
      </c>
      <c r="L91" s="76">
        <v>0</v>
      </c>
      <c r="M91" s="117">
        <f t="shared" si="41"/>
        <v>0</v>
      </c>
      <c r="N91" s="8">
        <f t="shared" si="42"/>
        <v>1807.756046423279</v>
      </c>
      <c r="O91" s="75">
        <f t="shared" si="37"/>
        <v>1807.756046423279</v>
      </c>
    </row>
    <row r="92" spans="1:15" x14ac:dyDescent="0.25">
      <c r="A92" s="78"/>
      <c r="B92" s="72"/>
      <c r="C92" s="73">
        <f t="shared" si="43"/>
        <v>42461</v>
      </c>
      <c r="D92" s="73">
        <f t="shared" si="44"/>
        <v>42551</v>
      </c>
      <c r="E92" s="72">
        <f t="shared" si="38"/>
        <v>91</v>
      </c>
      <c r="F92" s="74">
        <f>VLOOKUP(D92,'FERC Interest Rate'!$A:$B,2,TRUE)</f>
        <v>3.4599999999999999E-2</v>
      </c>
      <c r="G92" s="75">
        <f t="shared" si="39"/>
        <v>1807.756046423279</v>
      </c>
      <c r="H92" s="75">
        <f t="shared" si="36"/>
        <v>15.551641223410755</v>
      </c>
      <c r="I92" s="180">
        <v>0</v>
      </c>
      <c r="J92" s="76">
        <v>0</v>
      </c>
      <c r="K92" s="116">
        <f t="shared" si="40"/>
        <v>0</v>
      </c>
      <c r="L92" s="76">
        <v>0</v>
      </c>
      <c r="M92" s="117">
        <f t="shared" si="41"/>
        <v>0</v>
      </c>
      <c r="N92" s="8">
        <f t="shared" si="42"/>
        <v>1823.3076876466898</v>
      </c>
      <c r="O92" s="75">
        <f t="shared" si="37"/>
        <v>1823.3076876466898</v>
      </c>
    </row>
    <row r="93" spans="1:15" x14ac:dyDescent="0.25">
      <c r="A93" s="309"/>
      <c r="B93" s="72"/>
      <c r="C93" s="73">
        <f t="shared" si="43"/>
        <v>42552</v>
      </c>
      <c r="D93" s="73">
        <f t="shared" si="44"/>
        <v>42643</v>
      </c>
      <c r="E93" s="72">
        <f t="shared" si="38"/>
        <v>92</v>
      </c>
      <c r="F93" s="74">
        <f>VLOOKUP(D93,'FERC Interest Rate'!$A:$B,2,TRUE)</f>
        <v>3.5000000000000003E-2</v>
      </c>
      <c r="G93" s="75">
        <f t="shared" si="39"/>
        <v>1823.3076876466898</v>
      </c>
      <c r="H93" s="75">
        <f t="shared" si="36"/>
        <v>16.041122279296015</v>
      </c>
      <c r="I93" s="180">
        <v>0</v>
      </c>
      <c r="J93" s="76">
        <v>0</v>
      </c>
      <c r="K93" s="116">
        <f t="shared" si="40"/>
        <v>0</v>
      </c>
      <c r="L93" s="76">
        <v>0</v>
      </c>
      <c r="M93" s="117">
        <f t="shared" si="41"/>
        <v>0</v>
      </c>
      <c r="N93" s="8">
        <f t="shared" si="42"/>
        <v>1839.3488099259857</v>
      </c>
      <c r="O93" s="75">
        <f t="shared" si="37"/>
        <v>1839.3488099259857</v>
      </c>
    </row>
    <row r="94" spans="1:15" x14ac:dyDescent="0.25">
      <c r="A94" s="78"/>
      <c r="B94" s="72"/>
      <c r="C94" s="73">
        <f t="shared" si="43"/>
        <v>42644</v>
      </c>
      <c r="D94" s="73">
        <f t="shared" si="44"/>
        <v>42735</v>
      </c>
      <c r="E94" s="72">
        <f t="shared" si="38"/>
        <v>92</v>
      </c>
      <c r="F94" s="74">
        <f>VLOOKUP(D94,'FERC Interest Rate'!$A:$B,2,TRUE)</f>
        <v>3.5000000000000003E-2</v>
      </c>
      <c r="G94" s="75">
        <f t="shared" si="39"/>
        <v>1839.3488099259857</v>
      </c>
      <c r="H94" s="75">
        <f t="shared" si="36"/>
        <v>16.182249092791462</v>
      </c>
      <c r="I94" s="180">
        <v>0</v>
      </c>
      <c r="J94" s="76">
        <v>0</v>
      </c>
      <c r="K94" s="116">
        <f t="shared" si="40"/>
        <v>0</v>
      </c>
      <c r="L94" s="76">
        <v>0</v>
      </c>
      <c r="M94" s="117">
        <f t="shared" si="41"/>
        <v>0</v>
      </c>
      <c r="N94" s="8">
        <f t="shared" si="42"/>
        <v>1855.5310590187771</v>
      </c>
      <c r="O94" s="75">
        <f t="shared" si="37"/>
        <v>1855.5310590187771</v>
      </c>
    </row>
    <row r="95" spans="1:15" x14ac:dyDescent="0.25">
      <c r="A95" s="78" t="s">
        <v>101</v>
      </c>
      <c r="B95" s="72" t="str">
        <f t="shared" ref="B95:B111" si="45">+IF(MONTH(C95)&lt;4,"Q1",IF(MONTH(C95)&lt;7,"Q2",IF(MONTH(C95)&lt;10,"Q3","Q4")))&amp;"/"&amp;YEAR(C95)</f>
        <v>Q1/2017</v>
      </c>
      <c r="C95" s="73">
        <f t="shared" si="43"/>
        <v>42736</v>
      </c>
      <c r="D95" s="73">
        <f t="shared" si="44"/>
        <v>42825</v>
      </c>
      <c r="E95" s="72">
        <f t="shared" si="38"/>
        <v>90</v>
      </c>
      <c r="F95" s="74">
        <f>VLOOKUP(D95,'FERC Interest Rate'!$A:$B,2,TRUE)</f>
        <v>3.5000000000000003E-2</v>
      </c>
      <c r="G95" s="75">
        <f t="shared" si="39"/>
        <v>1855.5310590187771</v>
      </c>
      <c r="H95" s="75">
        <f t="shared" si="36"/>
        <v>16.0134872216689</v>
      </c>
      <c r="I95" s="99">
        <f>(SUM($H$85:$H$112)/20)*4</f>
        <v>32.396825682973926</v>
      </c>
      <c r="J95" s="76">
        <f t="shared" ref="J95:J111" si="46">G95*F95*(E95/(DATE(YEAR(D95),12,31)-DATE(YEAR(D95),1,1)+1))</f>
        <v>16.0134872216689</v>
      </c>
      <c r="K95" s="116">
        <f t="shared" si="40"/>
        <v>48.410312904642822</v>
      </c>
      <c r="L95" s="76">
        <f>VLOOKUP($B$86,A$1:F$25,5,FALSE)/20*4</f>
        <v>341.91208356511527</v>
      </c>
      <c r="M95" s="117">
        <f t="shared" si="41"/>
        <v>390.32239646975808</v>
      </c>
      <c r="N95" s="8">
        <f t="shared" si="42"/>
        <v>1887.5580334621147</v>
      </c>
      <c r="O95" s="75">
        <f t="shared" si="37"/>
        <v>1497.2356369923568</v>
      </c>
    </row>
    <row r="96" spans="1:15" x14ac:dyDescent="0.25">
      <c r="A96" s="78" t="s">
        <v>56</v>
      </c>
      <c r="B96" s="72" t="str">
        <f t="shared" si="45"/>
        <v>Q2/2017</v>
      </c>
      <c r="C96" s="73">
        <f t="shared" si="43"/>
        <v>42826</v>
      </c>
      <c r="D96" s="73">
        <f t="shared" si="44"/>
        <v>42916</v>
      </c>
      <c r="E96" s="72">
        <f t="shared" si="38"/>
        <v>91</v>
      </c>
      <c r="F96" s="74">
        <f>VLOOKUP(D96,'FERC Interest Rate'!$A:$B,2,TRUE)</f>
        <v>3.7100000000000001E-2</v>
      </c>
      <c r="G96" s="75">
        <f t="shared" si="39"/>
        <v>1497.2356369923568</v>
      </c>
      <c r="H96" s="75">
        <v>0</v>
      </c>
      <c r="I96" s="99">
        <f t="shared" ref="I96:I111" si="47">(SUM($H$85:$H$112)/20)</f>
        <v>8.0992064207434815</v>
      </c>
      <c r="J96" s="76">
        <f t="shared" si="46"/>
        <v>13.848814339862729</v>
      </c>
      <c r="K96" s="116">
        <f t="shared" si="40"/>
        <v>21.948020760606212</v>
      </c>
      <c r="L96" s="76">
        <f t="shared" ref="L96:L111" si="48">VLOOKUP($B$86,A$1:F$25,5,FALSE)/20</f>
        <v>85.478020891278817</v>
      </c>
      <c r="M96" s="117">
        <f t="shared" si="41"/>
        <v>107.42604165188503</v>
      </c>
      <c r="N96" s="8">
        <f t="shared" si="42"/>
        <v>1511.0844513322195</v>
      </c>
      <c r="O96" s="75">
        <f t="shared" si="37"/>
        <v>1403.6584096803344</v>
      </c>
    </row>
    <row r="97" spans="1:15" x14ac:dyDescent="0.25">
      <c r="A97" s="78" t="s">
        <v>57</v>
      </c>
      <c r="B97" s="72" t="str">
        <f t="shared" si="45"/>
        <v>Q3/2017</v>
      </c>
      <c r="C97" s="73">
        <f t="shared" si="43"/>
        <v>42917</v>
      </c>
      <c r="D97" s="73">
        <f t="shared" si="44"/>
        <v>43008</v>
      </c>
      <c r="E97" s="72">
        <f t="shared" si="38"/>
        <v>92</v>
      </c>
      <c r="F97" s="74">
        <f>VLOOKUP(D97,'FERC Interest Rate'!$A:$B,2,TRUE)</f>
        <v>3.9600000000000003E-2</v>
      </c>
      <c r="G97" s="75">
        <f t="shared" si="39"/>
        <v>1403.6584096803344</v>
      </c>
      <c r="H97" s="75">
        <v>0</v>
      </c>
      <c r="I97" s="99">
        <f t="shared" si="47"/>
        <v>8.0992064207434815</v>
      </c>
      <c r="J97" s="76">
        <f t="shared" si="46"/>
        <v>14.010433748349028</v>
      </c>
      <c r="K97" s="116">
        <f t="shared" si="40"/>
        <v>22.109640169092508</v>
      </c>
      <c r="L97" s="76">
        <f t="shared" si="48"/>
        <v>85.478020891278817</v>
      </c>
      <c r="M97" s="117">
        <f t="shared" si="41"/>
        <v>107.58766106037132</v>
      </c>
      <c r="N97" s="8">
        <f t="shared" si="42"/>
        <v>1417.6688434286834</v>
      </c>
      <c r="O97" s="75">
        <f t="shared" si="37"/>
        <v>1310.0811823683121</v>
      </c>
    </row>
    <row r="98" spans="1:15" x14ac:dyDescent="0.25">
      <c r="A98" s="78" t="s">
        <v>58</v>
      </c>
      <c r="B98" s="72" t="str">
        <f t="shared" si="45"/>
        <v>Q4/2017</v>
      </c>
      <c r="C98" s="73">
        <f t="shared" si="43"/>
        <v>43009</v>
      </c>
      <c r="D98" s="73">
        <f t="shared" si="44"/>
        <v>43100</v>
      </c>
      <c r="E98" s="72">
        <f t="shared" si="38"/>
        <v>92</v>
      </c>
      <c r="F98" s="74">
        <f>VLOOKUP(D98,'FERC Interest Rate'!$A:$B,2,TRUE)</f>
        <v>4.2099999999999999E-2</v>
      </c>
      <c r="G98" s="75">
        <f t="shared" si="39"/>
        <v>1310.0811823683121</v>
      </c>
      <c r="H98" s="75">
        <v>0</v>
      </c>
      <c r="I98" s="99">
        <f t="shared" si="47"/>
        <v>8.0992064207434815</v>
      </c>
      <c r="J98" s="76">
        <f t="shared" si="46"/>
        <v>13.901935439860127</v>
      </c>
      <c r="K98" s="116">
        <f t="shared" si="40"/>
        <v>22.00114186060361</v>
      </c>
      <c r="L98" s="76">
        <f t="shared" si="48"/>
        <v>85.478020891278817</v>
      </c>
      <c r="M98" s="117">
        <f t="shared" si="41"/>
        <v>107.47916275188243</v>
      </c>
      <c r="N98" s="8">
        <f t="shared" si="42"/>
        <v>1323.9831178081722</v>
      </c>
      <c r="O98" s="75">
        <f t="shared" si="37"/>
        <v>1216.5039550562897</v>
      </c>
    </row>
    <row r="99" spans="1:15" x14ac:dyDescent="0.25">
      <c r="A99" s="78" t="s">
        <v>59</v>
      </c>
      <c r="B99" s="72" t="str">
        <f t="shared" si="45"/>
        <v>Q1/2018</v>
      </c>
      <c r="C99" s="73">
        <f t="shared" si="43"/>
        <v>43101</v>
      </c>
      <c r="D99" s="73">
        <f t="shared" si="44"/>
        <v>43190</v>
      </c>
      <c r="E99" s="72">
        <f t="shared" si="38"/>
        <v>90</v>
      </c>
      <c r="F99" s="74">
        <f>VLOOKUP(D99,'FERC Interest Rate'!$A:$B,2,TRUE)</f>
        <v>4.2500000000000003E-2</v>
      </c>
      <c r="G99" s="75">
        <f t="shared" si="39"/>
        <v>1216.5039550562897</v>
      </c>
      <c r="H99" s="75">
        <v>0</v>
      </c>
      <c r="I99" s="99">
        <f t="shared" si="47"/>
        <v>8.0992064207434815</v>
      </c>
      <c r="J99" s="76">
        <f t="shared" si="46"/>
        <v>12.748294871480295</v>
      </c>
      <c r="K99" s="116">
        <f t="shared" si="40"/>
        <v>20.847501292223775</v>
      </c>
      <c r="L99" s="76">
        <f t="shared" si="48"/>
        <v>85.478020891278817</v>
      </c>
      <c r="M99" s="117">
        <f t="shared" si="41"/>
        <v>106.32552218350258</v>
      </c>
      <c r="N99" s="8">
        <f t="shared" si="42"/>
        <v>1229.25224992777</v>
      </c>
      <c r="O99" s="75">
        <f t="shared" si="37"/>
        <v>1122.9267277442673</v>
      </c>
    </row>
    <row r="100" spans="1:15" x14ac:dyDescent="0.25">
      <c r="A100" s="78" t="s">
        <v>60</v>
      </c>
      <c r="B100" s="72" t="str">
        <f t="shared" si="45"/>
        <v>Q2/2018</v>
      </c>
      <c r="C100" s="73">
        <f t="shared" si="43"/>
        <v>43191</v>
      </c>
      <c r="D100" s="73">
        <f t="shared" si="44"/>
        <v>43281</v>
      </c>
      <c r="E100" s="72">
        <f t="shared" si="38"/>
        <v>91</v>
      </c>
      <c r="F100" s="74">
        <f>VLOOKUP(D100,'FERC Interest Rate'!$A:$B,2,TRUE)</f>
        <v>4.4699999999999997E-2</v>
      </c>
      <c r="G100" s="75">
        <f t="shared" si="39"/>
        <v>1122.9267277442673</v>
      </c>
      <c r="H100" s="75">
        <v>0</v>
      </c>
      <c r="I100" s="99">
        <f t="shared" si="47"/>
        <v>8.0992064207434815</v>
      </c>
      <c r="J100" s="76">
        <f t="shared" si="46"/>
        <v>12.514326165603713</v>
      </c>
      <c r="K100" s="116">
        <f t="shared" si="40"/>
        <v>20.613532586347194</v>
      </c>
      <c r="L100" s="76">
        <f t="shared" si="48"/>
        <v>85.478020891278817</v>
      </c>
      <c r="M100" s="117">
        <f t="shared" si="41"/>
        <v>106.09155347762601</v>
      </c>
      <c r="N100" s="8">
        <f t="shared" si="42"/>
        <v>1135.441053909871</v>
      </c>
      <c r="O100" s="75">
        <f t="shared" si="37"/>
        <v>1029.3495004322449</v>
      </c>
    </row>
    <row r="101" spans="1:15" x14ac:dyDescent="0.25">
      <c r="A101" s="78" t="s">
        <v>61</v>
      </c>
      <c r="B101" s="72" t="str">
        <f t="shared" si="45"/>
        <v>Q3/2018</v>
      </c>
      <c r="C101" s="73">
        <f t="shared" si="43"/>
        <v>43282</v>
      </c>
      <c r="D101" s="73">
        <f t="shared" si="44"/>
        <v>43373</v>
      </c>
      <c r="E101" s="72">
        <f t="shared" si="38"/>
        <v>92</v>
      </c>
      <c r="F101" s="74">
        <f>VLOOKUP(D101,'FERC Interest Rate'!$A:$B,2,TRUE)</f>
        <v>4.6899999999999997E-2</v>
      </c>
      <c r="G101" s="75">
        <f t="shared" si="39"/>
        <v>1029.3495004322449</v>
      </c>
      <c r="H101" s="75">
        <v>0</v>
      </c>
      <c r="I101" s="99">
        <f t="shared" si="47"/>
        <v>8.0992064207434815</v>
      </c>
      <c r="J101" s="76">
        <f t="shared" si="46"/>
        <v>12.168321162917946</v>
      </c>
      <c r="K101" s="116">
        <f t="shared" si="40"/>
        <v>20.267527583661426</v>
      </c>
      <c r="L101" s="76">
        <f t="shared" si="48"/>
        <v>85.478020891278817</v>
      </c>
      <c r="M101" s="117">
        <f t="shared" si="41"/>
        <v>105.74554847494025</v>
      </c>
      <c r="N101" s="8">
        <f t="shared" si="42"/>
        <v>1041.5178215951628</v>
      </c>
      <c r="O101" s="75">
        <f t="shared" si="37"/>
        <v>935.77227312022262</v>
      </c>
    </row>
    <row r="102" spans="1:15" x14ac:dyDescent="0.25">
      <c r="A102" s="78" t="s">
        <v>62</v>
      </c>
      <c r="B102" s="72" t="str">
        <f t="shared" si="45"/>
        <v>Q4/2018</v>
      </c>
      <c r="C102" s="73">
        <f t="shared" si="43"/>
        <v>43374</v>
      </c>
      <c r="D102" s="73">
        <f t="shared" si="44"/>
        <v>43465</v>
      </c>
      <c r="E102" s="72">
        <f t="shared" si="38"/>
        <v>92</v>
      </c>
      <c r="F102" s="74">
        <f>VLOOKUP(D102,'FERC Interest Rate'!$A:$B,2,TRUE)</f>
        <v>4.9599999999999998E-2</v>
      </c>
      <c r="G102" s="75">
        <f t="shared" si="39"/>
        <v>935.77227312022262</v>
      </c>
      <c r="H102" s="75">
        <v>0</v>
      </c>
      <c r="I102" s="99">
        <f t="shared" si="47"/>
        <v>8.0992064207434815</v>
      </c>
      <c r="J102" s="76">
        <f t="shared" si="46"/>
        <v>11.698948045759453</v>
      </c>
      <c r="K102" s="116">
        <f t="shared" si="40"/>
        <v>19.798154466502936</v>
      </c>
      <c r="L102" s="76">
        <f t="shared" si="48"/>
        <v>85.478020891278817</v>
      </c>
      <c r="M102" s="117">
        <f t="shared" si="41"/>
        <v>105.27617535778175</v>
      </c>
      <c r="N102" s="8">
        <f t="shared" si="42"/>
        <v>947.47122116598212</v>
      </c>
      <c r="O102" s="75">
        <f t="shared" si="37"/>
        <v>842.19504580820035</v>
      </c>
    </row>
    <row r="103" spans="1:15" x14ac:dyDescent="0.25">
      <c r="A103" s="78" t="s">
        <v>63</v>
      </c>
      <c r="B103" s="72" t="str">
        <f t="shared" si="45"/>
        <v>Q1/2019</v>
      </c>
      <c r="C103" s="73">
        <f t="shared" si="43"/>
        <v>43466</v>
      </c>
      <c r="D103" s="73">
        <f t="shared" si="44"/>
        <v>43555</v>
      </c>
      <c r="E103" s="72">
        <f t="shared" si="38"/>
        <v>90</v>
      </c>
      <c r="F103" s="74">
        <f>VLOOKUP(D103,'FERC Interest Rate'!$A:$B,2,TRUE)</f>
        <v>5.1799999999999999E-2</v>
      </c>
      <c r="G103" s="75">
        <f t="shared" si="39"/>
        <v>842.19504580820035</v>
      </c>
      <c r="H103" s="75">
        <v>0</v>
      </c>
      <c r="I103" s="99">
        <f t="shared" si="47"/>
        <v>8.0992064207434815</v>
      </c>
      <c r="J103" s="76">
        <f t="shared" si="46"/>
        <v>10.757022749473506</v>
      </c>
      <c r="K103" s="116">
        <f t="shared" si="40"/>
        <v>18.856229170216988</v>
      </c>
      <c r="L103" s="76">
        <f t="shared" si="48"/>
        <v>85.478020891278817</v>
      </c>
      <c r="M103" s="117">
        <f t="shared" si="41"/>
        <v>104.33425006149581</v>
      </c>
      <c r="N103" s="8">
        <f t="shared" si="42"/>
        <v>852.9520685576739</v>
      </c>
      <c r="O103" s="75">
        <f t="shared" si="37"/>
        <v>748.61781849617807</v>
      </c>
    </row>
    <row r="104" spans="1:15" x14ac:dyDescent="0.25">
      <c r="A104" s="78" t="s">
        <v>64</v>
      </c>
      <c r="B104" s="72" t="str">
        <f t="shared" si="45"/>
        <v>Q2/2019</v>
      </c>
      <c r="C104" s="73">
        <f t="shared" si="43"/>
        <v>43556</v>
      </c>
      <c r="D104" s="73">
        <f t="shared" si="44"/>
        <v>43646</v>
      </c>
      <c r="E104" s="72">
        <f t="shared" si="38"/>
        <v>91</v>
      </c>
      <c r="F104" s="74">
        <f>VLOOKUP(D104,'FERC Interest Rate'!$A:$B,2,TRUE)</f>
        <v>5.45E-2</v>
      </c>
      <c r="G104" s="75">
        <f t="shared" si="39"/>
        <v>748.61781849617807</v>
      </c>
      <c r="H104" s="75">
        <v>0</v>
      </c>
      <c r="I104" s="99">
        <f t="shared" si="47"/>
        <v>8.0992064207434815</v>
      </c>
      <c r="J104" s="76">
        <f t="shared" si="46"/>
        <v>10.171972796799439</v>
      </c>
      <c r="K104" s="116">
        <f t="shared" si="40"/>
        <v>18.271179217542922</v>
      </c>
      <c r="L104" s="76">
        <f t="shared" si="48"/>
        <v>85.478020891278817</v>
      </c>
      <c r="M104" s="117">
        <f t="shared" si="41"/>
        <v>103.74920010882174</v>
      </c>
      <c r="N104" s="8">
        <f t="shared" si="42"/>
        <v>758.7897912929775</v>
      </c>
      <c r="O104" s="75">
        <f t="shared" si="37"/>
        <v>655.0405911841558</v>
      </c>
    </row>
    <row r="105" spans="1:15" x14ac:dyDescent="0.25">
      <c r="A105" s="78" t="s">
        <v>65</v>
      </c>
      <c r="B105" s="72" t="str">
        <f t="shared" si="45"/>
        <v>Q3/2019</v>
      </c>
      <c r="C105" s="73">
        <f t="shared" si="43"/>
        <v>43647</v>
      </c>
      <c r="D105" s="73">
        <f t="shared" si="44"/>
        <v>43738</v>
      </c>
      <c r="E105" s="72">
        <f t="shared" si="38"/>
        <v>92</v>
      </c>
      <c r="F105" s="74">
        <f>VLOOKUP(D105,'FERC Interest Rate'!$A:$B,2,TRUE)</f>
        <v>5.5E-2</v>
      </c>
      <c r="G105" s="75">
        <f t="shared" si="39"/>
        <v>655.0405911841558</v>
      </c>
      <c r="H105" s="75">
        <v>0</v>
      </c>
      <c r="I105" s="99">
        <f t="shared" si="47"/>
        <v>8.0992064207434815</v>
      </c>
      <c r="J105" s="76">
        <f t="shared" si="46"/>
        <v>9.0808366887447356</v>
      </c>
      <c r="K105" s="116">
        <f t="shared" si="40"/>
        <v>17.180043109488217</v>
      </c>
      <c r="L105" s="76">
        <f t="shared" si="48"/>
        <v>85.478020891278817</v>
      </c>
      <c r="M105" s="117">
        <f t="shared" si="41"/>
        <v>102.65806400076704</v>
      </c>
      <c r="N105" s="8">
        <f t="shared" si="42"/>
        <v>664.12142787290054</v>
      </c>
      <c r="O105" s="75">
        <f t="shared" si="37"/>
        <v>561.46336387213353</v>
      </c>
    </row>
    <row r="106" spans="1:15" x14ac:dyDescent="0.25">
      <c r="A106" s="78" t="s">
        <v>66</v>
      </c>
      <c r="B106" s="72" t="str">
        <f t="shared" si="45"/>
        <v>Q4/2019</v>
      </c>
      <c r="C106" s="73">
        <f t="shared" si="43"/>
        <v>43739</v>
      </c>
      <c r="D106" s="73">
        <f t="shared" si="44"/>
        <v>43830</v>
      </c>
      <c r="E106" s="72">
        <f t="shared" si="38"/>
        <v>92</v>
      </c>
      <c r="F106" s="74">
        <f>VLOOKUP(D106,'FERC Interest Rate'!$A:$B,2,TRUE)</f>
        <v>5.4199999999999998E-2</v>
      </c>
      <c r="G106" s="75">
        <f t="shared" si="39"/>
        <v>561.46336387213353</v>
      </c>
      <c r="H106" s="75">
        <v>0</v>
      </c>
      <c r="I106" s="99">
        <f t="shared" si="47"/>
        <v>8.0992064207434815</v>
      </c>
      <c r="J106" s="76">
        <f t="shared" si="46"/>
        <v>7.6703586783890589</v>
      </c>
      <c r="K106" s="116">
        <f t="shared" si="40"/>
        <v>15.76956509913254</v>
      </c>
      <c r="L106" s="76">
        <f t="shared" si="48"/>
        <v>85.478020891278817</v>
      </c>
      <c r="M106" s="117">
        <f t="shared" si="41"/>
        <v>101.24758599041135</v>
      </c>
      <c r="N106" s="8">
        <f t="shared" si="42"/>
        <v>569.13372255052263</v>
      </c>
      <c r="O106" s="75">
        <f t="shared" si="37"/>
        <v>467.88613656011125</v>
      </c>
    </row>
    <row r="107" spans="1:15" x14ac:dyDescent="0.25">
      <c r="A107" s="78" t="s">
        <v>67</v>
      </c>
      <c r="B107" s="72" t="str">
        <f t="shared" si="45"/>
        <v>Q1/2020</v>
      </c>
      <c r="C107" s="73">
        <f t="shared" si="43"/>
        <v>43831</v>
      </c>
      <c r="D107" s="73">
        <f t="shared" si="44"/>
        <v>43921</v>
      </c>
      <c r="E107" s="72">
        <f t="shared" si="38"/>
        <v>91</v>
      </c>
      <c r="F107" s="74">
        <f>VLOOKUP(D107,'FERC Interest Rate'!$A:$B,2,TRUE)</f>
        <v>4.9599999999999998E-2</v>
      </c>
      <c r="G107" s="75">
        <f t="shared" si="39"/>
        <v>467.88613656011125</v>
      </c>
      <c r="H107" s="75">
        <v>0</v>
      </c>
      <c r="I107" s="99">
        <f t="shared" si="47"/>
        <v>8.0992064207434815</v>
      </c>
      <c r="J107" s="76">
        <f t="shared" si="46"/>
        <v>5.7700843332724538</v>
      </c>
      <c r="K107" s="116">
        <f t="shared" si="40"/>
        <v>13.869290754015935</v>
      </c>
      <c r="L107" s="76">
        <f t="shared" si="48"/>
        <v>85.478020891278817</v>
      </c>
      <c r="M107" s="117">
        <f t="shared" si="41"/>
        <v>99.347311645294752</v>
      </c>
      <c r="N107" s="8">
        <f t="shared" si="42"/>
        <v>473.6562208933837</v>
      </c>
      <c r="O107" s="75">
        <f t="shared" si="37"/>
        <v>374.30890924808898</v>
      </c>
    </row>
    <row r="108" spans="1:15" x14ac:dyDescent="0.25">
      <c r="A108" s="78" t="s">
        <v>68</v>
      </c>
      <c r="B108" s="72" t="str">
        <f t="shared" si="45"/>
        <v>Q2/2020</v>
      </c>
      <c r="C108" s="73">
        <f t="shared" si="43"/>
        <v>43922</v>
      </c>
      <c r="D108" s="73">
        <f t="shared" si="44"/>
        <v>44012</v>
      </c>
      <c r="E108" s="72">
        <f t="shared" si="38"/>
        <v>91</v>
      </c>
      <c r="F108" s="74">
        <f>VLOOKUP(D108,'FERC Interest Rate'!$A:$B,2,TRUE)</f>
        <v>4.7503500000000004E-2</v>
      </c>
      <c r="G108" s="75">
        <f t="shared" si="39"/>
        <v>374.30890924808898</v>
      </c>
      <c r="H108" s="75">
        <v>0</v>
      </c>
      <c r="I108" s="99">
        <f t="shared" si="47"/>
        <v>8.0992064207434815</v>
      </c>
      <c r="J108" s="76">
        <f t="shared" si="46"/>
        <v>4.4209548568646451</v>
      </c>
      <c r="K108" s="116">
        <f t="shared" si="40"/>
        <v>12.520161277608127</v>
      </c>
      <c r="L108" s="76">
        <f t="shared" si="48"/>
        <v>85.478020891278817</v>
      </c>
      <c r="M108" s="117">
        <f t="shared" si="41"/>
        <v>97.998182168886942</v>
      </c>
      <c r="N108" s="8">
        <f t="shared" si="42"/>
        <v>378.72986410495361</v>
      </c>
      <c r="O108" s="75">
        <f t="shared" si="37"/>
        <v>280.73168193606671</v>
      </c>
    </row>
    <row r="109" spans="1:15" x14ac:dyDescent="0.25">
      <c r="A109" s="78" t="s">
        <v>69</v>
      </c>
      <c r="B109" s="72" t="str">
        <f t="shared" si="45"/>
        <v>Q3/2020</v>
      </c>
      <c r="C109" s="73">
        <f t="shared" si="43"/>
        <v>44013</v>
      </c>
      <c r="D109" s="73">
        <f t="shared" si="44"/>
        <v>44104</v>
      </c>
      <c r="E109" s="72">
        <f t="shared" si="38"/>
        <v>92</v>
      </c>
      <c r="F109" s="74">
        <f>VLOOKUP(D109,'FERC Interest Rate'!$A:$B,2,TRUE)</f>
        <v>4.7507929999999997E-2</v>
      </c>
      <c r="G109" s="75">
        <f t="shared" si="39"/>
        <v>280.73168193606671</v>
      </c>
      <c r="H109" s="75">
        <v>0</v>
      </c>
      <c r="I109" s="99">
        <f t="shared" si="47"/>
        <v>8.0992064207434815</v>
      </c>
      <c r="J109" s="76">
        <f t="shared" si="46"/>
        <v>3.3524651930778271</v>
      </c>
      <c r="K109" s="116">
        <f t="shared" si="40"/>
        <v>11.451671613821308</v>
      </c>
      <c r="L109" s="76">
        <f t="shared" si="48"/>
        <v>85.478020891278817</v>
      </c>
      <c r="M109" s="117">
        <f t="shared" si="41"/>
        <v>96.929692505100121</v>
      </c>
      <c r="N109" s="8">
        <f t="shared" si="42"/>
        <v>284.08414712914453</v>
      </c>
      <c r="O109" s="75">
        <f t="shared" si="37"/>
        <v>187.1544546240444</v>
      </c>
    </row>
    <row r="110" spans="1:15" x14ac:dyDescent="0.25">
      <c r="A110" s="78" t="s">
        <v>70</v>
      </c>
      <c r="B110" s="72" t="str">
        <f t="shared" si="45"/>
        <v>Q4/2020</v>
      </c>
      <c r="C110" s="73">
        <f t="shared" si="43"/>
        <v>44105</v>
      </c>
      <c r="D110" s="73">
        <f t="shared" si="44"/>
        <v>44196</v>
      </c>
      <c r="E110" s="72">
        <f t="shared" si="38"/>
        <v>92</v>
      </c>
      <c r="F110" s="74">
        <f>VLOOKUP(D110,'FERC Interest Rate'!$A:$B,2,TRUE)</f>
        <v>4.7922320000000004E-2</v>
      </c>
      <c r="G110" s="75">
        <f t="shared" si="39"/>
        <v>187.1544546240444</v>
      </c>
      <c r="H110" s="75">
        <v>0</v>
      </c>
      <c r="I110" s="99">
        <f t="shared" si="47"/>
        <v>8.0992064207434815</v>
      </c>
      <c r="J110" s="76">
        <f t="shared" si="46"/>
        <v>2.2544714783621371</v>
      </c>
      <c r="K110" s="116">
        <f t="shared" si="40"/>
        <v>10.35367789910562</v>
      </c>
      <c r="L110" s="76">
        <f t="shared" si="48"/>
        <v>85.478020891278817</v>
      </c>
      <c r="M110" s="117">
        <f t="shared" si="41"/>
        <v>95.831698790384436</v>
      </c>
      <c r="N110" s="8">
        <f t="shared" si="42"/>
        <v>189.40892610240655</v>
      </c>
      <c r="O110" s="75">
        <f t="shared" si="37"/>
        <v>93.577227312022103</v>
      </c>
    </row>
    <row r="111" spans="1:15" x14ac:dyDescent="0.25">
      <c r="A111" s="78" t="s">
        <v>71</v>
      </c>
      <c r="B111" s="72" t="str">
        <f t="shared" si="45"/>
        <v>Q1/2021</v>
      </c>
      <c r="C111" s="73">
        <f t="shared" si="43"/>
        <v>44197</v>
      </c>
      <c r="D111" s="73">
        <f t="shared" si="44"/>
        <v>44286</v>
      </c>
      <c r="E111" s="72">
        <f t="shared" si="38"/>
        <v>90</v>
      </c>
      <c r="F111" s="74">
        <f>VLOOKUP(D111,'FERC Interest Rate'!$A:$B,2,TRUE)</f>
        <v>5.0023470000000007E-2</v>
      </c>
      <c r="G111" s="75">
        <f t="shared" si="39"/>
        <v>93.577227312022103</v>
      </c>
      <c r="H111" s="75">
        <v>0</v>
      </c>
      <c r="I111" s="99">
        <f t="shared" si="47"/>
        <v>8.0992064207434815</v>
      </c>
      <c r="J111" s="76">
        <f t="shared" si="46"/>
        <v>1.1542333865242485</v>
      </c>
      <c r="K111" s="116">
        <f t="shared" si="40"/>
        <v>9.2534398072677302</v>
      </c>
      <c r="L111" s="76">
        <f t="shared" si="48"/>
        <v>85.478020891278817</v>
      </c>
      <c r="M111" s="117">
        <f t="shared" si="41"/>
        <v>94.731460698546542</v>
      </c>
      <c r="N111" s="8">
        <f t="shared" si="42"/>
        <v>94.731460698546357</v>
      </c>
      <c r="O111" s="75">
        <f t="shared" si="37"/>
        <v>-1.9539925233402755E-13</v>
      </c>
    </row>
    <row r="112" spans="1:15" x14ac:dyDescent="0.25">
      <c r="A112" s="78"/>
      <c r="B112" s="72"/>
      <c r="C112" s="73"/>
      <c r="D112" s="73"/>
      <c r="E112" s="72"/>
      <c r="F112" s="74"/>
      <c r="G112" s="75"/>
      <c r="H112" s="75"/>
      <c r="I112" s="99"/>
      <c r="J112" s="76"/>
      <c r="K112" s="116"/>
      <c r="L112" s="76"/>
      <c r="M112" s="117"/>
      <c r="N112" s="8"/>
      <c r="O112" s="75"/>
    </row>
    <row r="113" spans="1:15" ht="13.5" thickBot="1" x14ac:dyDescent="0.35">
      <c r="A113" s="142"/>
      <c r="B113" s="143"/>
      <c r="C113" s="144"/>
      <c r="D113" s="144"/>
      <c r="E113" s="145"/>
      <c r="F113" s="143"/>
      <c r="G113" s="124">
        <f>SUM(G85:G112)</f>
        <v>32306.463264810656</v>
      </c>
      <c r="H113" s="124">
        <f>SUM(H85:H112)</f>
        <v>161.98412841486962</v>
      </c>
      <c r="I113" s="125">
        <f t="shared" ref="I113:O113" si="49">SUM(I85:I112)</f>
        <v>161.98412841486967</v>
      </c>
      <c r="J113" s="124">
        <f t="shared" si="49"/>
        <v>161.53696115701024</v>
      </c>
      <c r="K113" s="124">
        <f t="shared" si="49"/>
        <v>323.52108957187983</v>
      </c>
      <c r="L113" s="124">
        <f t="shared" si="49"/>
        <v>1709.5604178255769</v>
      </c>
      <c r="M113" s="126">
        <f t="shared" si="49"/>
        <v>2033.0815073974561</v>
      </c>
      <c r="N113" s="124">
        <f t="shared" si="49"/>
        <v>32629.984354382537</v>
      </c>
      <c r="O113" s="124">
        <f t="shared" si="49"/>
        <v>30596.902846985082</v>
      </c>
    </row>
    <row r="114" spans="1:15" ht="13" thickTop="1" x14ac:dyDescent="0.25">
      <c r="B114" s="103"/>
      <c r="C114" s="103"/>
      <c r="D114" s="103"/>
      <c r="E114" s="103"/>
      <c r="F114" s="103"/>
      <c r="G114" s="103"/>
      <c r="H114" s="103"/>
      <c r="I114" s="102"/>
      <c r="J114" s="103"/>
      <c r="K114" s="103"/>
      <c r="L114" s="103"/>
      <c r="M114" s="118"/>
      <c r="O114" s="103"/>
    </row>
    <row r="115" spans="1:15" ht="39" x14ac:dyDescent="0.3">
      <c r="A115" s="77" t="s">
        <v>51</v>
      </c>
      <c r="B115" s="77" t="s">
        <v>3</v>
      </c>
      <c r="C115" s="77" t="s">
        <v>4</v>
      </c>
      <c r="D115" s="77" t="s">
        <v>5</v>
      </c>
      <c r="E115" s="77" t="s">
        <v>6</v>
      </c>
      <c r="F115" s="77" t="s">
        <v>7</v>
      </c>
      <c r="G115" s="77" t="s">
        <v>92</v>
      </c>
      <c r="H115" s="77" t="s">
        <v>93</v>
      </c>
      <c r="I115" s="94" t="s">
        <v>94</v>
      </c>
      <c r="J115" s="95" t="s">
        <v>95</v>
      </c>
      <c r="K115" s="95" t="s">
        <v>96</v>
      </c>
      <c r="L115" s="95" t="s">
        <v>97</v>
      </c>
      <c r="M115" s="96" t="s">
        <v>98</v>
      </c>
      <c r="N115" s="77" t="s">
        <v>99</v>
      </c>
      <c r="O115" s="77" t="s">
        <v>100</v>
      </c>
    </row>
    <row r="116" spans="1:15" ht="13" x14ac:dyDescent="0.3">
      <c r="A116" s="347" t="s">
        <v>14</v>
      </c>
      <c r="B116" s="347"/>
      <c r="C116" s="73">
        <f>VLOOKUP(B117,A$1:F$25,2,FALSE)</f>
        <v>41873</v>
      </c>
      <c r="D116" s="73">
        <f>DATE(YEAR(C116),IF(MONTH(C116)&lt;=3,3,IF(MONTH(C116)&lt;=6,6,IF(MONTH(C116)&lt;=9,9,12))),IF(OR(MONTH(C116)&lt;=3,MONTH(C116)&gt;=10),31,30))</f>
        <v>41912</v>
      </c>
      <c r="E116" s="72">
        <f>D116-C116+1</f>
        <v>40</v>
      </c>
      <c r="F116" s="74">
        <f>VLOOKUP(D116,'FERC Interest Rate'!$A:$B,2,TRUE)</f>
        <v>3.2500000000000001E-2</v>
      </c>
      <c r="G116" s="75">
        <f>VLOOKUP(B117,$A$1:$F$25,5,FALSE)</f>
        <v>3018.2349959824464</v>
      </c>
      <c r="H116" s="75">
        <f t="shared" ref="H116:H126" si="50">G116*F116*(E116/(DATE(YEAR(D116),12,31)-DATE(YEAR(D116),1,1)+1))</f>
        <v>10.749878067882685</v>
      </c>
      <c r="I116" s="180">
        <v>0</v>
      </c>
      <c r="J116" s="76">
        <v>0</v>
      </c>
      <c r="K116" s="116">
        <f t="shared" ref="K116:K141" si="51">+SUM(I116:J116)</f>
        <v>0</v>
      </c>
      <c r="L116" s="76">
        <v>0</v>
      </c>
      <c r="M116" s="117">
        <f t="shared" ref="M116:M142" si="52">+SUM(K116:L116)</f>
        <v>0</v>
      </c>
      <c r="N116" s="8">
        <f t="shared" ref="N116:N142" si="53">+G116+H116+J116</f>
        <v>3028.9848740503289</v>
      </c>
      <c r="O116" s="75">
        <f t="shared" ref="O116:O142" si="54">G116+H116-L116-I116</f>
        <v>3028.9848740503289</v>
      </c>
    </row>
    <row r="117" spans="1:15" ht="13" x14ac:dyDescent="0.3">
      <c r="A117" s="110" t="s">
        <v>40</v>
      </c>
      <c r="B117" s="141" t="s">
        <v>54</v>
      </c>
      <c r="C117" s="73">
        <f>D116+1</f>
        <v>41913</v>
      </c>
      <c r="D117" s="73">
        <f>EOMONTH(D116,3)</f>
        <v>42004</v>
      </c>
      <c r="E117" s="72">
        <f t="shared" ref="E117:E142" si="55">D117-C117+1</f>
        <v>92</v>
      </c>
      <c r="F117" s="74">
        <f>VLOOKUP(D117,'FERC Interest Rate'!$A:$B,2,TRUE)</f>
        <v>3.2500000000000001E-2</v>
      </c>
      <c r="G117" s="75">
        <f t="shared" ref="G117:G142" si="56">O116</f>
        <v>3028.9848740503289</v>
      </c>
      <c r="H117" s="75">
        <f t="shared" si="50"/>
        <v>24.812780201124614</v>
      </c>
      <c r="I117" s="180">
        <v>0</v>
      </c>
      <c r="J117" s="76">
        <v>0</v>
      </c>
      <c r="K117" s="116">
        <f t="shared" si="51"/>
        <v>0</v>
      </c>
      <c r="L117" s="76">
        <v>0</v>
      </c>
      <c r="M117" s="117">
        <f t="shared" si="52"/>
        <v>0</v>
      </c>
      <c r="N117" s="8">
        <f t="shared" si="53"/>
        <v>3053.7976542514534</v>
      </c>
      <c r="O117" s="75">
        <f t="shared" si="54"/>
        <v>3053.7976542514534</v>
      </c>
    </row>
    <row r="118" spans="1:15" ht="13" x14ac:dyDescent="0.3">
      <c r="B118" s="301"/>
      <c r="C118" s="73">
        <f t="shared" ref="C118:C142" si="57">D117+1</f>
        <v>42005</v>
      </c>
      <c r="D118" s="73">
        <f t="shared" ref="D118:D142" si="58">EOMONTH(D117,3)</f>
        <v>42094</v>
      </c>
      <c r="E118" s="72">
        <f t="shared" si="55"/>
        <v>90</v>
      </c>
      <c r="F118" s="74">
        <f>VLOOKUP(D118,'FERC Interest Rate'!$A:$B,2,TRUE)</f>
        <v>3.2500000000000001E-2</v>
      </c>
      <c r="G118" s="75">
        <f t="shared" si="56"/>
        <v>3053.7976542514534</v>
      </c>
      <c r="H118" s="75">
        <f t="shared" si="50"/>
        <v>24.472214078590415</v>
      </c>
      <c r="I118" s="180">
        <v>0</v>
      </c>
      <c r="J118" s="76">
        <v>0</v>
      </c>
      <c r="K118" s="116">
        <f t="shared" si="51"/>
        <v>0</v>
      </c>
      <c r="L118" s="76">
        <v>0</v>
      </c>
      <c r="M118" s="117">
        <f t="shared" si="52"/>
        <v>0</v>
      </c>
      <c r="N118" s="8">
        <f t="shared" si="53"/>
        <v>3078.2698683300437</v>
      </c>
      <c r="O118" s="75">
        <f t="shared" si="54"/>
        <v>3078.2698683300437</v>
      </c>
    </row>
    <row r="119" spans="1:15" ht="13" x14ac:dyDescent="0.3">
      <c r="B119" s="301"/>
      <c r="C119" s="73">
        <f t="shared" si="57"/>
        <v>42095</v>
      </c>
      <c r="D119" s="73">
        <f t="shared" si="58"/>
        <v>42185</v>
      </c>
      <c r="E119" s="72">
        <f t="shared" si="55"/>
        <v>91</v>
      </c>
      <c r="F119" s="74">
        <f>VLOOKUP(D119,'FERC Interest Rate'!$A:$B,2,TRUE)</f>
        <v>3.2500000000000001E-2</v>
      </c>
      <c r="G119" s="75">
        <f t="shared" si="56"/>
        <v>3078.2698683300437</v>
      </c>
      <c r="H119" s="75">
        <f t="shared" si="50"/>
        <v>24.942419549550973</v>
      </c>
      <c r="I119" s="180">
        <v>0</v>
      </c>
      <c r="J119" s="76">
        <v>0</v>
      </c>
      <c r="K119" s="116">
        <f t="shared" si="51"/>
        <v>0</v>
      </c>
      <c r="L119" s="76">
        <v>0</v>
      </c>
      <c r="M119" s="117">
        <f t="shared" si="52"/>
        <v>0</v>
      </c>
      <c r="N119" s="8">
        <f t="shared" si="53"/>
        <v>3103.2122878795944</v>
      </c>
      <c r="O119" s="75">
        <f t="shared" si="54"/>
        <v>3103.2122878795944</v>
      </c>
    </row>
    <row r="120" spans="1:15" ht="13" x14ac:dyDescent="0.3">
      <c r="B120" s="301"/>
      <c r="C120" s="73">
        <f t="shared" si="57"/>
        <v>42186</v>
      </c>
      <c r="D120" s="73">
        <f t="shared" si="58"/>
        <v>42277</v>
      </c>
      <c r="E120" s="72">
        <f t="shared" si="55"/>
        <v>92</v>
      </c>
      <c r="F120" s="74">
        <f>VLOOKUP(D120,'FERC Interest Rate'!$A:$B,2,TRUE)</f>
        <v>3.2500000000000001E-2</v>
      </c>
      <c r="G120" s="75">
        <f t="shared" si="56"/>
        <v>3103.2122878795944</v>
      </c>
      <c r="H120" s="75">
        <f t="shared" si="50"/>
        <v>25.420834906191747</v>
      </c>
      <c r="I120" s="180">
        <v>0</v>
      </c>
      <c r="J120" s="76">
        <v>0</v>
      </c>
      <c r="K120" s="116">
        <f t="shared" si="51"/>
        <v>0</v>
      </c>
      <c r="L120" s="76">
        <v>0</v>
      </c>
      <c r="M120" s="117">
        <f t="shared" si="52"/>
        <v>0</v>
      </c>
      <c r="N120" s="8">
        <f t="shared" si="53"/>
        <v>3128.6331227857863</v>
      </c>
      <c r="O120" s="75">
        <f t="shared" si="54"/>
        <v>3128.6331227857863</v>
      </c>
    </row>
    <row r="121" spans="1:15" ht="13" x14ac:dyDescent="0.3">
      <c r="B121" s="301"/>
      <c r="C121" s="73">
        <f t="shared" si="57"/>
        <v>42278</v>
      </c>
      <c r="D121" s="73">
        <f t="shared" si="58"/>
        <v>42369</v>
      </c>
      <c r="E121" s="72">
        <f t="shared" si="55"/>
        <v>92</v>
      </c>
      <c r="F121" s="74">
        <f>VLOOKUP(D121,'FERC Interest Rate'!$A:$B,2,TRUE)</f>
        <v>3.2500000000000001E-2</v>
      </c>
      <c r="G121" s="75">
        <f t="shared" si="56"/>
        <v>3128.6331227857863</v>
      </c>
      <c r="H121" s="75">
        <f t="shared" si="50"/>
        <v>25.62907681405343</v>
      </c>
      <c r="I121" s="180">
        <v>0</v>
      </c>
      <c r="J121" s="76">
        <v>0</v>
      </c>
      <c r="K121" s="116">
        <f t="shared" si="51"/>
        <v>0</v>
      </c>
      <c r="L121" s="76">
        <v>0</v>
      </c>
      <c r="M121" s="117">
        <f t="shared" si="52"/>
        <v>0</v>
      </c>
      <c r="N121" s="8">
        <f t="shared" si="53"/>
        <v>3154.2621995998397</v>
      </c>
      <c r="O121" s="75">
        <f t="shared" si="54"/>
        <v>3154.2621995998397</v>
      </c>
    </row>
    <row r="122" spans="1:15" x14ac:dyDescent="0.25">
      <c r="B122" s="72"/>
      <c r="C122" s="73">
        <f t="shared" si="57"/>
        <v>42370</v>
      </c>
      <c r="D122" s="73">
        <f t="shared" si="58"/>
        <v>42460</v>
      </c>
      <c r="E122" s="72">
        <f t="shared" si="55"/>
        <v>91</v>
      </c>
      <c r="F122" s="74">
        <f>VLOOKUP(D122,'FERC Interest Rate'!$A:$B,2,TRUE)</f>
        <v>3.2500000000000001E-2</v>
      </c>
      <c r="G122" s="75">
        <f t="shared" si="56"/>
        <v>3154.2621995998397</v>
      </c>
      <c r="H122" s="75">
        <f t="shared" si="50"/>
        <v>25.488334577367556</v>
      </c>
      <c r="I122" s="180">
        <v>0</v>
      </c>
      <c r="J122" s="76">
        <v>0</v>
      </c>
      <c r="K122" s="116">
        <f t="shared" si="51"/>
        <v>0</v>
      </c>
      <c r="L122" s="76">
        <v>0</v>
      </c>
      <c r="M122" s="117">
        <f t="shared" si="52"/>
        <v>0</v>
      </c>
      <c r="N122" s="8">
        <f t="shared" si="53"/>
        <v>3179.7505341772071</v>
      </c>
      <c r="O122" s="75">
        <f t="shared" si="54"/>
        <v>3179.7505341772071</v>
      </c>
    </row>
    <row r="123" spans="1:15" x14ac:dyDescent="0.25">
      <c r="A123" s="78"/>
      <c r="B123" s="72"/>
      <c r="C123" s="73">
        <f t="shared" si="57"/>
        <v>42461</v>
      </c>
      <c r="D123" s="73">
        <f t="shared" si="58"/>
        <v>42551</v>
      </c>
      <c r="E123" s="72">
        <f t="shared" si="55"/>
        <v>91</v>
      </c>
      <c r="F123" s="74">
        <f>VLOOKUP(D123,'FERC Interest Rate'!$A:$B,2,TRUE)</f>
        <v>3.4599999999999999E-2</v>
      </c>
      <c r="G123" s="75">
        <f t="shared" si="56"/>
        <v>3179.7505341772071</v>
      </c>
      <c r="H123" s="75">
        <f t="shared" si="50"/>
        <v>27.354542436913537</v>
      </c>
      <c r="I123" s="99">
        <v>0</v>
      </c>
      <c r="J123" s="76">
        <v>0</v>
      </c>
      <c r="K123" s="116">
        <f t="shared" si="51"/>
        <v>0</v>
      </c>
      <c r="L123" s="76">
        <v>0</v>
      </c>
      <c r="M123" s="117">
        <f t="shared" si="52"/>
        <v>0</v>
      </c>
      <c r="N123" s="8">
        <f t="shared" si="53"/>
        <v>3207.1050766141207</v>
      </c>
      <c r="O123" s="75">
        <f t="shared" si="54"/>
        <v>3207.1050766141207</v>
      </c>
    </row>
    <row r="124" spans="1:15" x14ac:dyDescent="0.25">
      <c r="A124" s="309"/>
      <c r="B124" s="72"/>
      <c r="C124" s="73">
        <f t="shared" si="57"/>
        <v>42552</v>
      </c>
      <c r="D124" s="73">
        <f t="shared" si="58"/>
        <v>42643</v>
      </c>
      <c r="E124" s="72">
        <f t="shared" si="55"/>
        <v>92</v>
      </c>
      <c r="F124" s="74">
        <f>VLOOKUP(D124,'FERC Interest Rate'!$A:$B,2,TRUE)</f>
        <v>3.5000000000000003E-2</v>
      </c>
      <c r="G124" s="75">
        <f t="shared" si="56"/>
        <v>3207.1050766141207</v>
      </c>
      <c r="H124" s="75">
        <f t="shared" si="50"/>
        <v>28.215514608463032</v>
      </c>
      <c r="I124" s="99">
        <v>0</v>
      </c>
      <c r="J124" s="76">
        <v>0</v>
      </c>
      <c r="K124" s="116">
        <f t="shared" si="51"/>
        <v>0</v>
      </c>
      <c r="L124" s="76">
        <v>0</v>
      </c>
      <c r="M124" s="117">
        <f t="shared" si="52"/>
        <v>0</v>
      </c>
      <c r="N124" s="8">
        <f t="shared" si="53"/>
        <v>3235.3205912225835</v>
      </c>
      <c r="O124" s="75">
        <f t="shared" si="54"/>
        <v>3235.3205912225835</v>
      </c>
    </row>
    <row r="125" spans="1:15" x14ac:dyDescent="0.25">
      <c r="A125" s="78"/>
      <c r="B125" s="72"/>
      <c r="C125" s="73">
        <f t="shared" si="57"/>
        <v>42644</v>
      </c>
      <c r="D125" s="73">
        <f t="shared" si="58"/>
        <v>42735</v>
      </c>
      <c r="E125" s="72">
        <f t="shared" si="55"/>
        <v>92</v>
      </c>
      <c r="F125" s="74">
        <f>VLOOKUP(D125,'FERC Interest Rate'!$A:$B,2,TRUE)</f>
        <v>3.5000000000000003E-2</v>
      </c>
      <c r="G125" s="75">
        <f t="shared" si="56"/>
        <v>3235.3205912225835</v>
      </c>
      <c r="H125" s="75">
        <f t="shared" si="50"/>
        <v>28.46374946376153</v>
      </c>
      <c r="I125" s="99">
        <v>0</v>
      </c>
      <c r="J125" s="76">
        <v>0</v>
      </c>
      <c r="K125" s="116">
        <f t="shared" si="51"/>
        <v>0</v>
      </c>
      <c r="L125" s="76">
        <v>0</v>
      </c>
      <c r="M125" s="117">
        <f t="shared" si="52"/>
        <v>0</v>
      </c>
      <c r="N125" s="8">
        <f t="shared" si="53"/>
        <v>3263.7843406863449</v>
      </c>
      <c r="O125" s="75">
        <f t="shared" si="54"/>
        <v>3263.7843406863449</v>
      </c>
    </row>
    <row r="126" spans="1:15" x14ac:dyDescent="0.25">
      <c r="A126" s="78" t="s">
        <v>101</v>
      </c>
      <c r="B126" s="72" t="str">
        <f t="shared" ref="B126:B142" si="59">+IF(MONTH(C126)&lt;4,"Q1",IF(MONTH(C126)&lt;7,"Q2",IF(MONTH(C126)&lt;10,"Q3","Q4")))&amp;"/"&amp;YEAR(C126)</f>
        <v>Q1/2017</v>
      </c>
      <c r="C126" s="73">
        <f t="shared" si="57"/>
        <v>42736</v>
      </c>
      <c r="D126" s="73">
        <f t="shared" si="58"/>
        <v>42825</v>
      </c>
      <c r="E126" s="72">
        <f t="shared" si="55"/>
        <v>90</v>
      </c>
      <c r="F126" s="74">
        <f>VLOOKUP(D126,'FERC Interest Rate'!$A:$B,2,TRUE)</f>
        <v>3.5000000000000003E-2</v>
      </c>
      <c r="G126" s="75">
        <f t="shared" si="56"/>
        <v>3263.7843406863449</v>
      </c>
      <c r="H126" s="75">
        <f t="shared" si="50"/>
        <v>28.166905953868458</v>
      </c>
      <c r="I126" s="99">
        <f>SUM($H$116:$H$143)/20*4</f>
        <v>54.743250131553602</v>
      </c>
      <c r="J126" s="76">
        <f t="shared" ref="J126:J142" si="60">G126*F126*(E126/(DATE(YEAR(D126),12,31)-DATE(YEAR(D126),1,1)+1))</f>
        <v>28.166905953868458</v>
      </c>
      <c r="K126" s="116">
        <f t="shared" si="51"/>
        <v>82.910156085422059</v>
      </c>
      <c r="L126" s="76">
        <f>VLOOKUP($B$117,A$1:F$25,5,FALSE)/20*4</f>
        <v>603.64699919648933</v>
      </c>
      <c r="M126" s="117">
        <f t="shared" si="52"/>
        <v>686.55715528191138</v>
      </c>
      <c r="N126" s="8">
        <f t="shared" si="53"/>
        <v>3320.1181525940819</v>
      </c>
      <c r="O126" s="75">
        <f t="shared" si="54"/>
        <v>2633.5609973121709</v>
      </c>
    </row>
    <row r="127" spans="1:15" x14ac:dyDescent="0.25">
      <c r="A127" s="78" t="s">
        <v>56</v>
      </c>
      <c r="B127" s="72" t="str">
        <f t="shared" si="59"/>
        <v>Q2/2017</v>
      </c>
      <c r="C127" s="73">
        <f t="shared" si="57"/>
        <v>42826</v>
      </c>
      <c r="D127" s="73">
        <f t="shared" si="58"/>
        <v>42916</v>
      </c>
      <c r="E127" s="72">
        <f t="shared" si="55"/>
        <v>91</v>
      </c>
      <c r="F127" s="74">
        <f>VLOOKUP(D127,'FERC Interest Rate'!$A:$B,2,TRUE)</f>
        <v>3.7100000000000001E-2</v>
      </c>
      <c r="G127" s="75">
        <f t="shared" si="56"/>
        <v>2633.5609973121709</v>
      </c>
      <c r="H127" s="75">
        <v>0</v>
      </c>
      <c r="I127" s="99">
        <f t="shared" ref="I127:I142" si="61">SUM($H$116:$H$143)/20</f>
        <v>13.6858125328884</v>
      </c>
      <c r="J127" s="76">
        <f t="shared" si="60"/>
        <v>24.359356939796221</v>
      </c>
      <c r="K127" s="116">
        <f t="shared" si="51"/>
        <v>38.04516947268462</v>
      </c>
      <c r="L127" s="76">
        <f t="shared" ref="L127:L142" si="62">VLOOKUP($B$117,A$1:F$25,5,FALSE)/20</f>
        <v>150.91174979912233</v>
      </c>
      <c r="M127" s="117">
        <f t="shared" si="52"/>
        <v>188.95691927180695</v>
      </c>
      <c r="N127" s="8">
        <f t="shared" si="53"/>
        <v>2657.9203542519672</v>
      </c>
      <c r="O127" s="75">
        <f t="shared" si="54"/>
        <v>2468.9634349801599</v>
      </c>
    </row>
    <row r="128" spans="1:15" x14ac:dyDescent="0.25">
      <c r="A128" s="78" t="s">
        <v>57</v>
      </c>
      <c r="B128" s="72" t="str">
        <f t="shared" si="59"/>
        <v>Q3/2017</v>
      </c>
      <c r="C128" s="73">
        <f t="shared" si="57"/>
        <v>42917</v>
      </c>
      <c r="D128" s="73">
        <f t="shared" si="58"/>
        <v>43008</v>
      </c>
      <c r="E128" s="72">
        <f t="shared" si="55"/>
        <v>92</v>
      </c>
      <c r="F128" s="74">
        <f>VLOOKUP(D128,'FERC Interest Rate'!$A:$B,2,TRUE)</f>
        <v>3.9600000000000003E-2</v>
      </c>
      <c r="G128" s="75">
        <f t="shared" si="56"/>
        <v>2468.9634349801599</v>
      </c>
      <c r="H128" s="75">
        <v>0</v>
      </c>
      <c r="I128" s="99">
        <f t="shared" si="61"/>
        <v>13.6858125328884</v>
      </c>
      <c r="J128" s="76">
        <f t="shared" si="60"/>
        <v>24.643637222793753</v>
      </c>
      <c r="K128" s="116">
        <f t="shared" si="51"/>
        <v>38.329449755682155</v>
      </c>
      <c r="L128" s="76">
        <f t="shared" si="62"/>
        <v>150.91174979912233</v>
      </c>
      <c r="M128" s="117">
        <f t="shared" si="52"/>
        <v>189.2411995548045</v>
      </c>
      <c r="N128" s="8">
        <f t="shared" si="53"/>
        <v>2493.6070722029535</v>
      </c>
      <c r="O128" s="75">
        <f t="shared" si="54"/>
        <v>2304.365872648149</v>
      </c>
    </row>
    <row r="129" spans="1:15" x14ac:dyDescent="0.25">
      <c r="A129" s="78" t="s">
        <v>58</v>
      </c>
      <c r="B129" s="72" t="str">
        <f t="shared" si="59"/>
        <v>Q4/2017</v>
      </c>
      <c r="C129" s="73">
        <f t="shared" si="57"/>
        <v>43009</v>
      </c>
      <c r="D129" s="73">
        <f t="shared" si="58"/>
        <v>43100</v>
      </c>
      <c r="E129" s="72">
        <f t="shared" si="55"/>
        <v>92</v>
      </c>
      <c r="F129" s="74">
        <f>VLOOKUP(D129,'FERC Interest Rate'!$A:$B,2,TRUE)</f>
        <v>4.2099999999999999E-2</v>
      </c>
      <c r="G129" s="75">
        <f t="shared" si="56"/>
        <v>2304.365872648149</v>
      </c>
      <c r="H129" s="75">
        <v>0</v>
      </c>
      <c r="I129" s="99">
        <f t="shared" si="61"/>
        <v>13.6858125328884</v>
      </c>
      <c r="J129" s="76">
        <f t="shared" si="60"/>
        <v>24.452794240933731</v>
      </c>
      <c r="K129" s="116">
        <f t="shared" si="51"/>
        <v>38.138606773822133</v>
      </c>
      <c r="L129" s="76">
        <f t="shared" si="62"/>
        <v>150.91174979912233</v>
      </c>
      <c r="M129" s="117">
        <f t="shared" si="52"/>
        <v>189.05035657294445</v>
      </c>
      <c r="N129" s="8">
        <f t="shared" si="53"/>
        <v>2328.8186668890826</v>
      </c>
      <c r="O129" s="75">
        <f t="shared" si="54"/>
        <v>2139.768310316138</v>
      </c>
    </row>
    <row r="130" spans="1:15" x14ac:dyDescent="0.25">
      <c r="A130" s="78" t="s">
        <v>59</v>
      </c>
      <c r="B130" s="72" t="str">
        <f t="shared" si="59"/>
        <v>Q1/2018</v>
      </c>
      <c r="C130" s="73">
        <f t="shared" si="57"/>
        <v>43101</v>
      </c>
      <c r="D130" s="73">
        <f t="shared" si="58"/>
        <v>43190</v>
      </c>
      <c r="E130" s="72">
        <f t="shared" si="55"/>
        <v>90</v>
      </c>
      <c r="F130" s="74">
        <f>VLOOKUP(D130,'FERC Interest Rate'!$A:$B,2,TRUE)</f>
        <v>4.2500000000000003E-2</v>
      </c>
      <c r="G130" s="75">
        <f t="shared" si="56"/>
        <v>2139.768310316138</v>
      </c>
      <c r="H130" s="75">
        <v>0</v>
      </c>
      <c r="I130" s="99">
        <f t="shared" si="61"/>
        <v>13.6858125328884</v>
      </c>
      <c r="J130" s="76">
        <f t="shared" si="60"/>
        <v>22.423599416326653</v>
      </c>
      <c r="K130" s="116">
        <f t="shared" si="51"/>
        <v>36.109411949215051</v>
      </c>
      <c r="L130" s="76">
        <f t="shared" si="62"/>
        <v>150.91174979912233</v>
      </c>
      <c r="M130" s="117">
        <f t="shared" si="52"/>
        <v>187.02116174833739</v>
      </c>
      <c r="N130" s="8">
        <f t="shared" si="53"/>
        <v>2162.1919097324649</v>
      </c>
      <c r="O130" s="75">
        <f t="shared" si="54"/>
        <v>1975.1707479841273</v>
      </c>
    </row>
    <row r="131" spans="1:15" x14ac:dyDescent="0.25">
      <c r="A131" s="78" t="s">
        <v>60</v>
      </c>
      <c r="B131" s="72" t="str">
        <f t="shared" si="59"/>
        <v>Q2/2018</v>
      </c>
      <c r="C131" s="73">
        <f t="shared" si="57"/>
        <v>43191</v>
      </c>
      <c r="D131" s="73">
        <f t="shared" si="58"/>
        <v>43281</v>
      </c>
      <c r="E131" s="72">
        <f t="shared" si="55"/>
        <v>91</v>
      </c>
      <c r="F131" s="74">
        <f>VLOOKUP(D131,'FERC Interest Rate'!$A:$B,2,TRUE)</f>
        <v>4.4699999999999997E-2</v>
      </c>
      <c r="G131" s="75">
        <f t="shared" si="56"/>
        <v>1975.1707479841273</v>
      </c>
      <c r="H131" s="75">
        <v>0</v>
      </c>
      <c r="I131" s="99">
        <f t="shared" si="61"/>
        <v>13.6858125328884</v>
      </c>
      <c r="J131" s="76">
        <f t="shared" si="60"/>
        <v>22.012060415274064</v>
      </c>
      <c r="K131" s="116">
        <f t="shared" si="51"/>
        <v>35.697872948162463</v>
      </c>
      <c r="L131" s="76">
        <f t="shared" si="62"/>
        <v>150.91174979912233</v>
      </c>
      <c r="M131" s="117">
        <f t="shared" si="52"/>
        <v>186.60962274728479</v>
      </c>
      <c r="N131" s="8">
        <f t="shared" si="53"/>
        <v>1997.1828083994014</v>
      </c>
      <c r="O131" s="75">
        <f t="shared" si="54"/>
        <v>1810.5731856521165</v>
      </c>
    </row>
    <row r="132" spans="1:15" x14ac:dyDescent="0.25">
      <c r="A132" s="78" t="s">
        <v>61</v>
      </c>
      <c r="B132" s="72" t="str">
        <f t="shared" si="59"/>
        <v>Q3/2018</v>
      </c>
      <c r="C132" s="73">
        <f t="shared" si="57"/>
        <v>43282</v>
      </c>
      <c r="D132" s="73">
        <f t="shared" si="58"/>
        <v>43373</v>
      </c>
      <c r="E132" s="72">
        <f t="shared" si="55"/>
        <v>92</v>
      </c>
      <c r="F132" s="74">
        <f>VLOOKUP(D132,'FERC Interest Rate'!$A:$B,2,TRUE)</f>
        <v>4.6899999999999997E-2</v>
      </c>
      <c r="G132" s="75">
        <f t="shared" si="56"/>
        <v>1810.5731856521165</v>
      </c>
      <c r="H132" s="75">
        <v>0</v>
      </c>
      <c r="I132" s="99">
        <f t="shared" si="61"/>
        <v>13.6858125328884</v>
      </c>
      <c r="J132" s="76">
        <f t="shared" si="60"/>
        <v>21.403455291648637</v>
      </c>
      <c r="K132" s="116">
        <f t="shared" si="51"/>
        <v>35.089267824537039</v>
      </c>
      <c r="L132" s="76">
        <f t="shared" si="62"/>
        <v>150.91174979912233</v>
      </c>
      <c r="M132" s="117">
        <f t="shared" si="52"/>
        <v>186.00101762365938</v>
      </c>
      <c r="N132" s="8">
        <f t="shared" si="53"/>
        <v>1831.9766409437652</v>
      </c>
      <c r="O132" s="75">
        <f t="shared" si="54"/>
        <v>1645.9756233201058</v>
      </c>
    </row>
    <row r="133" spans="1:15" x14ac:dyDescent="0.25">
      <c r="A133" s="78" t="s">
        <v>62</v>
      </c>
      <c r="B133" s="72" t="str">
        <f t="shared" si="59"/>
        <v>Q4/2018</v>
      </c>
      <c r="C133" s="73">
        <f t="shared" si="57"/>
        <v>43374</v>
      </c>
      <c r="D133" s="73">
        <f t="shared" si="58"/>
        <v>43465</v>
      </c>
      <c r="E133" s="72">
        <f t="shared" si="55"/>
        <v>92</v>
      </c>
      <c r="F133" s="74">
        <f>VLOOKUP(D133,'FERC Interest Rate'!$A:$B,2,TRUE)</f>
        <v>4.9599999999999998E-2</v>
      </c>
      <c r="G133" s="75">
        <f t="shared" si="56"/>
        <v>1645.9756233201058</v>
      </c>
      <c r="H133" s="75">
        <v>0</v>
      </c>
      <c r="I133" s="99">
        <f t="shared" si="61"/>
        <v>13.6858125328884</v>
      </c>
      <c r="J133" s="76">
        <f t="shared" si="60"/>
        <v>20.577851957080295</v>
      </c>
      <c r="K133" s="116">
        <f t="shared" si="51"/>
        <v>34.263664489968697</v>
      </c>
      <c r="L133" s="76">
        <f t="shared" si="62"/>
        <v>150.91174979912233</v>
      </c>
      <c r="M133" s="117">
        <f t="shared" si="52"/>
        <v>185.17541428909104</v>
      </c>
      <c r="N133" s="8">
        <f t="shared" si="53"/>
        <v>1666.5534752771862</v>
      </c>
      <c r="O133" s="75">
        <f t="shared" si="54"/>
        <v>1481.3780609880951</v>
      </c>
    </row>
    <row r="134" spans="1:15" x14ac:dyDescent="0.25">
      <c r="A134" s="78" t="s">
        <v>63</v>
      </c>
      <c r="B134" s="72" t="str">
        <f t="shared" si="59"/>
        <v>Q1/2019</v>
      </c>
      <c r="C134" s="73">
        <f t="shared" si="57"/>
        <v>43466</v>
      </c>
      <c r="D134" s="73">
        <f t="shared" si="58"/>
        <v>43555</v>
      </c>
      <c r="E134" s="72">
        <f t="shared" si="55"/>
        <v>90</v>
      </c>
      <c r="F134" s="74">
        <f>VLOOKUP(D134,'FERC Interest Rate'!$A:$B,2,TRUE)</f>
        <v>5.1799999999999999E-2</v>
      </c>
      <c r="G134" s="75">
        <f t="shared" si="56"/>
        <v>1481.3780609880951</v>
      </c>
      <c r="H134" s="75">
        <v>0</v>
      </c>
      <c r="I134" s="99">
        <f t="shared" si="61"/>
        <v>13.6858125328884</v>
      </c>
      <c r="J134" s="76">
        <f t="shared" si="60"/>
        <v>18.921053480346572</v>
      </c>
      <c r="K134" s="116">
        <f t="shared" si="51"/>
        <v>32.606866013234971</v>
      </c>
      <c r="L134" s="76">
        <f t="shared" si="62"/>
        <v>150.91174979912233</v>
      </c>
      <c r="M134" s="117">
        <f t="shared" si="52"/>
        <v>183.5186158123573</v>
      </c>
      <c r="N134" s="8">
        <f t="shared" si="53"/>
        <v>1500.2991144684415</v>
      </c>
      <c r="O134" s="75">
        <f t="shared" si="54"/>
        <v>1316.7804986560843</v>
      </c>
    </row>
    <row r="135" spans="1:15" x14ac:dyDescent="0.25">
      <c r="A135" s="78" t="s">
        <v>64</v>
      </c>
      <c r="B135" s="72" t="str">
        <f t="shared" si="59"/>
        <v>Q2/2019</v>
      </c>
      <c r="C135" s="73">
        <f t="shared" si="57"/>
        <v>43556</v>
      </c>
      <c r="D135" s="73">
        <f t="shared" si="58"/>
        <v>43646</v>
      </c>
      <c r="E135" s="72">
        <f t="shared" si="55"/>
        <v>91</v>
      </c>
      <c r="F135" s="74">
        <f>VLOOKUP(D135,'FERC Interest Rate'!$A:$B,2,TRUE)</f>
        <v>5.45E-2</v>
      </c>
      <c r="G135" s="75">
        <f t="shared" si="56"/>
        <v>1316.7804986560843</v>
      </c>
      <c r="H135" s="75">
        <v>0</v>
      </c>
      <c r="I135" s="99">
        <f t="shared" si="61"/>
        <v>13.6858125328884</v>
      </c>
      <c r="J135" s="76">
        <f t="shared" si="60"/>
        <v>17.89198050160233</v>
      </c>
      <c r="K135" s="116">
        <f t="shared" si="51"/>
        <v>31.577793034490732</v>
      </c>
      <c r="L135" s="76">
        <f t="shared" si="62"/>
        <v>150.91174979912233</v>
      </c>
      <c r="M135" s="117">
        <f t="shared" si="52"/>
        <v>182.48954283361306</v>
      </c>
      <c r="N135" s="8">
        <f t="shared" si="53"/>
        <v>1334.6724791576867</v>
      </c>
      <c r="O135" s="75">
        <f t="shared" si="54"/>
        <v>1152.1829363240736</v>
      </c>
    </row>
    <row r="136" spans="1:15" x14ac:dyDescent="0.25">
      <c r="A136" s="78" t="s">
        <v>65</v>
      </c>
      <c r="B136" s="72" t="str">
        <f t="shared" si="59"/>
        <v>Q3/2019</v>
      </c>
      <c r="C136" s="73">
        <f t="shared" si="57"/>
        <v>43647</v>
      </c>
      <c r="D136" s="73">
        <f t="shared" si="58"/>
        <v>43738</v>
      </c>
      <c r="E136" s="72">
        <f t="shared" si="55"/>
        <v>92</v>
      </c>
      <c r="F136" s="74">
        <f>VLOOKUP(D136,'FERC Interest Rate'!$A:$B,2,TRUE)</f>
        <v>5.5E-2</v>
      </c>
      <c r="G136" s="75">
        <f t="shared" si="56"/>
        <v>1152.1829363240736</v>
      </c>
      <c r="H136" s="75">
        <v>0</v>
      </c>
      <c r="I136" s="99">
        <f t="shared" si="61"/>
        <v>13.6858125328884</v>
      </c>
      <c r="J136" s="76">
        <f t="shared" si="60"/>
        <v>15.972727829588528</v>
      </c>
      <c r="K136" s="116">
        <f t="shared" si="51"/>
        <v>29.658540362476927</v>
      </c>
      <c r="L136" s="76">
        <f t="shared" si="62"/>
        <v>150.91174979912233</v>
      </c>
      <c r="M136" s="117">
        <f t="shared" si="52"/>
        <v>180.57029016159925</v>
      </c>
      <c r="N136" s="8">
        <f t="shared" si="53"/>
        <v>1168.1556641536622</v>
      </c>
      <c r="O136" s="75">
        <f t="shared" si="54"/>
        <v>987.58537399206284</v>
      </c>
    </row>
    <row r="137" spans="1:15" x14ac:dyDescent="0.25">
      <c r="A137" s="78" t="s">
        <v>66</v>
      </c>
      <c r="B137" s="72" t="str">
        <f t="shared" si="59"/>
        <v>Q4/2019</v>
      </c>
      <c r="C137" s="73">
        <f t="shared" si="57"/>
        <v>43739</v>
      </c>
      <c r="D137" s="73">
        <f t="shared" si="58"/>
        <v>43830</v>
      </c>
      <c r="E137" s="72">
        <f t="shared" si="55"/>
        <v>92</v>
      </c>
      <c r="F137" s="74">
        <f>VLOOKUP(D137,'FERC Interest Rate'!$A:$B,2,TRUE)</f>
        <v>5.4199999999999998E-2</v>
      </c>
      <c r="G137" s="75">
        <f t="shared" si="56"/>
        <v>987.58537399206284</v>
      </c>
      <c r="H137" s="75">
        <v>0</v>
      </c>
      <c r="I137" s="99">
        <f t="shared" si="61"/>
        <v>13.6858125328884</v>
      </c>
      <c r="J137" s="76">
        <f t="shared" si="60"/>
        <v>13.491769065408279</v>
      </c>
      <c r="K137" s="116">
        <f t="shared" si="51"/>
        <v>27.17758159829668</v>
      </c>
      <c r="L137" s="76">
        <f t="shared" si="62"/>
        <v>150.91174979912233</v>
      </c>
      <c r="M137" s="117">
        <f t="shared" si="52"/>
        <v>178.08933139741902</v>
      </c>
      <c r="N137" s="8">
        <f t="shared" si="53"/>
        <v>1001.0771430574712</v>
      </c>
      <c r="O137" s="75">
        <f t="shared" si="54"/>
        <v>822.9878116600521</v>
      </c>
    </row>
    <row r="138" spans="1:15" x14ac:dyDescent="0.25">
      <c r="A138" s="78" t="s">
        <v>67</v>
      </c>
      <c r="B138" s="72" t="str">
        <f t="shared" si="59"/>
        <v>Q1/2020</v>
      </c>
      <c r="C138" s="73">
        <f t="shared" si="57"/>
        <v>43831</v>
      </c>
      <c r="D138" s="73">
        <f t="shared" si="58"/>
        <v>43921</v>
      </c>
      <c r="E138" s="72">
        <f t="shared" si="55"/>
        <v>91</v>
      </c>
      <c r="F138" s="74">
        <f>VLOOKUP(D138,'FERC Interest Rate'!$A:$B,2,TRUE)</f>
        <v>4.9599999999999998E-2</v>
      </c>
      <c r="G138" s="75">
        <f t="shared" si="56"/>
        <v>822.9878116600521</v>
      </c>
      <c r="H138" s="75">
        <v>0</v>
      </c>
      <c r="I138" s="99">
        <f t="shared" si="61"/>
        <v>13.6858125328884</v>
      </c>
      <c r="J138" s="76">
        <f t="shared" si="60"/>
        <v>10.149283570242652</v>
      </c>
      <c r="K138" s="116">
        <f t="shared" si="51"/>
        <v>23.83509610313105</v>
      </c>
      <c r="L138" s="76">
        <f t="shared" si="62"/>
        <v>150.91174979912233</v>
      </c>
      <c r="M138" s="117">
        <f t="shared" si="52"/>
        <v>174.74684590225337</v>
      </c>
      <c r="N138" s="8">
        <f t="shared" si="53"/>
        <v>833.13709523029479</v>
      </c>
      <c r="O138" s="75">
        <f t="shared" si="54"/>
        <v>658.39024932804136</v>
      </c>
    </row>
    <row r="139" spans="1:15" x14ac:dyDescent="0.25">
      <c r="A139" s="78" t="s">
        <v>68</v>
      </c>
      <c r="B139" s="72" t="str">
        <f t="shared" si="59"/>
        <v>Q2/2020</v>
      </c>
      <c r="C139" s="73">
        <f t="shared" si="57"/>
        <v>43922</v>
      </c>
      <c r="D139" s="73">
        <f t="shared" si="58"/>
        <v>44012</v>
      </c>
      <c r="E139" s="72">
        <f t="shared" si="55"/>
        <v>91</v>
      </c>
      <c r="F139" s="74">
        <f>VLOOKUP(D139,'FERC Interest Rate'!$A:$B,2,TRUE)</f>
        <v>4.7503500000000004E-2</v>
      </c>
      <c r="G139" s="75">
        <f t="shared" si="56"/>
        <v>658.39024932804136</v>
      </c>
      <c r="H139" s="75">
        <v>0</v>
      </c>
      <c r="I139" s="99">
        <f t="shared" si="61"/>
        <v>13.6858125328884</v>
      </c>
      <c r="J139" s="76">
        <f t="shared" si="60"/>
        <v>7.7762337432100272</v>
      </c>
      <c r="K139" s="116">
        <f t="shared" si="51"/>
        <v>21.462046276098427</v>
      </c>
      <c r="L139" s="76">
        <f t="shared" si="62"/>
        <v>150.91174979912233</v>
      </c>
      <c r="M139" s="117">
        <f t="shared" si="52"/>
        <v>172.37379607522075</v>
      </c>
      <c r="N139" s="8">
        <f t="shared" si="53"/>
        <v>666.16648307125138</v>
      </c>
      <c r="O139" s="75">
        <f t="shared" si="54"/>
        <v>493.79268699603062</v>
      </c>
    </row>
    <row r="140" spans="1:15" x14ac:dyDescent="0.25">
      <c r="A140" s="78" t="s">
        <v>69</v>
      </c>
      <c r="B140" s="72" t="str">
        <f t="shared" si="59"/>
        <v>Q3/2020</v>
      </c>
      <c r="C140" s="73">
        <f t="shared" si="57"/>
        <v>44013</v>
      </c>
      <c r="D140" s="73">
        <f t="shared" si="58"/>
        <v>44104</v>
      </c>
      <c r="E140" s="72">
        <f t="shared" si="55"/>
        <v>92</v>
      </c>
      <c r="F140" s="74">
        <f>VLOOKUP(D140,'FERC Interest Rate'!$A:$B,2,TRUE)</f>
        <v>4.7507929999999997E-2</v>
      </c>
      <c r="G140" s="75">
        <f t="shared" si="56"/>
        <v>493.79268699603062</v>
      </c>
      <c r="H140" s="75">
        <v>0</v>
      </c>
      <c r="I140" s="99">
        <f t="shared" si="61"/>
        <v>13.6858125328884</v>
      </c>
      <c r="J140" s="76">
        <f t="shared" si="60"/>
        <v>5.8968150097414718</v>
      </c>
      <c r="K140" s="116">
        <f t="shared" si="51"/>
        <v>19.582627542629872</v>
      </c>
      <c r="L140" s="76">
        <f t="shared" si="62"/>
        <v>150.91174979912233</v>
      </c>
      <c r="M140" s="117">
        <f t="shared" si="52"/>
        <v>170.4943773417522</v>
      </c>
      <c r="N140" s="8">
        <f t="shared" si="53"/>
        <v>499.68950200577211</v>
      </c>
      <c r="O140" s="75">
        <f t="shared" si="54"/>
        <v>329.19512466401989</v>
      </c>
    </row>
    <row r="141" spans="1:15" x14ac:dyDescent="0.25">
      <c r="A141" s="78" t="s">
        <v>70</v>
      </c>
      <c r="B141" s="72" t="str">
        <f t="shared" si="59"/>
        <v>Q4/2020</v>
      </c>
      <c r="C141" s="73">
        <f t="shared" si="57"/>
        <v>44105</v>
      </c>
      <c r="D141" s="73">
        <f t="shared" si="58"/>
        <v>44196</v>
      </c>
      <c r="E141" s="72">
        <f t="shared" si="55"/>
        <v>92</v>
      </c>
      <c r="F141" s="74">
        <f>VLOOKUP(D141,'FERC Interest Rate'!$A:$B,2,TRUE)</f>
        <v>4.7922320000000004E-2</v>
      </c>
      <c r="G141" s="75">
        <f t="shared" si="56"/>
        <v>329.19512466401989</v>
      </c>
      <c r="H141" s="75">
        <v>0</v>
      </c>
      <c r="I141" s="99">
        <f t="shared" si="61"/>
        <v>13.6858125328884</v>
      </c>
      <c r="J141" s="76">
        <f t="shared" si="60"/>
        <v>3.9655001579404181</v>
      </c>
      <c r="K141" s="116">
        <f t="shared" si="51"/>
        <v>17.651312690828817</v>
      </c>
      <c r="L141" s="76">
        <f t="shared" si="62"/>
        <v>150.91174979912233</v>
      </c>
      <c r="M141" s="117">
        <f t="shared" si="52"/>
        <v>168.56306248995116</v>
      </c>
      <c r="N141" s="8">
        <f t="shared" si="53"/>
        <v>333.16062482196031</v>
      </c>
      <c r="O141" s="75">
        <f t="shared" si="54"/>
        <v>164.59756233200915</v>
      </c>
    </row>
    <row r="142" spans="1:15" x14ac:dyDescent="0.25">
      <c r="A142" s="78" t="s">
        <v>71</v>
      </c>
      <c r="B142" s="72" t="str">
        <f t="shared" si="59"/>
        <v>Q1/2021</v>
      </c>
      <c r="C142" s="73">
        <f t="shared" si="57"/>
        <v>44197</v>
      </c>
      <c r="D142" s="73">
        <f t="shared" si="58"/>
        <v>44286</v>
      </c>
      <c r="E142" s="72">
        <f t="shared" si="55"/>
        <v>90</v>
      </c>
      <c r="F142" s="74">
        <f>VLOOKUP(D142,'FERC Interest Rate'!$A:$B,2,TRUE)</f>
        <v>5.0023470000000007E-2</v>
      </c>
      <c r="G142" s="75">
        <f t="shared" si="56"/>
        <v>164.59756233200915</v>
      </c>
      <c r="H142" s="75">
        <v>0</v>
      </c>
      <c r="I142" s="99">
        <f t="shared" si="61"/>
        <v>13.6858125328884</v>
      </c>
      <c r="J142" s="76">
        <f t="shared" si="60"/>
        <v>2.0302375614382333</v>
      </c>
      <c r="K142" s="116">
        <f>+SUM(I142:J142)</f>
        <v>15.716050094326633</v>
      </c>
      <c r="L142" s="76">
        <f t="shared" si="62"/>
        <v>150.91174979912233</v>
      </c>
      <c r="M142" s="117">
        <f t="shared" si="52"/>
        <v>166.62779989344898</v>
      </c>
      <c r="N142" s="8">
        <f t="shared" si="53"/>
        <v>166.62779989344739</v>
      </c>
      <c r="O142" s="75">
        <f t="shared" si="54"/>
        <v>-1.5862866575844237E-12</v>
      </c>
    </row>
    <row r="143" spans="1:15" x14ac:dyDescent="0.25">
      <c r="A143" s="78"/>
      <c r="B143" s="72"/>
      <c r="C143" s="73"/>
      <c r="D143" s="73"/>
      <c r="E143" s="72"/>
      <c r="F143" s="74"/>
      <c r="G143" s="75"/>
      <c r="H143" s="75"/>
      <c r="I143" s="99"/>
      <c r="J143" s="76"/>
      <c r="K143" s="116"/>
      <c r="L143" s="76"/>
      <c r="M143" s="117"/>
      <c r="N143" s="8"/>
      <c r="O143" s="75"/>
    </row>
    <row r="144" spans="1:15" ht="13.5" thickBot="1" x14ac:dyDescent="0.35">
      <c r="A144" s="142"/>
      <c r="B144" s="143"/>
      <c r="C144" s="144"/>
      <c r="D144" s="144"/>
      <c r="E144" s="145"/>
      <c r="F144" s="143"/>
      <c r="G144" s="124">
        <f>SUM(G116:G143)</f>
        <v>56836.62402273318</v>
      </c>
      <c r="H144" s="124">
        <f>SUM(H116:H143)</f>
        <v>273.716250657768</v>
      </c>
      <c r="I144" s="125">
        <f t="shared" ref="I144:O144" si="63">SUM(I116:I143)</f>
        <v>273.71625065776806</v>
      </c>
      <c r="J144" s="124">
        <f t="shared" si="63"/>
        <v>284.13526235724032</v>
      </c>
      <c r="K144" s="124">
        <f t="shared" si="63"/>
        <v>557.85151301500832</v>
      </c>
      <c r="L144" s="124">
        <f t="shared" si="63"/>
        <v>3018.2349959824473</v>
      </c>
      <c r="M144" s="126">
        <f t="shared" si="63"/>
        <v>3576.086508997455</v>
      </c>
      <c r="N144" s="124">
        <f t="shared" si="63"/>
        <v>57394.475535748199</v>
      </c>
      <c r="O144" s="124">
        <f t="shared" si="63"/>
        <v>53818.389026750745</v>
      </c>
    </row>
    <row r="145" spans="1:15" ht="13" thickTop="1" x14ac:dyDescent="0.25">
      <c r="B145" s="103"/>
      <c r="C145" s="103"/>
      <c r="D145" s="103"/>
      <c r="E145" s="103"/>
      <c r="F145" s="103"/>
      <c r="G145" s="103"/>
      <c r="H145" s="103"/>
      <c r="I145" s="102"/>
      <c r="J145" s="103"/>
      <c r="K145" s="103"/>
      <c r="L145" s="103"/>
      <c r="M145" s="118"/>
      <c r="O145" s="103"/>
    </row>
    <row r="146" spans="1:15" ht="39" x14ac:dyDescent="0.3">
      <c r="A146" s="77" t="s">
        <v>51</v>
      </c>
      <c r="B146" s="77" t="s">
        <v>3</v>
      </c>
      <c r="C146" s="77" t="s">
        <v>4</v>
      </c>
      <c r="D146" s="77" t="s">
        <v>5</v>
      </c>
      <c r="E146" s="77" t="s">
        <v>6</v>
      </c>
      <c r="F146" s="77" t="s">
        <v>7</v>
      </c>
      <c r="G146" s="77" t="s">
        <v>92</v>
      </c>
      <c r="H146" s="77" t="s">
        <v>93</v>
      </c>
      <c r="I146" s="94" t="s">
        <v>94</v>
      </c>
      <c r="J146" s="95" t="s">
        <v>95</v>
      </c>
      <c r="K146" s="95" t="s">
        <v>96</v>
      </c>
      <c r="L146" s="95" t="s">
        <v>97</v>
      </c>
      <c r="M146" s="96" t="s">
        <v>98</v>
      </c>
      <c r="N146" s="77" t="s">
        <v>99</v>
      </c>
      <c r="O146" s="77" t="s">
        <v>100</v>
      </c>
    </row>
    <row r="147" spans="1:15" ht="13" x14ac:dyDescent="0.3">
      <c r="A147" s="347" t="s">
        <v>14</v>
      </c>
      <c r="B147" s="347"/>
      <c r="C147" s="73">
        <f>VLOOKUP(B148,A$1:F$25,2,FALSE)</f>
        <v>41978</v>
      </c>
      <c r="D147" s="73">
        <f>DATE(YEAR(C147),IF(MONTH(C147)&lt;=3,3,IF(MONTH(C147)&lt;=6,6,IF(MONTH(C147)&lt;=9,9,12))),IF(OR(MONTH(C147)&lt;=3,MONTH(C147)&gt;=10),31,30))</f>
        <v>42004</v>
      </c>
      <c r="E147" s="72">
        <f>D147-C147+1</f>
        <v>27</v>
      </c>
      <c r="F147" s="74">
        <f>VLOOKUP(D147,'FERC Interest Rate'!$A:$B,2,TRUE)</f>
        <v>3.2500000000000001E-2</v>
      </c>
      <c r="G147" s="75">
        <f>VLOOKUP(B148,$A$1:$F$29,5,FALSE)</f>
        <v>4130.7073366709928</v>
      </c>
      <c r="H147" s="75">
        <f t="shared" ref="H147:H156" si="64">G147*F147*(E147/(DATE(YEAR(D147),12,31)-DATE(YEAR(D147),1,1)+1))</f>
        <v>9.9306731176131411</v>
      </c>
      <c r="I147" s="180">
        <v>0</v>
      </c>
      <c r="J147" s="76">
        <v>0</v>
      </c>
      <c r="K147" s="116">
        <f t="shared" ref="K147:K172" si="65">+SUM(I147:J147)</f>
        <v>0</v>
      </c>
      <c r="L147" s="76">
        <v>0</v>
      </c>
      <c r="M147" s="117">
        <f t="shared" ref="M147:M172" si="66">+SUM(K147:L147)</f>
        <v>0</v>
      </c>
      <c r="N147" s="8">
        <f t="shared" ref="N147:N172" si="67">+G147+H147+J147</f>
        <v>4140.6380097886058</v>
      </c>
      <c r="O147" s="75">
        <f t="shared" ref="O147:O172" si="68">G147+H147-L147-I147</f>
        <v>4140.6380097886058</v>
      </c>
    </row>
    <row r="148" spans="1:15" ht="13" x14ac:dyDescent="0.3">
      <c r="A148" s="110" t="s">
        <v>40</v>
      </c>
      <c r="B148" s="141" t="s">
        <v>55</v>
      </c>
      <c r="C148" s="73">
        <f>D147+1</f>
        <v>42005</v>
      </c>
      <c r="D148" s="73">
        <f>EOMONTH(D147,3)</f>
        <v>42094</v>
      </c>
      <c r="E148" s="72">
        <f t="shared" ref="E148:E172" si="69">D148-C148+1</f>
        <v>90</v>
      </c>
      <c r="F148" s="74">
        <f>VLOOKUP(D148,'FERC Interest Rate'!$A:$B,2,TRUE)</f>
        <v>3.2500000000000001E-2</v>
      </c>
      <c r="G148" s="75">
        <f t="shared" ref="G148:G172" si="70">O147</f>
        <v>4140.6380097886058</v>
      </c>
      <c r="H148" s="75">
        <f t="shared" si="64"/>
        <v>33.181825146936085</v>
      </c>
      <c r="I148" s="180">
        <v>0</v>
      </c>
      <c r="J148" s="76">
        <v>0</v>
      </c>
      <c r="K148" s="116">
        <f t="shared" si="65"/>
        <v>0</v>
      </c>
      <c r="L148" s="76">
        <v>0</v>
      </c>
      <c r="M148" s="117">
        <f t="shared" si="66"/>
        <v>0</v>
      </c>
      <c r="N148" s="8">
        <f t="shared" si="67"/>
        <v>4173.8198349355416</v>
      </c>
      <c r="O148" s="75">
        <f t="shared" si="68"/>
        <v>4173.8198349355416</v>
      </c>
    </row>
    <row r="149" spans="1:15" ht="13" x14ac:dyDescent="0.3">
      <c r="B149" s="301"/>
      <c r="C149" s="73">
        <f t="shared" ref="C149:C172" si="71">D148+1</f>
        <v>42095</v>
      </c>
      <c r="D149" s="73">
        <f t="shared" ref="D149:D172" si="72">EOMONTH(D148,3)</f>
        <v>42185</v>
      </c>
      <c r="E149" s="72">
        <f t="shared" si="69"/>
        <v>91</v>
      </c>
      <c r="F149" s="74">
        <f>VLOOKUP(D149,'FERC Interest Rate'!$A:$B,2,TRUE)</f>
        <v>3.2500000000000001E-2</v>
      </c>
      <c r="G149" s="75">
        <f t="shared" si="70"/>
        <v>4173.8198349355416</v>
      </c>
      <c r="H149" s="75">
        <f t="shared" si="64"/>
        <v>33.819375785813328</v>
      </c>
      <c r="I149" s="180">
        <v>0</v>
      </c>
      <c r="J149" s="76">
        <v>0</v>
      </c>
      <c r="K149" s="116">
        <f t="shared" si="65"/>
        <v>0</v>
      </c>
      <c r="L149" s="76">
        <v>0</v>
      </c>
      <c r="M149" s="117">
        <f t="shared" si="66"/>
        <v>0</v>
      </c>
      <c r="N149" s="8">
        <f t="shared" si="67"/>
        <v>4207.6392107213551</v>
      </c>
      <c r="O149" s="75">
        <f t="shared" si="68"/>
        <v>4207.6392107213551</v>
      </c>
    </row>
    <row r="150" spans="1:15" ht="13" x14ac:dyDescent="0.3">
      <c r="B150" s="301"/>
      <c r="C150" s="73">
        <f t="shared" si="71"/>
        <v>42186</v>
      </c>
      <c r="D150" s="73">
        <f t="shared" si="72"/>
        <v>42277</v>
      </c>
      <c r="E150" s="72">
        <f t="shared" si="69"/>
        <v>92</v>
      </c>
      <c r="F150" s="74">
        <f>VLOOKUP(D150,'FERC Interest Rate'!$A:$B,2,TRUE)</f>
        <v>3.2500000000000001E-2</v>
      </c>
      <c r="G150" s="75">
        <f t="shared" si="70"/>
        <v>4207.6392107213551</v>
      </c>
      <c r="H150" s="75">
        <f t="shared" si="64"/>
        <v>34.468058191936585</v>
      </c>
      <c r="I150" s="180">
        <v>0</v>
      </c>
      <c r="J150" s="76">
        <v>0</v>
      </c>
      <c r="K150" s="116">
        <f t="shared" si="65"/>
        <v>0</v>
      </c>
      <c r="L150" s="76">
        <v>0</v>
      </c>
      <c r="M150" s="117">
        <f t="shared" si="66"/>
        <v>0</v>
      </c>
      <c r="N150" s="8">
        <f t="shared" si="67"/>
        <v>4242.1072689132916</v>
      </c>
      <c r="O150" s="75">
        <f t="shared" si="68"/>
        <v>4242.1072689132916</v>
      </c>
    </row>
    <row r="151" spans="1:15" ht="13" x14ac:dyDescent="0.3">
      <c r="B151" s="301"/>
      <c r="C151" s="73">
        <f t="shared" si="71"/>
        <v>42278</v>
      </c>
      <c r="D151" s="73">
        <f t="shared" si="72"/>
        <v>42369</v>
      </c>
      <c r="E151" s="72">
        <f t="shared" si="69"/>
        <v>92</v>
      </c>
      <c r="F151" s="74">
        <f>VLOOKUP(D151,'FERC Interest Rate'!$A:$B,2,TRUE)</f>
        <v>3.2500000000000001E-2</v>
      </c>
      <c r="G151" s="75">
        <f t="shared" si="70"/>
        <v>4242.1072689132916</v>
      </c>
      <c r="H151" s="75">
        <f t="shared" si="64"/>
        <v>34.750412970002031</v>
      </c>
      <c r="I151" s="180">
        <v>0</v>
      </c>
      <c r="J151" s="76">
        <v>0</v>
      </c>
      <c r="K151" s="116">
        <f t="shared" si="65"/>
        <v>0</v>
      </c>
      <c r="L151" s="76">
        <v>0</v>
      </c>
      <c r="M151" s="117">
        <f t="shared" si="66"/>
        <v>0</v>
      </c>
      <c r="N151" s="8">
        <f t="shared" si="67"/>
        <v>4276.8576818832935</v>
      </c>
      <c r="O151" s="75">
        <f t="shared" si="68"/>
        <v>4276.8576818832935</v>
      </c>
    </row>
    <row r="152" spans="1:15" ht="13" x14ac:dyDescent="0.3">
      <c r="B152" s="301"/>
      <c r="C152" s="73">
        <f t="shared" si="71"/>
        <v>42370</v>
      </c>
      <c r="D152" s="73">
        <f t="shared" si="72"/>
        <v>42460</v>
      </c>
      <c r="E152" s="72">
        <f t="shared" si="69"/>
        <v>91</v>
      </c>
      <c r="F152" s="74">
        <f>VLOOKUP(D152,'FERC Interest Rate'!$A:$B,2,TRUE)</f>
        <v>3.2500000000000001E-2</v>
      </c>
      <c r="G152" s="75">
        <f t="shared" si="70"/>
        <v>4276.8576818832935</v>
      </c>
      <c r="H152" s="75">
        <f t="shared" si="64"/>
        <v>34.559580858387548</v>
      </c>
      <c r="I152" s="180">
        <v>0</v>
      </c>
      <c r="J152" s="76">
        <v>0</v>
      </c>
      <c r="K152" s="116">
        <f t="shared" si="65"/>
        <v>0</v>
      </c>
      <c r="L152" s="76">
        <v>0</v>
      </c>
      <c r="M152" s="117">
        <f t="shared" si="66"/>
        <v>0</v>
      </c>
      <c r="N152" s="8">
        <f t="shared" si="67"/>
        <v>4311.417262741681</v>
      </c>
      <c r="O152" s="75">
        <f t="shared" si="68"/>
        <v>4311.417262741681</v>
      </c>
    </row>
    <row r="153" spans="1:15" x14ac:dyDescent="0.25">
      <c r="A153" s="78"/>
      <c r="B153" s="72"/>
      <c r="C153" s="73">
        <f t="shared" si="71"/>
        <v>42461</v>
      </c>
      <c r="D153" s="73">
        <f t="shared" si="72"/>
        <v>42551</v>
      </c>
      <c r="E153" s="72">
        <f t="shared" si="69"/>
        <v>91</v>
      </c>
      <c r="F153" s="74">
        <f>VLOOKUP(D153,'FERC Interest Rate'!$A:$B,2,TRUE)</f>
        <v>3.4599999999999999E-2</v>
      </c>
      <c r="G153" s="75">
        <f t="shared" si="70"/>
        <v>4311.417262741681</v>
      </c>
      <c r="H153" s="75">
        <f t="shared" si="64"/>
        <v>37.089968288165181</v>
      </c>
      <c r="I153" s="180">
        <v>0</v>
      </c>
      <c r="J153" s="76">
        <v>0</v>
      </c>
      <c r="K153" s="116">
        <f t="shared" si="65"/>
        <v>0</v>
      </c>
      <c r="L153" s="76">
        <v>0</v>
      </c>
      <c r="M153" s="117">
        <f t="shared" si="66"/>
        <v>0</v>
      </c>
      <c r="N153" s="8">
        <f t="shared" si="67"/>
        <v>4348.5072310298465</v>
      </c>
      <c r="O153" s="75">
        <f t="shared" si="68"/>
        <v>4348.5072310298465</v>
      </c>
    </row>
    <row r="154" spans="1:15" x14ac:dyDescent="0.25">
      <c r="A154" s="309"/>
      <c r="B154" s="72"/>
      <c r="C154" s="73">
        <f t="shared" si="71"/>
        <v>42552</v>
      </c>
      <c r="D154" s="73">
        <f t="shared" si="72"/>
        <v>42643</v>
      </c>
      <c r="E154" s="72">
        <f t="shared" si="69"/>
        <v>92</v>
      </c>
      <c r="F154" s="74">
        <f>VLOOKUP(D154,'FERC Interest Rate'!$A:$B,2,TRUE)</f>
        <v>3.5000000000000003E-2</v>
      </c>
      <c r="G154" s="75">
        <f t="shared" si="70"/>
        <v>4348.5072310298465</v>
      </c>
      <c r="H154" s="75">
        <f t="shared" si="64"/>
        <v>38.257358699224334</v>
      </c>
      <c r="I154" s="180">
        <v>0</v>
      </c>
      <c r="J154" s="76">
        <v>0</v>
      </c>
      <c r="K154" s="116">
        <f t="shared" si="65"/>
        <v>0</v>
      </c>
      <c r="L154" s="76">
        <v>0</v>
      </c>
      <c r="M154" s="117">
        <f t="shared" si="66"/>
        <v>0</v>
      </c>
      <c r="N154" s="8">
        <f t="shared" si="67"/>
        <v>4386.7645897290704</v>
      </c>
      <c r="O154" s="75">
        <f t="shared" si="68"/>
        <v>4386.7645897290704</v>
      </c>
    </row>
    <row r="155" spans="1:15" x14ac:dyDescent="0.25">
      <c r="A155" s="78"/>
      <c r="B155" s="72"/>
      <c r="C155" s="73">
        <f t="shared" si="71"/>
        <v>42644</v>
      </c>
      <c r="D155" s="73">
        <f t="shared" si="72"/>
        <v>42735</v>
      </c>
      <c r="E155" s="72">
        <f t="shared" si="69"/>
        <v>92</v>
      </c>
      <c r="F155" s="74">
        <f>VLOOKUP(D155,'FERC Interest Rate'!$A:$B,2,TRUE)</f>
        <v>3.5000000000000003E-2</v>
      </c>
      <c r="G155" s="75">
        <f t="shared" si="70"/>
        <v>4386.7645897290704</v>
      </c>
      <c r="H155" s="75">
        <f t="shared" si="64"/>
        <v>38.593939833135543</v>
      </c>
      <c r="I155" s="180">
        <v>0</v>
      </c>
      <c r="J155" s="76">
        <v>0</v>
      </c>
      <c r="K155" s="116">
        <f t="shared" si="65"/>
        <v>0</v>
      </c>
      <c r="L155" s="76">
        <v>0</v>
      </c>
      <c r="M155" s="117">
        <f t="shared" si="66"/>
        <v>0</v>
      </c>
      <c r="N155" s="8">
        <f t="shared" si="67"/>
        <v>4425.3585295622061</v>
      </c>
      <c r="O155" s="75">
        <f t="shared" si="68"/>
        <v>4425.3585295622061</v>
      </c>
    </row>
    <row r="156" spans="1:15" x14ac:dyDescent="0.25">
      <c r="A156" s="78" t="s">
        <v>101</v>
      </c>
      <c r="B156" s="72" t="str">
        <f t="shared" ref="B156:B172" si="73">+IF(MONTH(C156)&lt;4,"Q1",IF(MONTH(C156)&lt;7,"Q2",IF(MONTH(C156)&lt;10,"Q3","Q4")))&amp;"/"&amp;YEAR(C156)</f>
        <v>Q1/2017</v>
      </c>
      <c r="C156" s="73">
        <f t="shared" si="71"/>
        <v>42736</v>
      </c>
      <c r="D156" s="73">
        <f t="shared" si="72"/>
        <v>42825</v>
      </c>
      <c r="E156" s="72">
        <f t="shared" si="69"/>
        <v>90</v>
      </c>
      <c r="F156" s="74">
        <f>VLOOKUP(D156,'FERC Interest Rate'!$A:$B,2,TRUE)</f>
        <v>3.5000000000000003E-2</v>
      </c>
      <c r="G156" s="75">
        <f t="shared" si="70"/>
        <v>4425.3585295622061</v>
      </c>
      <c r="H156" s="75">
        <f t="shared" si="64"/>
        <v>38.191450323619037</v>
      </c>
      <c r="I156" s="99">
        <f>(SUM($H$147:$H$173)/20)*4</f>
        <v>66.568528642966569</v>
      </c>
      <c r="J156" s="76">
        <f t="shared" ref="J156:J172" si="74">G156*F156*(E156/(DATE(YEAR(D156),12,31)-DATE(YEAR(D156),1,1)+1))</f>
        <v>38.191450323619037</v>
      </c>
      <c r="K156" s="116">
        <f t="shared" si="65"/>
        <v>104.75997896658561</v>
      </c>
      <c r="L156" s="76">
        <f>VLOOKUP($B$148,A$1:F$25,5,FALSE)/20*4</f>
        <v>826.14146733419852</v>
      </c>
      <c r="M156" s="117">
        <f t="shared" si="66"/>
        <v>930.90144630078407</v>
      </c>
      <c r="N156" s="8">
        <f t="shared" si="67"/>
        <v>4501.7414302094448</v>
      </c>
      <c r="O156" s="75">
        <f t="shared" si="68"/>
        <v>3570.8399839086601</v>
      </c>
    </row>
    <row r="157" spans="1:15" x14ac:dyDescent="0.25">
      <c r="A157" s="78" t="s">
        <v>56</v>
      </c>
      <c r="B157" s="72" t="str">
        <f t="shared" si="73"/>
        <v>Q2/2017</v>
      </c>
      <c r="C157" s="73">
        <f t="shared" si="71"/>
        <v>42826</v>
      </c>
      <c r="D157" s="73">
        <f t="shared" si="72"/>
        <v>42916</v>
      </c>
      <c r="E157" s="72">
        <f t="shared" si="69"/>
        <v>91</v>
      </c>
      <c r="F157" s="74">
        <f>VLOOKUP(D157,'FERC Interest Rate'!$A:$B,2,TRUE)</f>
        <v>3.7100000000000001E-2</v>
      </c>
      <c r="G157" s="75">
        <f t="shared" si="70"/>
        <v>3570.8399839086601</v>
      </c>
      <c r="H157" s="75">
        <v>0</v>
      </c>
      <c r="I157" s="99">
        <f t="shared" ref="I157:I172" si="75">(SUM($H$147:$H$173)/20)</f>
        <v>16.642132160741642</v>
      </c>
      <c r="J157" s="76">
        <f t="shared" si="74"/>
        <v>33.028802382668566</v>
      </c>
      <c r="K157" s="116">
        <f t="shared" si="65"/>
        <v>49.670934543410212</v>
      </c>
      <c r="L157" s="76">
        <f t="shared" ref="L157:L172" si="76">VLOOKUP($B$148,A$1:F$25,5,FALSE)/20</f>
        <v>206.53536683354963</v>
      </c>
      <c r="M157" s="117">
        <f t="shared" si="66"/>
        <v>256.20630137695986</v>
      </c>
      <c r="N157" s="8">
        <f t="shared" si="67"/>
        <v>3603.8687862913284</v>
      </c>
      <c r="O157" s="75">
        <f t="shared" si="68"/>
        <v>3347.6624849143686</v>
      </c>
    </row>
    <row r="158" spans="1:15" x14ac:dyDescent="0.25">
      <c r="A158" s="78" t="s">
        <v>57</v>
      </c>
      <c r="B158" s="72" t="str">
        <f t="shared" si="73"/>
        <v>Q3/2017</v>
      </c>
      <c r="C158" s="73">
        <f t="shared" si="71"/>
        <v>42917</v>
      </c>
      <c r="D158" s="73">
        <f t="shared" si="72"/>
        <v>43008</v>
      </c>
      <c r="E158" s="72">
        <f t="shared" si="69"/>
        <v>92</v>
      </c>
      <c r="F158" s="74">
        <f>VLOOKUP(D158,'FERC Interest Rate'!$A:$B,2,TRUE)</f>
        <v>3.9600000000000003E-2</v>
      </c>
      <c r="G158" s="75">
        <f t="shared" si="70"/>
        <v>3347.6624849143686</v>
      </c>
      <c r="H158" s="75">
        <v>0</v>
      </c>
      <c r="I158" s="99">
        <f t="shared" si="75"/>
        <v>16.642132160741642</v>
      </c>
      <c r="J158" s="76">
        <f t="shared" si="74"/>
        <v>33.414257438465832</v>
      </c>
      <c r="K158" s="116">
        <f t="shared" si="65"/>
        <v>50.056389599207478</v>
      </c>
      <c r="L158" s="76">
        <f t="shared" si="76"/>
        <v>206.53536683354963</v>
      </c>
      <c r="M158" s="117">
        <f t="shared" si="66"/>
        <v>256.59175643275711</v>
      </c>
      <c r="N158" s="8">
        <f t="shared" si="67"/>
        <v>3381.0767423528346</v>
      </c>
      <c r="O158" s="75">
        <f t="shared" si="68"/>
        <v>3124.4849859200772</v>
      </c>
    </row>
    <row r="159" spans="1:15" x14ac:dyDescent="0.25">
      <c r="A159" s="78" t="s">
        <v>58</v>
      </c>
      <c r="B159" s="72" t="str">
        <f t="shared" si="73"/>
        <v>Q4/2017</v>
      </c>
      <c r="C159" s="73">
        <f t="shared" si="71"/>
        <v>43009</v>
      </c>
      <c r="D159" s="73">
        <f t="shared" si="72"/>
        <v>43100</v>
      </c>
      <c r="E159" s="72">
        <f t="shared" si="69"/>
        <v>92</v>
      </c>
      <c r="F159" s="74">
        <f>VLOOKUP(D159,'FERC Interest Rate'!$A:$B,2,TRUE)</f>
        <v>4.2099999999999999E-2</v>
      </c>
      <c r="G159" s="75">
        <f t="shared" si="70"/>
        <v>3124.4849859200772</v>
      </c>
      <c r="H159" s="75">
        <v>0</v>
      </c>
      <c r="I159" s="99">
        <f t="shared" si="75"/>
        <v>16.642132160741642</v>
      </c>
      <c r="J159" s="76">
        <f t="shared" si="74"/>
        <v>33.155493828672995</v>
      </c>
      <c r="K159" s="116">
        <f t="shared" si="65"/>
        <v>49.797625989414641</v>
      </c>
      <c r="L159" s="76">
        <f t="shared" si="76"/>
        <v>206.53536683354963</v>
      </c>
      <c r="M159" s="117">
        <f t="shared" si="66"/>
        <v>256.33299282296429</v>
      </c>
      <c r="N159" s="8">
        <f t="shared" si="67"/>
        <v>3157.6404797487503</v>
      </c>
      <c r="O159" s="75">
        <f t="shared" si="68"/>
        <v>2901.3074869257857</v>
      </c>
    </row>
    <row r="160" spans="1:15" x14ac:dyDescent="0.25">
      <c r="A160" s="78" t="s">
        <v>59</v>
      </c>
      <c r="B160" s="72" t="str">
        <f t="shared" si="73"/>
        <v>Q1/2018</v>
      </c>
      <c r="C160" s="73">
        <f t="shared" si="71"/>
        <v>43101</v>
      </c>
      <c r="D160" s="73">
        <f t="shared" si="72"/>
        <v>43190</v>
      </c>
      <c r="E160" s="72">
        <f t="shared" si="69"/>
        <v>90</v>
      </c>
      <c r="F160" s="74">
        <f>VLOOKUP(D160,'FERC Interest Rate'!$A:$B,2,TRUE)</f>
        <v>4.2500000000000003E-2</v>
      </c>
      <c r="G160" s="75">
        <f t="shared" si="70"/>
        <v>2901.3074869257857</v>
      </c>
      <c r="H160" s="75">
        <v>0</v>
      </c>
      <c r="I160" s="99">
        <f t="shared" si="75"/>
        <v>16.642132160741642</v>
      </c>
      <c r="J160" s="76">
        <f t="shared" si="74"/>
        <v>30.404112705455155</v>
      </c>
      <c r="K160" s="116">
        <f t="shared" si="65"/>
        <v>47.046244866196801</v>
      </c>
      <c r="L160" s="76">
        <f t="shared" si="76"/>
        <v>206.53536683354963</v>
      </c>
      <c r="M160" s="117">
        <f t="shared" si="66"/>
        <v>253.58161169974642</v>
      </c>
      <c r="N160" s="8">
        <f t="shared" si="67"/>
        <v>2931.7115996312409</v>
      </c>
      <c r="O160" s="75">
        <f t="shared" si="68"/>
        <v>2678.1299879314943</v>
      </c>
    </row>
    <row r="161" spans="1:15" x14ac:dyDescent="0.25">
      <c r="A161" s="78" t="s">
        <v>60</v>
      </c>
      <c r="B161" s="72" t="str">
        <f t="shared" si="73"/>
        <v>Q2/2018</v>
      </c>
      <c r="C161" s="73">
        <f t="shared" si="71"/>
        <v>43191</v>
      </c>
      <c r="D161" s="73">
        <f t="shared" si="72"/>
        <v>43281</v>
      </c>
      <c r="E161" s="72">
        <f t="shared" si="69"/>
        <v>91</v>
      </c>
      <c r="F161" s="74">
        <f>VLOOKUP(D161,'FERC Interest Rate'!$A:$B,2,TRUE)</f>
        <v>4.4699999999999997E-2</v>
      </c>
      <c r="G161" s="75">
        <f t="shared" si="70"/>
        <v>2678.1299879314943</v>
      </c>
      <c r="H161" s="75">
        <v>0</v>
      </c>
      <c r="I161" s="99">
        <f t="shared" si="75"/>
        <v>16.642132160741642</v>
      </c>
      <c r="J161" s="76">
        <f t="shared" si="74"/>
        <v>29.846107813449144</v>
      </c>
      <c r="K161" s="116">
        <f t="shared" si="65"/>
        <v>46.48823997419079</v>
      </c>
      <c r="L161" s="76">
        <f t="shared" si="76"/>
        <v>206.53536683354963</v>
      </c>
      <c r="M161" s="117">
        <f t="shared" si="66"/>
        <v>253.02360680774041</v>
      </c>
      <c r="N161" s="8">
        <f t="shared" si="67"/>
        <v>2707.9760957449434</v>
      </c>
      <c r="O161" s="75">
        <f t="shared" si="68"/>
        <v>2454.9524889372028</v>
      </c>
    </row>
    <row r="162" spans="1:15" x14ac:dyDescent="0.25">
      <c r="A162" s="78" t="s">
        <v>61</v>
      </c>
      <c r="B162" s="72" t="str">
        <f t="shared" si="73"/>
        <v>Q3/2018</v>
      </c>
      <c r="C162" s="73">
        <f t="shared" si="71"/>
        <v>43282</v>
      </c>
      <c r="D162" s="73">
        <f t="shared" si="72"/>
        <v>43373</v>
      </c>
      <c r="E162" s="72">
        <f t="shared" si="69"/>
        <v>92</v>
      </c>
      <c r="F162" s="74">
        <f>VLOOKUP(D162,'FERC Interest Rate'!$A:$B,2,TRUE)</f>
        <v>4.6899999999999997E-2</v>
      </c>
      <c r="G162" s="75">
        <f t="shared" si="70"/>
        <v>2454.9524889372028</v>
      </c>
      <c r="H162" s="75">
        <v>0</v>
      </c>
      <c r="I162" s="99">
        <f t="shared" si="75"/>
        <v>16.642132160741642</v>
      </c>
      <c r="J162" s="76">
        <f t="shared" si="74"/>
        <v>29.020901367852723</v>
      </c>
      <c r="K162" s="116">
        <f t="shared" si="65"/>
        <v>45.663033528594369</v>
      </c>
      <c r="L162" s="76">
        <f t="shared" si="76"/>
        <v>206.53536683354963</v>
      </c>
      <c r="M162" s="117">
        <f t="shared" si="66"/>
        <v>252.19840036214401</v>
      </c>
      <c r="N162" s="8">
        <f t="shared" si="67"/>
        <v>2483.9733903050555</v>
      </c>
      <c r="O162" s="75">
        <f t="shared" si="68"/>
        <v>2231.7749899429114</v>
      </c>
    </row>
    <row r="163" spans="1:15" x14ac:dyDescent="0.25">
      <c r="A163" s="78" t="s">
        <v>62</v>
      </c>
      <c r="B163" s="72" t="str">
        <f t="shared" si="73"/>
        <v>Q4/2018</v>
      </c>
      <c r="C163" s="73">
        <f t="shared" si="71"/>
        <v>43374</v>
      </c>
      <c r="D163" s="73">
        <f t="shared" si="72"/>
        <v>43465</v>
      </c>
      <c r="E163" s="72">
        <f t="shared" si="69"/>
        <v>92</v>
      </c>
      <c r="F163" s="74">
        <f>VLOOKUP(D163,'FERC Interest Rate'!$A:$B,2,TRUE)</f>
        <v>4.9599999999999998E-2</v>
      </c>
      <c r="G163" s="75">
        <f t="shared" si="70"/>
        <v>2231.7749899429114</v>
      </c>
      <c r="H163" s="75">
        <v>0</v>
      </c>
      <c r="I163" s="99">
        <f t="shared" si="75"/>
        <v>16.642132160741642</v>
      </c>
      <c r="J163" s="76">
        <f t="shared" si="74"/>
        <v>27.901467490705461</v>
      </c>
      <c r="K163" s="116">
        <f t="shared" si="65"/>
        <v>44.543599651447103</v>
      </c>
      <c r="L163" s="76">
        <f t="shared" si="76"/>
        <v>206.53536683354963</v>
      </c>
      <c r="M163" s="117">
        <f t="shared" si="66"/>
        <v>251.07896648499673</v>
      </c>
      <c r="N163" s="8">
        <f t="shared" si="67"/>
        <v>2259.6764574336166</v>
      </c>
      <c r="O163" s="75">
        <f t="shared" si="68"/>
        <v>2008.5974909486201</v>
      </c>
    </row>
    <row r="164" spans="1:15" x14ac:dyDescent="0.25">
      <c r="A164" s="78" t="s">
        <v>63</v>
      </c>
      <c r="B164" s="72" t="str">
        <f t="shared" si="73"/>
        <v>Q1/2019</v>
      </c>
      <c r="C164" s="73">
        <f t="shared" si="71"/>
        <v>43466</v>
      </c>
      <c r="D164" s="73">
        <f t="shared" si="72"/>
        <v>43555</v>
      </c>
      <c r="E164" s="72">
        <f t="shared" si="69"/>
        <v>90</v>
      </c>
      <c r="F164" s="74">
        <f>VLOOKUP(D164,'FERC Interest Rate'!$A:$B,2,TRUE)</f>
        <v>5.1799999999999999E-2</v>
      </c>
      <c r="G164" s="75">
        <f t="shared" si="70"/>
        <v>2008.5974909486201</v>
      </c>
      <c r="H164" s="75">
        <v>0</v>
      </c>
      <c r="I164" s="99">
        <f t="shared" si="75"/>
        <v>16.642132160741642</v>
      </c>
      <c r="J164" s="76">
        <f t="shared" si="74"/>
        <v>25.655017815897168</v>
      </c>
      <c r="K164" s="116">
        <f t="shared" si="65"/>
        <v>42.297149976638806</v>
      </c>
      <c r="L164" s="76">
        <f t="shared" si="76"/>
        <v>206.53536683354963</v>
      </c>
      <c r="M164" s="117">
        <f t="shared" si="66"/>
        <v>248.83251681018845</v>
      </c>
      <c r="N164" s="8">
        <f t="shared" si="67"/>
        <v>2034.2525087645172</v>
      </c>
      <c r="O164" s="75">
        <f t="shared" si="68"/>
        <v>1785.4199919543289</v>
      </c>
    </row>
    <row r="165" spans="1:15" x14ac:dyDescent="0.25">
      <c r="A165" s="78" t="s">
        <v>64</v>
      </c>
      <c r="B165" s="72" t="str">
        <f t="shared" si="73"/>
        <v>Q2/2019</v>
      </c>
      <c r="C165" s="73">
        <f t="shared" si="71"/>
        <v>43556</v>
      </c>
      <c r="D165" s="73">
        <f t="shared" si="72"/>
        <v>43646</v>
      </c>
      <c r="E165" s="72">
        <f t="shared" si="69"/>
        <v>91</v>
      </c>
      <c r="F165" s="74">
        <f>VLOOKUP(D165,'FERC Interest Rate'!$A:$B,2,TRUE)</f>
        <v>5.45E-2</v>
      </c>
      <c r="G165" s="75">
        <f t="shared" si="70"/>
        <v>1785.4199919543289</v>
      </c>
      <c r="H165" s="75">
        <v>0</v>
      </c>
      <c r="I165" s="99">
        <f t="shared" si="75"/>
        <v>16.642132160741642</v>
      </c>
      <c r="J165" s="76">
        <f t="shared" si="74"/>
        <v>24.259699863280805</v>
      </c>
      <c r="K165" s="116">
        <f t="shared" si="65"/>
        <v>40.901832024022447</v>
      </c>
      <c r="L165" s="76">
        <f t="shared" si="76"/>
        <v>206.53536683354963</v>
      </c>
      <c r="M165" s="117">
        <f t="shared" si="66"/>
        <v>247.43719885757207</v>
      </c>
      <c r="N165" s="8">
        <f t="shared" si="67"/>
        <v>1809.6796918176096</v>
      </c>
      <c r="O165" s="75">
        <f t="shared" si="68"/>
        <v>1562.2424929600377</v>
      </c>
    </row>
    <row r="166" spans="1:15" x14ac:dyDescent="0.25">
      <c r="A166" s="78" t="s">
        <v>65</v>
      </c>
      <c r="B166" s="72" t="str">
        <f t="shared" si="73"/>
        <v>Q3/2019</v>
      </c>
      <c r="C166" s="73">
        <f t="shared" si="71"/>
        <v>43647</v>
      </c>
      <c r="D166" s="73">
        <f t="shared" si="72"/>
        <v>43738</v>
      </c>
      <c r="E166" s="72">
        <f t="shared" si="69"/>
        <v>92</v>
      </c>
      <c r="F166" s="74">
        <f>VLOOKUP(D166,'FERC Interest Rate'!$A:$B,2,TRUE)</f>
        <v>5.5E-2</v>
      </c>
      <c r="G166" s="75">
        <f t="shared" si="70"/>
        <v>1562.2424929600377</v>
      </c>
      <c r="H166" s="75">
        <v>0</v>
      </c>
      <c r="I166" s="99">
        <f t="shared" si="75"/>
        <v>16.642132160741642</v>
      </c>
      <c r="J166" s="76">
        <f t="shared" si="74"/>
        <v>21.6573890804871</v>
      </c>
      <c r="K166" s="116">
        <f t="shared" si="65"/>
        <v>38.299521241228746</v>
      </c>
      <c r="L166" s="76">
        <f t="shared" si="76"/>
        <v>206.53536683354963</v>
      </c>
      <c r="M166" s="117">
        <f t="shared" si="66"/>
        <v>244.83488807477838</v>
      </c>
      <c r="N166" s="8">
        <f t="shared" si="67"/>
        <v>1583.8998820405247</v>
      </c>
      <c r="O166" s="75">
        <f t="shared" si="68"/>
        <v>1339.0649939657465</v>
      </c>
    </row>
    <row r="167" spans="1:15" x14ac:dyDescent="0.25">
      <c r="A167" s="78" t="s">
        <v>66</v>
      </c>
      <c r="B167" s="72" t="str">
        <f t="shared" si="73"/>
        <v>Q4/2019</v>
      </c>
      <c r="C167" s="73">
        <f t="shared" si="71"/>
        <v>43739</v>
      </c>
      <c r="D167" s="73">
        <f t="shared" si="72"/>
        <v>43830</v>
      </c>
      <c r="E167" s="72">
        <f t="shared" si="69"/>
        <v>92</v>
      </c>
      <c r="F167" s="74">
        <f>VLOOKUP(D167,'FERC Interest Rate'!$A:$B,2,TRUE)</f>
        <v>5.4199999999999998E-2</v>
      </c>
      <c r="G167" s="75">
        <f t="shared" si="70"/>
        <v>1339.0649939657465</v>
      </c>
      <c r="H167" s="75">
        <v>0</v>
      </c>
      <c r="I167" s="99">
        <f t="shared" si="75"/>
        <v>16.642132160741642</v>
      </c>
      <c r="J167" s="76">
        <f t="shared" si="74"/>
        <v>18.293462153180268</v>
      </c>
      <c r="K167" s="116">
        <f t="shared" si="65"/>
        <v>34.935594313921911</v>
      </c>
      <c r="L167" s="76">
        <f t="shared" si="76"/>
        <v>206.53536683354963</v>
      </c>
      <c r="M167" s="117">
        <f t="shared" si="66"/>
        <v>241.47096114747154</v>
      </c>
      <c r="N167" s="8">
        <f t="shared" si="67"/>
        <v>1357.3584561189268</v>
      </c>
      <c r="O167" s="75">
        <f t="shared" si="68"/>
        <v>1115.8874949714552</v>
      </c>
    </row>
    <row r="168" spans="1:15" x14ac:dyDescent="0.25">
      <c r="A168" s="78" t="s">
        <v>67</v>
      </c>
      <c r="B168" s="72" t="str">
        <f t="shared" si="73"/>
        <v>Q1/2020</v>
      </c>
      <c r="C168" s="73">
        <f t="shared" si="71"/>
        <v>43831</v>
      </c>
      <c r="D168" s="73">
        <f t="shared" si="72"/>
        <v>43921</v>
      </c>
      <c r="E168" s="72">
        <f t="shared" si="69"/>
        <v>91</v>
      </c>
      <c r="F168" s="74">
        <f>VLOOKUP(D168,'FERC Interest Rate'!$A:$B,2,TRUE)</f>
        <v>4.9599999999999998E-2</v>
      </c>
      <c r="G168" s="75">
        <f t="shared" si="70"/>
        <v>1115.8874949714552</v>
      </c>
      <c r="H168" s="75">
        <v>0</v>
      </c>
      <c r="I168" s="99">
        <f t="shared" si="75"/>
        <v>16.642132160741642</v>
      </c>
      <c r="J168" s="76">
        <f t="shared" si="74"/>
        <v>13.761392888806448</v>
      </c>
      <c r="K168" s="116">
        <f t="shared" si="65"/>
        <v>30.40352504954809</v>
      </c>
      <c r="L168" s="76">
        <f t="shared" si="76"/>
        <v>206.53536683354963</v>
      </c>
      <c r="M168" s="117">
        <f t="shared" si="66"/>
        <v>236.93889188309771</v>
      </c>
      <c r="N168" s="8">
        <f t="shared" si="67"/>
        <v>1129.6488878602618</v>
      </c>
      <c r="O168" s="75">
        <f t="shared" si="68"/>
        <v>892.70999597716389</v>
      </c>
    </row>
    <row r="169" spans="1:15" x14ac:dyDescent="0.25">
      <c r="A169" s="78" t="s">
        <v>68</v>
      </c>
      <c r="B169" s="72" t="str">
        <f t="shared" si="73"/>
        <v>Q2/2020</v>
      </c>
      <c r="C169" s="73">
        <f t="shared" si="71"/>
        <v>43922</v>
      </c>
      <c r="D169" s="73">
        <f t="shared" si="72"/>
        <v>44012</v>
      </c>
      <c r="E169" s="72">
        <f t="shared" si="69"/>
        <v>91</v>
      </c>
      <c r="F169" s="74">
        <f>VLOOKUP(D169,'FERC Interest Rate'!$A:$B,2,TRUE)</f>
        <v>4.7503500000000004E-2</v>
      </c>
      <c r="G169" s="75">
        <f t="shared" si="70"/>
        <v>892.70999597716389</v>
      </c>
      <c r="H169" s="75">
        <v>0</v>
      </c>
      <c r="I169" s="99">
        <f t="shared" si="75"/>
        <v>16.642132160741642</v>
      </c>
      <c r="J169" s="76">
        <f t="shared" si="74"/>
        <v>10.543779469248662</v>
      </c>
      <c r="K169" s="116">
        <f t="shared" si="65"/>
        <v>27.185911629990304</v>
      </c>
      <c r="L169" s="76">
        <f t="shared" si="76"/>
        <v>206.53536683354963</v>
      </c>
      <c r="M169" s="117">
        <f t="shared" si="66"/>
        <v>233.72127846353993</v>
      </c>
      <c r="N169" s="8">
        <f t="shared" si="67"/>
        <v>903.25377544641253</v>
      </c>
      <c r="O169" s="75">
        <f t="shared" si="68"/>
        <v>669.53249698287266</v>
      </c>
    </row>
    <row r="170" spans="1:15" x14ac:dyDescent="0.25">
      <c r="A170" s="78" t="s">
        <v>69</v>
      </c>
      <c r="B170" s="72" t="str">
        <f t="shared" si="73"/>
        <v>Q3/2020</v>
      </c>
      <c r="C170" s="73">
        <f t="shared" si="71"/>
        <v>44013</v>
      </c>
      <c r="D170" s="73">
        <f t="shared" si="72"/>
        <v>44104</v>
      </c>
      <c r="E170" s="72">
        <f t="shared" si="69"/>
        <v>92</v>
      </c>
      <c r="F170" s="74">
        <f>VLOOKUP(D170,'FERC Interest Rate'!$A:$B,2,TRUE)</f>
        <v>4.7507929999999997E-2</v>
      </c>
      <c r="G170" s="75">
        <f t="shared" si="70"/>
        <v>669.53249698287266</v>
      </c>
      <c r="H170" s="75">
        <v>0</v>
      </c>
      <c r="I170" s="99">
        <f t="shared" si="75"/>
        <v>16.642132160741642</v>
      </c>
      <c r="J170" s="76">
        <f t="shared" si="74"/>
        <v>7.9954794424689943</v>
      </c>
      <c r="K170" s="116">
        <f t="shared" si="65"/>
        <v>24.637611603210637</v>
      </c>
      <c r="L170" s="76">
        <f t="shared" si="76"/>
        <v>206.53536683354963</v>
      </c>
      <c r="M170" s="117">
        <f t="shared" si="66"/>
        <v>231.17297843676027</v>
      </c>
      <c r="N170" s="8">
        <f t="shared" si="67"/>
        <v>677.52797642534165</v>
      </c>
      <c r="O170" s="75">
        <f t="shared" si="68"/>
        <v>446.35499798858137</v>
      </c>
    </row>
    <row r="171" spans="1:15" x14ac:dyDescent="0.25">
      <c r="A171" s="78" t="s">
        <v>70</v>
      </c>
      <c r="B171" s="72" t="str">
        <f t="shared" si="73"/>
        <v>Q4/2020</v>
      </c>
      <c r="C171" s="73">
        <f t="shared" si="71"/>
        <v>44105</v>
      </c>
      <c r="D171" s="73">
        <f t="shared" si="72"/>
        <v>44196</v>
      </c>
      <c r="E171" s="72">
        <f t="shared" si="69"/>
        <v>92</v>
      </c>
      <c r="F171" s="74">
        <f>VLOOKUP(D171,'FERC Interest Rate'!$A:$B,2,TRUE)</f>
        <v>4.7922320000000004E-2</v>
      </c>
      <c r="G171" s="75">
        <f t="shared" si="70"/>
        <v>446.35499798858137</v>
      </c>
      <c r="H171" s="75">
        <v>0</v>
      </c>
      <c r="I171" s="99">
        <f t="shared" si="75"/>
        <v>16.642132160741642</v>
      </c>
      <c r="J171" s="76">
        <f t="shared" si="74"/>
        <v>5.376813574708061</v>
      </c>
      <c r="K171" s="116">
        <f t="shared" si="65"/>
        <v>22.018945735449705</v>
      </c>
      <c r="L171" s="76">
        <f t="shared" si="76"/>
        <v>206.53536683354963</v>
      </c>
      <c r="M171" s="117">
        <f t="shared" si="66"/>
        <v>228.55431256899934</v>
      </c>
      <c r="N171" s="8">
        <f t="shared" si="67"/>
        <v>451.73181156328945</v>
      </c>
      <c r="O171" s="75">
        <f t="shared" si="68"/>
        <v>223.17749899429009</v>
      </c>
    </row>
    <row r="172" spans="1:15" x14ac:dyDescent="0.25">
      <c r="A172" s="78" t="s">
        <v>71</v>
      </c>
      <c r="B172" s="72" t="str">
        <f t="shared" si="73"/>
        <v>Q1/2021</v>
      </c>
      <c r="C172" s="73">
        <f t="shared" si="71"/>
        <v>44197</v>
      </c>
      <c r="D172" s="73">
        <f t="shared" si="72"/>
        <v>44286</v>
      </c>
      <c r="E172" s="72">
        <f t="shared" si="69"/>
        <v>90</v>
      </c>
      <c r="F172" s="74">
        <f>VLOOKUP(D172,'FERC Interest Rate'!$A:$B,2,TRUE)</f>
        <v>5.0023470000000007E-2</v>
      </c>
      <c r="G172" s="75">
        <f t="shared" si="70"/>
        <v>223.17749899429009</v>
      </c>
      <c r="H172" s="75">
        <v>0</v>
      </c>
      <c r="I172" s="99">
        <f t="shared" si="75"/>
        <v>16.642132160741642</v>
      </c>
      <c r="J172" s="76">
        <f t="shared" si="74"/>
        <v>2.7527949679600852</v>
      </c>
      <c r="K172" s="116">
        <f t="shared" si="65"/>
        <v>19.394927128701728</v>
      </c>
      <c r="L172" s="76">
        <f t="shared" si="76"/>
        <v>206.53536683354963</v>
      </c>
      <c r="M172" s="117">
        <f t="shared" si="66"/>
        <v>225.93029396225137</v>
      </c>
      <c r="N172" s="8">
        <f t="shared" si="67"/>
        <v>225.93029396225018</v>
      </c>
      <c r="O172" s="75">
        <f t="shared" si="68"/>
        <v>-1.1830536550405668E-12</v>
      </c>
    </row>
    <row r="173" spans="1:15" x14ac:dyDescent="0.25">
      <c r="A173" s="78"/>
      <c r="B173" s="72"/>
      <c r="C173" s="73"/>
      <c r="D173" s="73"/>
      <c r="E173" s="72"/>
      <c r="F173" s="74"/>
      <c r="G173" s="75"/>
      <c r="H173" s="75"/>
      <c r="I173" s="99"/>
      <c r="J173" s="76"/>
      <c r="K173" s="116"/>
      <c r="L173" s="76"/>
      <c r="M173" s="117"/>
      <c r="N173" s="8"/>
      <c r="O173" s="75"/>
    </row>
    <row r="174" spans="1:15" ht="13.5" thickBot="1" x14ac:dyDescent="0.35">
      <c r="A174" s="142"/>
      <c r="B174" s="143"/>
      <c r="C174" s="144"/>
      <c r="D174" s="144"/>
      <c r="E174" s="145"/>
      <c r="F174" s="143"/>
      <c r="G174" s="124">
        <f>SUM(G147:G173)</f>
        <v>72995.956819199491</v>
      </c>
      <c r="H174" s="124">
        <f>SUM(H147:H173)</f>
        <v>332.84264321483283</v>
      </c>
      <c r="I174" s="125">
        <f t="shared" ref="I174:O174" si="77">SUM(I147:I173)</f>
        <v>332.84264321483295</v>
      </c>
      <c r="J174" s="124">
        <f t="shared" si="77"/>
        <v>385.2584226069265</v>
      </c>
      <c r="K174" s="124">
        <f t="shared" si="77"/>
        <v>718.10106582175945</v>
      </c>
      <c r="L174" s="124">
        <f t="shared" si="77"/>
        <v>4130.7073366709928</v>
      </c>
      <c r="M174" s="126">
        <f t="shared" si="77"/>
        <v>4848.8084024927512</v>
      </c>
      <c r="N174" s="124">
        <f t="shared" si="77"/>
        <v>73714.057885021248</v>
      </c>
      <c r="O174" s="124">
        <f t="shared" si="77"/>
        <v>68865.249482528496</v>
      </c>
    </row>
    <row r="175" spans="1:15" ht="13" thickTop="1" x14ac:dyDescent="0.25">
      <c r="B175" s="103"/>
      <c r="C175" s="103"/>
      <c r="D175" s="103"/>
      <c r="E175" s="103"/>
      <c r="F175" s="103"/>
      <c r="G175" s="103"/>
      <c r="H175" s="103"/>
      <c r="I175" s="102"/>
      <c r="J175" s="103"/>
      <c r="K175" s="103"/>
      <c r="L175" s="103"/>
      <c r="M175" s="118"/>
      <c r="O175" s="103"/>
    </row>
    <row r="176" spans="1:15" ht="39" x14ac:dyDescent="0.3">
      <c r="A176" s="77" t="s">
        <v>51</v>
      </c>
      <c r="B176" s="77" t="s">
        <v>3</v>
      </c>
      <c r="C176" s="77" t="s">
        <v>4</v>
      </c>
      <c r="D176" s="77" t="s">
        <v>5</v>
      </c>
      <c r="E176" s="77" t="s">
        <v>6</v>
      </c>
      <c r="F176" s="77" t="s">
        <v>7</v>
      </c>
      <c r="G176" s="77" t="s">
        <v>92</v>
      </c>
      <c r="H176" s="77" t="s">
        <v>93</v>
      </c>
      <c r="I176" s="94" t="s">
        <v>94</v>
      </c>
      <c r="J176" s="95" t="s">
        <v>95</v>
      </c>
      <c r="K176" s="95" t="s">
        <v>96</v>
      </c>
      <c r="L176" s="95" t="s">
        <v>97</v>
      </c>
      <c r="M176" s="96" t="s">
        <v>98</v>
      </c>
      <c r="N176" s="77" t="s">
        <v>99</v>
      </c>
      <c r="O176" s="77" t="s">
        <v>100</v>
      </c>
    </row>
    <row r="177" spans="1:15" ht="13" x14ac:dyDescent="0.3">
      <c r="A177" s="347" t="s">
        <v>14</v>
      </c>
      <c r="B177" s="347"/>
      <c r="C177" s="73">
        <f>VLOOKUP(B178,A$1:F$25,2,FALSE)</f>
        <v>42058</v>
      </c>
      <c r="D177" s="73">
        <f>DATE(YEAR(C177),IF(MONTH(C177)&lt;=3,3,IF(MONTH(C177)&lt;=6,6,IF(MONTH(C177)&lt;=9,9,12))),IF(OR(MONTH(C177)&lt;=3,MONTH(C177)&gt;=10),31,30))</f>
        <v>42094</v>
      </c>
      <c r="E177" s="72">
        <f>D177-C177+1</f>
        <v>37</v>
      </c>
      <c r="F177" s="74">
        <f>VLOOKUP(D177,'FERC Interest Rate'!$A:$B,2,TRUE)</f>
        <v>3.2500000000000001E-2</v>
      </c>
      <c r="G177" s="75">
        <f>VLOOKUP(B178,$A$1:$F$29,5,FALSE)</f>
        <v>3923.479325050992</v>
      </c>
      <c r="H177" s="75">
        <f t="shared" ref="H177:H185" si="78">G177*F177*(E177/(DATE(YEAR(D177),12,31)-DATE(YEAR(D177),1,1)+1))</f>
        <v>12.925983255818679</v>
      </c>
      <c r="I177" s="180">
        <v>0</v>
      </c>
      <c r="J177" s="76">
        <v>0</v>
      </c>
      <c r="K177" s="116">
        <f t="shared" ref="K177:K201" si="79">+SUM(I177:J177)</f>
        <v>0</v>
      </c>
      <c r="L177" s="76">
        <v>0</v>
      </c>
      <c r="M177" s="117">
        <f t="shared" ref="M177:M201" si="80">+SUM(K177:L177)</f>
        <v>0</v>
      </c>
      <c r="N177" s="8">
        <f t="shared" ref="N177:N201" si="81">+G177+H177+J177</f>
        <v>3936.4053083068106</v>
      </c>
      <c r="O177" s="75">
        <f t="shared" ref="O177:O201" si="82">G177+H177-L177-I177</f>
        <v>3936.4053083068106</v>
      </c>
    </row>
    <row r="178" spans="1:15" ht="13" x14ac:dyDescent="0.3">
      <c r="A178" s="110" t="s">
        <v>40</v>
      </c>
      <c r="B178" s="141" t="s">
        <v>56</v>
      </c>
      <c r="C178" s="73">
        <f>D177+1</f>
        <v>42095</v>
      </c>
      <c r="D178" s="73">
        <f>EOMONTH(D177,3)</f>
        <v>42185</v>
      </c>
      <c r="E178" s="72">
        <f t="shared" ref="E178:E201" si="83">D178-C178+1</f>
        <v>91</v>
      </c>
      <c r="F178" s="74">
        <f>VLOOKUP(D178,'FERC Interest Rate'!$A:$B,2,TRUE)</f>
        <v>3.2500000000000001E-2</v>
      </c>
      <c r="G178" s="75">
        <f t="shared" ref="G178:G201" si="84">O177</f>
        <v>3936.4053083068106</v>
      </c>
      <c r="H178" s="75">
        <f t="shared" si="78"/>
        <v>31.895667669362719</v>
      </c>
      <c r="I178" s="180">
        <v>0</v>
      </c>
      <c r="J178" s="76">
        <v>0</v>
      </c>
      <c r="K178" s="116">
        <f t="shared" si="79"/>
        <v>0</v>
      </c>
      <c r="L178" s="76">
        <v>0</v>
      </c>
      <c r="M178" s="117">
        <f t="shared" si="80"/>
        <v>0</v>
      </c>
      <c r="N178" s="8">
        <f t="shared" si="81"/>
        <v>3968.3009759761735</v>
      </c>
      <c r="O178" s="75">
        <f t="shared" si="82"/>
        <v>3968.3009759761735</v>
      </c>
    </row>
    <row r="179" spans="1:15" ht="13" x14ac:dyDescent="0.3">
      <c r="B179" s="301"/>
      <c r="C179" s="73">
        <f t="shared" ref="C179:C201" si="85">D178+1</f>
        <v>42186</v>
      </c>
      <c r="D179" s="73">
        <f t="shared" ref="D179:D201" si="86">EOMONTH(D178,3)</f>
        <v>42277</v>
      </c>
      <c r="E179" s="72">
        <f t="shared" si="83"/>
        <v>92</v>
      </c>
      <c r="F179" s="74">
        <f>VLOOKUP(D179,'FERC Interest Rate'!$A:$B,2,TRUE)</f>
        <v>3.2500000000000001E-2</v>
      </c>
      <c r="G179" s="75">
        <f t="shared" si="84"/>
        <v>3968.3009759761735</v>
      </c>
      <c r="H179" s="75">
        <f t="shared" si="78"/>
        <v>32.507451830599344</v>
      </c>
      <c r="I179" s="180">
        <v>0</v>
      </c>
      <c r="J179" s="76">
        <v>0</v>
      </c>
      <c r="K179" s="116">
        <f t="shared" si="79"/>
        <v>0</v>
      </c>
      <c r="L179" s="76">
        <v>0</v>
      </c>
      <c r="M179" s="117">
        <f t="shared" si="80"/>
        <v>0</v>
      </c>
      <c r="N179" s="8">
        <f t="shared" si="81"/>
        <v>4000.8084278067727</v>
      </c>
      <c r="O179" s="75">
        <f t="shared" si="82"/>
        <v>4000.8084278067727</v>
      </c>
    </row>
    <row r="180" spans="1:15" ht="13" x14ac:dyDescent="0.3">
      <c r="B180" s="301"/>
      <c r="C180" s="73">
        <f t="shared" si="85"/>
        <v>42278</v>
      </c>
      <c r="D180" s="73">
        <f t="shared" si="86"/>
        <v>42369</v>
      </c>
      <c r="E180" s="72">
        <f t="shared" si="83"/>
        <v>92</v>
      </c>
      <c r="F180" s="74">
        <f>VLOOKUP(D180,'FERC Interest Rate'!$A:$B,2,TRUE)</f>
        <v>3.2500000000000001E-2</v>
      </c>
      <c r="G180" s="75">
        <f t="shared" si="84"/>
        <v>4000.8084278067727</v>
      </c>
      <c r="H180" s="75">
        <f t="shared" si="78"/>
        <v>32.773745751074664</v>
      </c>
      <c r="I180" s="180">
        <v>0</v>
      </c>
      <c r="J180" s="76">
        <v>0</v>
      </c>
      <c r="K180" s="116">
        <f t="shared" si="79"/>
        <v>0</v>
      </c>
      <c r="L180" s="76">
        <v>0</v>
      </c>
      <c r="M180" s="117">
        <f t="shared" si="80"/>
        <v>0</v>
      </c>
      <c r="N180" s="8">
        <f t="shared" si="81"/>
        <v>4033.5821735578475</v>
      </c>
      <c r="O180" s="75">
        <f t="shared" si="82"/>
        <v>4033.5821735578475</v>
      </c>
    </row>
    <row r="181" spans="1:15" ht="13" x14ac:dyDescent="0.3">
      <c r="B181" s="301"/>
      <c r="C181" s="73">
        <f t="shared" si="85"/>
        <v>42370</v>
      </c>
      <c r="D181" s="73">
        <f t="shared" si="86"/>
        <v>42460</v>
      </c>
      <c r="E181" s="72">
        <f t="shared" si="83"/>
        <v>91</v>
      </c>
      <c r="F181" s="74">
        <f>VLOOKUP(D181,'FERC Interest Rate'!$A:$B,2,TRUE)</f>
        <v>3.2500000000000001E-2</v>
      </c>
      <c r="G181" s="75">
        <f t="shared" si="84"/>
        <v>4033.5821735578475</v>
      </c>
      <c r="H181" s="75">
        <f t="shared" si="78"/>
        <v>32.593768519938074</v>
      </c>
      <c r="I181" s="180">
        <v>0</v>
      </c>
      <c r="J181" s="76">
        <v>0</v>
      </c>
      <c r="K181" s="116">
        <f t="shared" si="79"/>
        <v>0</v>
      </c>
      <c r="L181" s="76">
        <v>0</v>
      </c>
      <c r="M181" s="117">
        <f t="shared" si="80"/>
        <v>0</v>
      </c>
      <c r="N181" s="8">
        <f t="shared" si="81"/>
        <v>4066.1759420777857</v>
      </c>
      <c r="O181" s="75">
        <f t="shared" si="82"/>
        <v>4066.1759420777857</v>
      </c>
    </row>
    <row r="182" spans="1:15" x14ac:dyDescent="0.25">
      <c r="A182" s="78"/>
      <c r="B182" s="72"/>
      <c r="C182" s="73">
        <f t="shared" si="85"/>
        <v>42461</v>
      </c>
      <c r="D182" s="73">
        <f t="shared" si="86"/>
        <v>42551</v>
      </c>
      <c r="E182" s="72">
        <f t="shared" si="83"/>
        <v>91</v>
      </c>
      <c r="F182" s="74">
        <f>VLOOKUP(D182,'FERC Interest Rate'!$A:$B,2,TRUE)</f>
        <v>3.4599999999999999E-2</v>
      </c>
      <c r="G182" s="75">
        <f t="shared" si="84"/>
        <v>4066.1759420777857</v>
      </c>
      <c r="H182" s="75">
        <f t="shared" si="78"/>
        <v>34.980222872202496</v>
      </c>
      <c r="I182" s="180">
        <v>0</v>
      </c>
      <c r="J182" s="76">
        <v>0</v>
      </c>
      <c r="K182" s="116">
        <f t="shared" si="79"/>
        <v>0</v>
      </c>
      <c r="L182" s="76">
        <v>0</v>
      </c>
      <c r="M182" s="117">
        <f t="shared" si="80"/>
        <v>0</v>
      </c>
      <c r="N182" s="8">
        <f t="shared" si="81"/>
        <v>4101.1561649499881</v>
      </c>
      <c r="O182" s="75">
        <f t="shared" si="82"/>
        <v>4101.1561649499881</v>
      </c>
    </row>
    <row r="183" spans="1:15" x14ac:dyDescent="0.25">
      <c r="A183" s="309"/>
      <c r="B183" s="72"/>
      <c r="C183" s="73">
        <f t="shared" si="85"/>
        <v>42552</v>
      </c>
      <c r="D183" s="73">
        <f t="shared" si="86"/>
        <v>42643</v>
      </c>
      <c r="E183" s="72">
        <f t="shared" si="83"/>
        <v>92</v>
      </c>
      <c r="F183" s="74">
        <f>VLOOKUP(D183,'FERC Interest Rate'!$A:$B,2,TRUE)</f>
        <v>3.5000000000000003E-2</v>
      </c>
      <c r="G183" s="75">
        <f t="shared" si="84"/>
        <v>4101.1561649499881</v>
      </c>
      <c r="H183" s="75">
        <f t="shared" si="78"/>
        <v>36.081209975789513</v>
      </c>
      <c r="I183" s="180">
        <v>0</v>
      </c>
      <c r="J183" s="76">
        <v>0</v>
      </c>
      <c r="K183" s="116">
        <f t="shared" si="79"/>
        <v>0</v>
      </c>
      <c r="L183" s="76">
        <v>0</v>
      </c>
      <c r="M183" s="117">
        <f t="shared" si="80"/>
        <v>0</v>
      </c>
      <c r="N183" s="8">
        <f t="shared" si="81"/>
        <v>4137.2373749257777</v>
      </c>
      <c r="O183" s="75">
        <f t="shared" si="82"/>
        <v>4137.2373749257777</v>
      </c>
    </row>
    <row r="184" spans="1:15" x14ac:dyDescent="0.25">
      <c r="A184" s="78"/>
      <c r="B184" s="72"/>
      <c r="C184" s="73">
        <f t="shared" si="85"/>
        <v>42644</v>
      </c>
      <c r="D184" s="73">
        <f t="shared" si="86"/>
        <v>42735</v>
      </c>
      <c r="E184" s="72">
        <f t="shared" si="83"/>
        <v>92</v>
      </c>
      <c r="F184" s="74">
        <f>VLOOKUP(D184,'FERC Interest Rate'!$A:$B,2,TRUE)</f>
        <v>3.5000000000000003E-2</v>
      </c>
      <c r="G184" s="75">
        <f t="shared" si="84"/>
        <v>4137.2373749257777</v>
      </c>
      <c r="H184" s="75">
        <f t="shared" si="78"/>
        <v>36.398645757543733</v>
      </c>
      <c r="I184" s="180">
        <v>0</v>
      </c>
      <c r="J184" s="76">
        <v>0</v>
      </c>
      <c r="K184" s="116">
        <f t="shared" si="79"/>
        <v>0</v>
      </c>
      <c r="L184" s="76">
        <v>0</v>
      </c>
      <c r="M184" s="117">
        <f t="shared" si="80"/>
        <v>0</v>
      </c>
      <c r="N184" s="8">
        <f t="shared" si="81"/>
        <v>4173.6360206833215</v>
      </c>
      <c r="O184" s="75">
        <f t="shared" si="82"/>
        <v>4173.6360206833215</v>
      </c>
    </row>
    <row r="185" spans="1:15" x14ac:dyDescent="0.25">
      <c r="A185" s="78" t="s">
        <v>101</v>
      </c>
      <c r="B185" s="72" t="str">
        <f t="shared" ref="B185:B201" si="87">+IF(MONTH(C185)&lt;4,"Q1",IF(MONTH(C185)&lt;7,"Q2",IF(MONTH(C185)&lt;10,"Q3","Q4")))&amp;"/"&amp;YEAR(C185)</f>
        <v>Q1/2017</v>
      </c>
      <c r="C185" s="73">
        <f t="shared" si="85"/>
        <v>42736</v>
      </c>
      <c r="D185" s="73">
        <f t="shared" si="86"/>
        <v>42825</v>
      </c>
      <c r="E185" s="72">
        <f t="shared" si="83"/>
        <v>90</v>
      </c>
      <c r="F185" s="74">
        <f>VLOOKUP(D185,'FERC Interest Rate'!$A:$B,2,TRUE)</f>
        <v>3.5000000000000003E-2</v>
      </c>
      <c r="G185" s="75">
        <f t="shared" si="84"/>
        <v>4173.6360206833215</v>
      </c>
      <c r="H185" s="75">
        <f t="shared" si="78"/>
        <v>36.0190505894588</v>
      </c>
      <c r="I185" s="180">
        <f>SUM($H$177:$H$202)/20*4</f>
        <v>57.235149244357601</v>
      </c>
      <c r="J185" s="76">
        <f t="shared" ref="J185:J201" si="88">G185*F185*(E185/(DATE(YEAR(D185),12,31)-DATE(YEAR(D185),1,1)+1))</f>
        <v>36.0190505894588</v>
      </c>
      <c r="K185" s="116">
        <f t="shared" si="79"/>
        <v>93.254199833816401</v>
      </c>
      <c r="L185" s="76">
        <f>VLOOKUP($B$178,A$1:F$25,5,FALSE)/20*4</f>
        <v>784.69586501019842</v>
      </c>
      <c r="M185" s="117">
        <f t="shared" si="80"/>
        <v>877.95006484401483</v>
      </c>
      <c r="N185" s="8">
        <f t="shared" si="81"/>
        <v>4245.6741218622392</v>
      </c>
      <c r="O185" s="75">
        <f t="shared" si="82"/>
        <v>3367.7240570182244</v>
      </c>
    </row>
    <row r="186" spans="1:15" x14ac:dyDescent="0.25">
      <c r="A186" s="78" t="s">
        <v>56</v>
      </c>
      <c r="B186" s="72" t="str">
        <f t="shared" si="87"/>
        <v>Q2/2017</v>
      </c>
      <c r="C186" s="73">
        <f t="shared" si="85"/>
        <v>42826</v>
      </c>
      <c r="D186" s="73">
        <f t="shared" si="86"/>
        <v>42916</v>
      </c>
      <c r="E186" s="72">
        <f t="shared" si="83"/>
        <v>91</v>
      </c>
      <c r="F186" s="74">
        <f>VLOOKUP(D186,'FERC Interest Rate'!$A:$B,2,TRUE)</f>
        <v>3.7100000000000001E-2</v>
      </c>
      <c r="G186" s="75">
        <f t="shared" si="84"/>
        <v>3367.7240570182244</v>
      </c>
      <c r="H186" s="75">
        <v>0</v>
      </c>
      <c r="I186" s="99">
        <f>SUM($H$177:$H$202)/20</f>
        <v>14.3087873110894</v>
      </c>
      <c r="J186" s="76">
        <f t="shared" si="88"/>
        <v>31.15006353123076</v>
      </c>
      <c r="K186" s="116">
        <f t="shared" si="79"/>
        <v>45.45885084232016</v>
      </c>
      <c r="L186" s="76">
        <f t="shared" ref="L186:L201" si="89">VLOOKUP($B$178,A$1:F$25,5,FALSE)/20</f>
        <v>196.1739662525496</v>
      </c>
      <c r="M186" s="117">
        <f t="shared" si="80"/>
        <v>241.63281709486978</v>
      </c>
      <c r="N186" s="8">
        <f t="shared" si="81"/>
        <v>3398.8741205494553</v>
      </c>
      <c r="O186" s="75">
        <f t="shared" si="82"/>
        <v>3157.2413034545852</v>
      </c>
    </row>
    <row r="187" spans="1:15" x14ac:dyDescent="0.25">
      <c r="A187" s="78" t="s">
        <v>57</v>
      </c>
      <c r="B187" s="72" t="str">
        <f t="shared" si="87"/>
        <v>Q3/2017</v>
      </c>
      <c r="C187" s="73">
        <f t="shared" si="85"/>
        <v>42917</v>
      </c>
      <c r="D187" s="73">
        <f t="shared" si="86"/>
        <v>43008</v>
      </c>
      <c r="E187" s="72">
        <f t="shared" si="83"/>
        <v>92</v>
      </c>
      <c r="F187" s="74">
        <f>VLOOKUP(D187,'FERC Interest Rate'!$A:$B,2,TRUE)</f>
        <v>3.9600000000000003E-2</v>
      </c>
      <c r="G187" s="75">
        <f t="shared" si="84"/>
        <v>3157.2413034545852</v>
      </c>
      <c r="H187" s="75">
        <v>0</v>
      </c>
      <c r="I187" s="99">
        <f>SUM($H$177:$H$202)/20</f>
        <v>14.3087873110894</v>
      </c>
      <c r="J187" s="76">
        <f t="shared" si="88"/>
        <v>31.51359319656369</v>
      </c>
      <c r="K187" s="116">
        <f t="shared" si="79"/>
        <v>45.822380507653094</v>
      </c>
      <c r="L187" s="76">
        <f t="shared" si="89"/>
        <v>196.1739662525496</v>
      </c>
      <c r="M187" s="117">
        <f t="shared" si="80"/>
        <v>241.9963467602027</v>
      </c>
      <c r="N187" s="8">
        <f t="shared" si="81"/>
        <v>3188.754896651149</v>
      </c>
      <c r="O187" s="75">
        <f t="shared" si="82"/>
        <v>2946.7585498909461</v>
      </c>
    </row>
    <row r="188" spans="1:15" x14ac:dyDescent="0.25">
      <c r="A188" s="78" t="s">
        <v>58</v>
      </c>
      <c r="B188" s="72" t="str">
        <f t="shared" si="87"/>
        <v>Q4/2017</v>
      </c>
      <c r="C188" s="73">
        <f t="shared" si="85"/>
        <v>43009</v>
      </c>
      <c r="D188" s="73">
        <f t="shared" si="86"/>
        <v>43100</v>
      </c>
      <c r="E188" s="72">
        <f t="shared" si="83"/>
        <v>92</v>
      </c>
      <c r="F188" s="74">
        <f>VLOOKUP(D188,'FERC Interest Rate'!$A:$B,2,TRUE)</f>
        <v>4.2099999999999999E-2</v>
      </c>
      <c r="G188" s="75">
        <f t="shared" si="84"/>
        <v>2946.7585498909461</v>
      </c>
      <c r="H188" s="75">
        <v>0</v>
      </c>
      <c r="I188" s="99">
        <f t="shared" ref="I188:I201" si="90">SUM($H$177:$H$202)/20</f>
        <v>14.3087873110894</v>
      </c>
      <c r="J188" s="76">
        <f t="shared" si="88"/>
        <v>31.269548535445516</v>
      </c>
      <c r="K188" s="116">
        <f t="shared" si="79"/>
        <v>45.578335846534912</v>
      </c>
      <c r="L188" s="76">
        <f t="shared" si="89"/>
        <v>196.1739662525496</v>
      </c>
      <c r="M188" s="117">
        <f t="shared" si="80"/>
        <v>241.75230209908452</v>
      </c>
      <c r="N188" s="8">
        <f t="shared" si="81"/>
        <v>2978.0280984263918</v>
      </c>
      <c r="O188" s="75">
        <f t="shared" si="82"/>
        <v>2736.275796327307</v>
      </c>
    </row>
    <row r="189" spans="1:15" x14ac:dyDescent="0.25">
      <c r="A189" s="78" t="s">
        <v>59</v>
      </c>
      <c r="B189" s="72" t="str">
        <f t="shared" si="87"/>
        <v>Q1/2018</v>
      </c>
      <c r="C189" s="73">
        <f t="shared" si="85"/>
        <v>43101</v>
      </c>
      <c r="D189" s="73">
        <f t="shared" si="86"/>
        <v>43190</v>
      </c>
      <c r="E189" s="72">
        <f t="shared" si="83"/>
        <v>90</v>
      </c>
      <c r="F189" s="74">
        <f>VLOOKUP(D189,'FERC Interest Rate'!$A:$B,2,TRUE)</f>
        <v>4.2500000000000003E-2</v>
      </c>
      <c r="G189" s="75">
        <f t="shared" si="84"/>
        <v>2736.275796327307</v>
      </c>
      <c r="H189" s="75">
        <v>0</v>
      </c>
      <c r="I189" s="99">
        <f t="shared" si="90"/>
        <v>14.3087873110894</v>
      </c>
      <c r="J189" s="76">
        <f t="shared" si="88"/>
        <v>28.674671016306711</v>
      </c>
      <c r="K189" s="116">
        <f t="shared" si="79"/>
        <v>42.983458327396107</v>
      </c>
      <c r="L189" s="76">
        <f t="shared" si="89"/>
        <v>196.1739662525496</v>
      </c>
      <c r="M189" s="117">
        <f t="shared" si="80"/>
        <v>239.15742457994571</v>
      </c>
      <c r="N189" s="8">
        <f t="shared" si="81"/>
        <v>2764.9504673436136</v>
      </c>
      <c r="O189" s="75">
        <f t="shared" si="82"/>
        <v>2525.7930427636679</v>
      </c>
    </row>
    <row r="190" spans="1:15" x14ac:dyDescent="0.25">
      <c r="A190" s="78" t="s">
        <v>60</v>
      </c>
      <c r="B190" s="72" t="str">
        <f t="shared" si="87"/>
        <v>Q2/2018</v>
      </c>
      <c r="C190" s="73">
        <f t="shared" si="85"/>
        <v>43191</v>
      </c>
      <c r="D190" s="73">
        <f t="shared" si="86"/>
        <v>43281</v>
      </c>
      <c r="E190" s="72">
        <f t="shared" si="83"/>
        <v>91</v>
      </c>
      <c r="F190" s="74">
        <f>VLOOKUP(D190,'FERC Interest Rate'!$A:$B,2,TRUE)</f>
        <v>4.4699999999999997E-2</v>
      </c>
      <c r="G190" s="75">
        <f t="shared" si="84"/>
        <v>2525.7930427636679</v>
      </c>
      <c r="H190" s="75">
        <v>0</v>
      </c>
      <c r="I190" s="99">
        <f t="shared" si="90"/>
        <v>14.3087873110894</v>
      </c>
      <c r="J190" s="76">
        <f t="shared" si="88"/>
        <v>28.148406465889785</v>
      </c>
      <c r="K190" s="116">
        <f t="shared" si="79"/>
        <v>42.457193776979182</v>
      </c>
      <c r="L190" s="76">
        <f t="shared" si="89"/>
        <v>196.1739662525496</v>
      </c>
      <c r="M190" s="117">
        <f t="shared" si="80"/>
        <v>238.63116002952879</v>
      </c>
      <c r="N190" s="8">
        <f t="shared" si="81"/>
        <v>2553.9414492295577</v>
      </c>
      <c r="O190" s="75">
        <f t="shared" si="82"/>
        <v>2315.3102892000288</v>
      </c>
    </row>
    <row r="191" spans="1:15" x14ac:dyDescent="0.25">
      <c r="A191" s="78" t="s">
        <v>61</v>
      </c>
      <c r="B191" s="72" t="str">
        <f t="shared" si="87"/>
        <v>Q3/2018</v>
      </c>
      <c r="C191" s="73">
        <f t="shared" si="85"/>
        <v>43282</v>
      </c>
      <c r="D191" s="73">
        <f t="shared" si="86"/>
        <v>43373</v>
      </c>
      <c r="E191" s="72">
        <f t="shared" si="83"/>
        <v>92</v>
      </c>
      <c r="F191" s="74">
        <f>VLOOKUP(D191,'FERC Interest Rate'!$A:$B,2,TRUE)</f>
        <v>4.6899999999999997E-2</v>
      </c>
      <c r="G191" s="75">
        <f t="shared" si="84"/>
        <v>2315.3102892000288</v>
      </c>
      <c r="H191" s="75">
        <v>0</v>
      </c>
      <c r="I191" s="99">
        <f t="shared" si="90"/>
        <v>14.3087873110894</v>
      </c>
      <c r="J191" s="76">
        <f t="shared" si="88"/>
        <v>27.370139276274752</v>
      </c>
      <c r="K191" s="116">
        <f t="shared" si="79"/>
        <v>41.678926587364153</v>
      </c>
      <c r="L191" s="76">
        <f t="shared" si="89"/>
        <v>196.1739662525496</v>
      </c>
      <c r="M191" s="117">
        <f t="shared" si="80"/>
        <v>237.85289283991375</v>
      </c>
      <c r="N191" s="8">
        <f t="shared" si="81"/>
        <v>2342.6804284763034</v>
      </c>
      <c r="O191" s="75">
        <f t="shared" si="82"/>
        <v>2104.8275356363897</v>
      </c>
    </row>
    <row r="192" spans="1:15" x14ac:dyDescent="0.25">
      <c r="A192" s="78" t="s">
        <v>62</v>
      </c>
      <c r="B192" s="72" t="str">
        <f t="shared" si="87"/>
        <v>Q4/2018</v>
      </c>
      <c r="C192" s="73">
        <f t="shared" si="85"/>
        <v>43374</v>
      </c>
      <c r="D192" s="73">
        <f t="shared" si="86"/>
        <v>43465</v>
      </c>
      <c r="E192" s="72">
        <f t="shared" si="83"/>
        <v>92</v>
      </c>
      <c r="F192" s="74">
        <f>VLOOKUP(D192,'FERC Interest Rate'!$A:$B,2,TRUE)</f>
        <v>4.9599999999999998E-2</v>
      </c>
      <c r="G192" s="75">
        <f t="shared" si="84"/>
        <v>2104.8275356363897</v>
      </c>
      <c r="H192" s="75">
        <v>0</v>
      </c>
      <c r="I192" s="99">
        <f t="shared" si="90"/>
        <v>14.3087873110894</v>
      </c>
      <c r="J192" s="76">
        <f t="shared" si="88"/>
        <v>26.314380851002667</v>
      </c>
      <c r="K192" s="116">
        <f t="shared" si="79"/>
        <v>40.623168162092071</v>
      </c>
      <c r="L192" s="76">
        <f t="shared" si="89"/>
        <v>196.1739662525496</v>
      </c>
      <c r="M192" s="117">
        <f t="shared" si="80"/>
        <v>236.79713441464168</v>
      </c>
      <c r="N192" s="8">
        <f t="shared" si="81"/>
        <v>2131.1419164873923</v>
      </c>
      <c r="O192" s="75">
        <f t="shared" si="82"/>
        <v>1894.3447820727506</v>
      </c>
    </row>
    <row r="193" spans="1:15" x14ac:dyDescent="0.25">
      <c r="A193" s="78" t="s">
        <v>63</v>
      </c>
      <c r="B193" s="72" t="str">
        <f t="shared" si="87"/>
        <v>Q1/2019</v>
      </c>
      <c r="C193" s="73">
        <f t="shared" si="85"/>
        <v>43466</v>
      </c>
      <c r="D193" s="73">
        <f t="shared" si="86"/>
        <v>43555</v>
      </c>
      <c r="E193" s="72">
        <f t="shared" si="83"/>
        <v>90</v>
      </c>
      <c r="F193" s="74">
        <f>VLOOKUP(D193,'FERC Interest Rate'!$A:$B,2,TRUE)</f>
        <v>5.1799999999999999E-2</v>
      </c>
      <c r="G193" s="75">
        <f t="shared" si="84"/>
        <v>1894.3447820727506</v>
      </c>
      <c r="H193" s="75">
        <v>0</v>
      </c>
      <c r="I193" s="99">
        <f t="shared" si="90"/>
        <v>14.3087873110894</v>
      </c>
      <c r="J193" s="76">
        <f t="shared" si="88"/>
        <v>24.195713353488117</v>
      </c>
      <c r="K193" s="116">
        <f t="shared" si="79"/>
        <v>38.50450066457752</v>
      </c>
      <c r="L193" s="76">
        <f t="shared" si="89"/>
        <v>196.1739662525496</v>
      </c>
      <c r="M193" s="117">
        <f t="shared" si="80"/>
        <v>234.67846691712714</v>
      </c>
      <c r="N193" s="8">
        <f t="shared" si="81"/>
        <v>1918.5404954262387</v>
      </c>
      <c r="O193" s="75">
        <f t="shared" si="82"/>
        <v>1683.8620285091115</v>
      </c>
    </row>
    <row r="194" spans="1:15" x14ac:dyDescent="0.25">
      <c r="A194" s="78" t="s">
        <v>64</v>
      </c>
      <c r="B194" s="72" t="str">
        <f t="shared" si="87"/>
        <v>Q2/2019</v>
      </c>
      <c r="C194" s="73">
        <f t="shared" si="85"/>
        <v>43556</v>
      </c>
      <c r="D194" s="73">
        <f t="shared" si="86"/>
        <v>43646</v>
      </c>
      <c r="E194" s="72">
        <f t="shared" si="83"/>
        <v>91</v>
      </c>
      <c r="F194" s="74">
        <f>VLOOKUP(D194,'FERC Interest Rate'!$A:$B,2,TRUE)</f>
        <v>5.45E-2</v>
      </c>
      <c r="G194" s="75">
        <f t="shared" si="84"/>
        <v>1683.8620285091115</v>
      </c>
      <c r="H194" s="75">
        <v>0</v>
      </c>
      <c r="I194" s="99">
        <f t="shared" si="90"/>
        <v>14.3087873110894</v>
      </c>
      <c r="J194" s="76">
        <f t="shared" si="88"/>
        <v>22.879763644906681</v>
      </c>
      <c r="K194" s="116">
        <f t="shared" si="79"/>
        <v>37.188550955996078</v>
      </c>
      <c r="L194" s="76">
        <f t="shared" si="89"/>
        <v>196.1739662525496</v>
      </c>
      <c r="M194" s="117">
        <f t="shared" si="80"/>
        <v>233.36251720854568</v>
      </c>
      <c r="N194" s="8">
        <f t="shared" si="81"/>
        <v>1706.7417921540182</v>
      </c>
      <c r="O194" s="75">
        <f t="shared" si="82"/>
        <v>1473.3792749454724</v>
      </c>
    </row>
    <row r="195" spans="1:15" x14ac:dyDescent="0.25">
      <c r="A195" s="78" t="s">
        <v>65</v>
      </c>
      <c r="B195" s="72" t="str">
        <f t="shared" si="87"/>
        <v>Q3/2019</v>
      </c>
      <c r="C195" s="73">
        <f t="shared" si="85"/>
        <v>43647</v>
      </c>
      <c r="D195" s="73">
        <f t="shared" si="86"/>
        <v>43738</v>
      </c>
      <c r="E195" s="72">
        <f t="shared" si="83"/>
        <v>92</v>
      </c>
      <c r="F195" s="74">
        <f>VLOOKUP(D195,'FERC Interest Rate'!$A:$B,2,TRUE)</f>
        <v>5.5E-2</v>
      </c>
      <c r="G195" s="75">
        <f t="shared" si="84"/>
        <v>1473.3792749454724</v>
      </c>
      <c r="H195" s="75">
        <v>0</v>
      </c>
      <c r="I195" s="99">
        <f t="shared" si="90"/>
        <v>14.3087873110894</v>
      </c>
      <c r="J195" s="76">
        <f t="shared" si="88"/>
        <v>20.425477071846824</v>
      </c>
      <c r="K195" s="116">
        <f t="shared" si="79"/>
        <v>34.734264382936225</v>
      </c>
      <c r="L195" s="76">
        <f t="shared" si="89"/>
        <v>196.1739662525496</v>
      </c>
      <c r="M195" s="117">
        <f t="shared" si="80"/>
        <v>230.90823063548584</v>
      </c>
      <c r="N195" s="8">
        <f t="shared" si="81"/>
        <v>1493.8047520173193</v>
      </c>
      <c r="O195" s="75">
        <f t="shared" si="82"/>
        <v>1262.8965213818333</v>
      </c>
    </row>
    <row r="196" spans="1:15" x14ac:dyDescent="0.25">
      <c r="A196" s="78" t="s">
        <v>66</v>
      </c>
      <c r="B196" s="72" t="str">
        <f t="shared" si="87"/>
        <v>Q4/2019</v>
      </c>
      <c r="C196" s="73">
        <f t="shared" si="85"/>
        <v>43739</v>
      </c>
      <c r="D196" s="73">
        <f t="shared" si="86"/>
        <v>43830</v>
      </c>
      <c r="E196" s="72">
        <f t="shared" si="83"/>
        <v>92</v>
      </c>
      <c r="F196" s="74">
        <f>VLOOKUP(D196,'FERC Interest Rate'!$A:$B,2,TRUE)</f>
        <v>5.4199999999999998E-2</v>
      </c>
      <c r="G196" s="75">
        <f t="shared" si="84"/>
        <v>1262.8965213818333</v>
      </c>
      <c r="H196" s="75">
        <v>0</v>
      </c>
      <c r="I196" s="99">
        <f t="shared" si="90"/>
        <v>14.3087873110894</v>
      </c>
      <c r="J196" s="76">
        <f t="shared" si="88"/>
        <v>17.252896477310614</v>
      </c>
      <c r="K196" s="116">
        <f t="shared" si="79"/>
        <v>31.561683788400014</v>
      </c>
      <c r="L196" s="76">
        <f t="shared" si="89"/>
        <v>196.1739662525496</v>
      </c>
      <c r="M196" s="117">
        <f t="shared" si="80"/>
        <v>227.73565004094962</v>
      </c>
      <c r="N196" s="8">
        <f t="shared" si="81"/>
        <v>1280.1494178591438</v>
      </c>
      <c r="O196" s="75">
        <f t="shared" si="82"/>
        <v>1052.4137678181942</v>
      </c>
    </row>
    <row r="197" spans="1:15" x14ac:dyDescent="0.25">
      <c r="A197" s="78" t="s">
        <v>67</v>
      </c>
      <c r="B197" s="72" t="str">
        <f t="shared" si="87"/>
        <v>Q1/2020</v>
      </c>
      <c r="C197" s="73">
        <f t="shared" si="85"/>
        <v>43831</v>
      </c>
      <c r="D197" s="73">
        <f t="shared" si="86"/>
        <v>43921</v>
      </c>
      <c r="E197" s="72">
        <f t="shared" si="83"/>
        <v>91</v>
      </c>
      <c r="F197" s="74">
        <f>VLOOKUP(D197,'FERC Interest Rate'!$A:$B,2,TRUE)</f>
        <v>4.9599999999999998E-2</v>
      </c>
      <c r="G197" s="75">
        <f t="shared" si="84"/>
        <v>1052.4137678181942</v>
      </c>
      <c r="H197" s="75">
        <v>0</v>
      </c>
      <c r="I197" s="99">
        <f t="shared" si="90"/>
        <v>14.3087873110894</v>
      </c>
      <c r="J197" s="76">
        <f t="shared" si="88"/>
        <v>12.978619624109838</v>
      </c>
      <c r="K197" s="116">
        <f t="shared" si="79"/>
        <v>27.287406935199236</v>
      </c>
      <c r="L197" s="76">
        <f t="shared" si="89"/>
        <v>196.1739662525496</v>
      </c>
      <c r="M197" s="117">
        <f t="shared" si="80"/>
        <v>223.46137318774885</v>
      </c>
      <c r="N197" s="8">
        <f t="shared" si="81"/>
        <v>1065.392387442304</v>
      </c>
      <c r="O197" s="75">
        <f t="shared" si="82"/>
        <v>841.93101425455518</v>
      </c>
    </row>
    <row r="198" spans="1:15" x14ac:dyDescent="0.25">
      <c r="A198" s="78" t="s">
        <v>68</v>
      </c>
      <c r="B198" s="72" t="str">
        <f t="shared" si="87"/>
        <v>Q2/2020</v>
      </c>
      <c r="C198" s="73">
        <f t="shared" si="85"/>
        <v>43922</v>
      </c>
      <c r="D198" s="73">
        <f t="shared" si="86"/>
        <v>44012</v>
      </c>
      <c r="E198" s="72">
        <f t="shared" si="83"/>
        <v>91</v>
      </c>
      <c r="F198" s="74">
        <f>VLOOKUP(D198,'FERC Interest Rate'!$A:$B,2,TRUE)</f>
        <v>4.7503500000000004E-2</v>
      </c>
      <c r="G198" s="75">
        <f t="shared" si="84"/>
        <v>841.93101425455518</v>
      </c>
      <c r="H198" s="75">
        <v>0</v>
      </c>
      <c r="I198" s="99">
        <f t="shared" si="90"/>
        <v>14.3087873110894</v>
      </c>
      <c r="J198" s="76">
        <f t="shared" si="88"/>
        <v>9.9440299566758323</v>
      </c>
      <c r="K198" s="116">
        <f t="shared" si="79"/>
        <v>24.252817267765231</v>
      </c>
      <c r="L198" s="76">
        <f t="shared" si="89"/>
        <v>196.1739662525496</v>
      </c>
      <c r="M198" s="117">
        <f t="shared" si="80"/>
        <v>220.42678352031484</v>
      </c>
      <c r="N198" s="8">
        <f t="shared" si="81"/>
        <v>851.87504421123106</v>
      </c>
      <c r="O198" s="75">
        <f t="shared" si="82"/>
        <v>631.44826069091619</v>
      </c>
    </row>
    <row r="199" spans="1:15" x14ac:dyDescent="0.25">
      <c r="A199" s="78" t="s">
        <v>69</v>
      </c>
      <c r="B199" s="72" t="str">
        <f t="shared" si="87"/>
        <v>Q3/2020</v>
      </c>
      <c r="C199" s="73">
        <f t="shared" si="85"/>
        <v>44013</v>
      </c>
      <c r="D199" s="73">
        <f t="shared" si="86"/>
        <v>44104</v>
      </c>
      <c r="E199" s="72">
        <f t="shared" si="83"/>
        <v>92</v>
      </c>
      <c r="F199" s="74">
        <f>VLOOKUP(D199,'FERC Interest Rate'!$A:$B,2,TRUE)</f>
        <v>4.7507929999999997E-2</v>
      </c>
      <c r="G199" s="75">
        <f t="shared" si="84"/>
        <v>631.44826069091619</v>
      </c>
      <c r="H199" s="75">
        <v>0</v>
      </c>
      <c r="I199" s="99">
        <f t="shared" si="90"/>
        <v>14.3087873110894</v>
      </c>
      <c r="J199" s="76">
        <f t="shared" si="88"/>
        <v>7.5406819087769756</v>
      </c>
      <c r="K199" s="116">
        <f t="shared" si="79"/>
        <v>21.849469219866375</v>
      </c>
      <c r="L199" s="76">
        <f t="shared" si="89"/>
        <v>196.1739662525496</v>
      </c>
      <c r="M199" s="117">
        <f t="shared" si="80"/>
        <v>218.02343547241597</v>
      </c>
      <c r="N199" s="8">
        <f t="shared" si="81"/>
        <v>638.98894259969313</v>
      </c>
      <c r="O199" s="75">
        <f t="shared" si="82"/>
        <v>420.96550712727719</v>
      </c>
    </row>
    <row r="200" spans="1:15" x14ac:dyDescent="0.25">
      <c r="A200" s="78" t="s">
        <v>70</v>
      </c>
      <c r="B200" s="72" t="str">
        <f t="shared" si="87"/>
        <v>Q4/2020</v>
      </c>
      <c r="C200" s="73">
        <f t="shared" si="85"/>
        <v>44105</v>
      </c>
      <c r="D200" s="73">
        <f t="shared" si="86"/>
        <v>44196</v>
      </c>
      <c r="E200" s="72">
        <f t="shared" si="83"/>
        <v>92</v>
      </c>
      <c r="F200" s="74">
        <f>VLOOKUP(D200,'FERC Interest Rate'!$A:$B,2,TRUE)</f>
        <v>4.7922320000000004E-2</v>
      </c>
      <c r="G200" s="75">
        <f t="shared" si="84"/>
        <v>420.96550712727719</v>
      </c>
      <c r="H200" s="75">
        <v>0</v>
      </c>
      <c r="I200" s="99">
        <f t="shared" si="90"/>
        <v>14.3087873110894</v>
      </c>
      <c r="J200" s="76">
        <f t="shared" si="88"/>
        <v>5.0709705579766142</v>
      </c>
      <c r="K200" s="116">
        <f t="shared" si="79"/>
        <v>19.379757869066015</v>
      </c>
      <c r="L200" s="76">
        <f t="shared" si="89"/>
        <v>196.1739662525496</v>
      </c>
      <c r="M200" s="117">
        <f t="shared" si="80"/>
        <v>215.55372412161563</v>
      </c>
      <c r="N200" s="8">
        <f t="shared" si="81"/>
        <v>426.03647768525383</v>
      </c>
      <c r="O200" s="75">
        <f t="shared" si="82"/>
        <v>210.4827535636382</v>
      </c>
    </row>
    <row r="201" spans="1:15" x14ac:dyDescent="0.25">
      <c r="A201" s="78" t="s">
        <v>71</v>
      </c>
      <c r="B201" s="72" t="str">
        <f t="shared" si="87"/>
        <v>Q1/2021</v>
      </c>
      <c r="C201" s="73">
        <f t="shared" si="85"/>
        <v>44197</v>
      </c>
      <c r="D201" s="73">
        <f t="shared" si="86"/>
        <v>44286</v>
      </c>
      <c r="E201" s="72">
        <f t="shared" si="83"/>
        <v>90</v>
      </c>
      <c r="F201" s="74">
        <f>VLOOKUP(D201,'FERC Interest Rate'!$A:$B,2,TRUE)</f>
        <v>5.0023470000000007E-2</v>
      </c>
      <c r="G201" s="75">
        <f t="shared" si="84"/>
        <v>210.4827535636382</v>
      </c>
      <c r="H201" s="75">
        <v>0</v>
      </c>
      <c r="I201" s="99">
        <f t="shared" si="90"/>
        <v>14.3087873110894</v>
      </c>
      <c r="J201" s="76">
        <f t="shared" si="88"/>
        <v>2.5962109417992449</v>
      </c>
      <c r="K201" s="116">
        <f t="shared" si="79"/>
        <v>16.904998252888646</v>
      </c>
      <c r="L201" s="76">
        <f t="shared" si="89"/>
        <v>196.1739662525496</v>
      </c>
      <c r="M201" s="117">
        <f t="shared" si="80"/>
        <v>213.07896450543825</v>
      </c>
      <c r="N201" s="8">
        <f t="shared" si="81"/>
        <v>213.07896450543745</v>
      </c>
      <c r="O201" s="75">
        <f t="shared" si="82"/>
        <v>-8.0646600508771371E-13</v>
      </c>
    </row>
    <row r="202" spans="1:15" x14ac:dyDescent="0.25">
      <c r="A202" s="78"/>
      <c r="B202" s="72"/>
      <c r="C202" s="73"/>
      <c r="D202" s="73"/>
      <c r="E202" s="72"/>
      <c r="F202" s="74"/>
      <c r="G202" s="75"/>
      <c r="H202" s="75"/>
      <c r="I202" s="99"/>
      <c r="J202" s="76"/>
      <c r="K202" s="116"/>
      <c r="L202" s="76"/>
      <c r="M202" s="117"/>
      <c r="N202" s="8"/>
      <c r="O202" s="75"/>
    </row>
    <row r="203" spans="1:15" ht="13.5" thickBot="1" x14ac:dyDescent="0.35">
      <c r="A203" s="142"/>
      <c r="B203" s="143"/>
      <c r="C203" s="144"/>
      <c r="D203" s="144"/>
      <c r="E203" s="145"/>
      <c r="F203" s="143"/>
      <c r="G203" s="127">
        <f t="shared" ref="G203:O203" si="91">+SUM(G177:G202)</f>
        <v>64966.436197990362</v>
      </c>
      <c r="H203" s="127">
        <f t="shared" si="91"/>
        <v>286.17574622178802</v>
      </c>
      <c r="I203" s="128">
        <f t="shared" si="91"/>
        <v>286.17574622178796</v>
      </c>
      <c r="J203" s="127">
        <f t="shared" si="91"/>
        <v>363.34421699906352</v>
      </c>
      <c r="K203" s="127">
        <f t="shared" si="91"/>
        <v>649.51996322085131</v>
      </c>
      <c r="L203" s="127">
        <f t="shared" si="91"/>
        <v>3923.4793250509933</v>
      </c>
      <c r="M203" s="129">
        <f t="shared" si="91"/>
        <v>4572.9992882718434</v>
      </c>
      <c r="N203" s="127">
        <f t="shared" si="91"/>
        <v>65615.95616121123</v>
      </c>
      <c r="O203" s="127">
        <f t="shared" si="91"/>
        <v>61042.95687293938</v>
      </c>
    </row>
    <row r="204" spans="1:15" ht="13" thickTop="1" x14ac:dyDescent="0.25">
      <c r="B204" s="103"/>
      <c r="C204" s="103"/>
      <c r="D204" s="103"/>
      <c r="E204" s="103"/>
      <c r="F204" s="103"/>
      <c r="G204" s="103"/>
      <c r="H204" s="103"/>
      <c r="I204" s="102"/>
      <c r="J204" s="103"/>
      <c r="K204" s="103"/>
      <c r="L204" s="103"/>
      <c r="M204" s="118"/>
      <c r="O204" s="103"/>
    </row>
    <row r="205" spans="1:15" ht="39" x14ac:dyDescent="0.3">
      <c r="A205" s="77" t="s">
        <v>51</v>
      </c>
      <c r="B205" s="77" t="s">
        <v>3</v>
      </c>
      <c r="C205" s="77" t="s">
        <v>4</v>
      </c>
      <c r="D205" s="77" t="s">
        <v>5</v>
      </c>
      <c r="E205" s="77" t="s">
        <v>6</v>
      </c>
      <c r="F205" s="77" t="s">
        <v>7</v>
      </c>
      <c r="G205" s="77" t="s">
        <v>92</v>
      </c>
      <c r="H205" s="77" t="s">
        <v>93</v>
      </c>
      <c r="I205" s="94" t="s">
        <v>94</v>
      </c>
      <c r="J205" s="95" t="s">
        <v>95</v>
      </c>
      <c r="K205" s="95" t="s">
        <v>96</v>
      </c>
      <c r="L205" s="95" t="s">
        <v>97</v>
      </c>
      <c r="M205" s="96" t="s">
        <v>98</v>
      </c>
      <c r="N205" s="77" t="s">
        <v>99</v>
      </c>
      <c r="O205" s="77" t="s">
        <v>100</v>
      </c>
    </row>
    <row r="206" spans="1:15" ht="13" x14ac:dyDescent="0.3">
      <c r="A206" s="347" t="s">
        <v>14</v>
      </c>
      <c r="B206" s="347"/>
      <c r="C206" s="73">
        <f>VLOOKUP(B207,A$1:F$25,2,FALSE)</f>
        <v>42143</v>
      </c>
      <c r="D206" s="73">
        <f>DATE(YEAR(C206),IF(MONTH(C206)&lt;=3,3,IF(MONTH(C206)&lt;=6,6,IF(MONTH(C206)&lt;=9,9,12))),IF(OR(MONTH(C206)&lt;=3,MONTH(C206)&gt;=10),31,30))</f>
        <v>42185</v>
      </c>
      <c r="E206" s="72">
        <f>D206-C206+1</f>
        <v>43</v>
      </c>
      <c r="F206" s="74">
        <f>VLOOKUP(D206,'FERC Interest Rate'!$A:$B,2,TRUE)</f>
        <v>3.2500000000000001E-2</v>
      </c>
      <c r="G206" s="75">
        <f>VLOOKUP(B207,$A$1:$F$29,5,FALSE)</f>
        <v>2637.7044316706842</v>
      </c>
      <c r="H206" s="75">
        <f t="shared" ref="H206:H213" si="92">G206*F206*(E206/(DATE(YEAR(D206),12,31)-DATE(YEAR(D206),1,1)+1))</f>
        <v>10.099156008930906</v>
      </c>
      <c r="I206" s="180">
        <v>0</v>
      </c>
      <c r="J206" s="76">
        <v>0</v>
      </c>
      <c r="K206" s="116">
        <f t="shared" ref="K206:K229" si="93">+SUM(I206:J206)</f>
        <v>0</v>
      </c>
      <c r="L206" s="76">
        <v>0</v>
      </c>
      <c r="M206" s="117">
        <f t="shared" ref="M206:M229" si="94">+SUM(K206:L206)</f>
        <v>0</v>
      </c>
      <c r="N206" s="8">
        <f t="shared" ref="N206:N229" si="95">+G206+H206+J206</f>
        <v>2647.8035876796152</v>
      </c>
      <c r="O206" s="75">
        <f t="shared" ref="O206:O229" si="96">G206+H206-L206-I206</f>
        <v>2647.8035876796152</v>
      </c>
    </row>
    <row r="207" spans="1:15" ht="13" x14ac:dyDescent="0.3">
      <c r="A207" s="110" t="s">
        <v>40</v>
      </c>
      <c r="B207" s="141" t="s">
        <v>57</v>
      </c>
      <c r="C207" s="73">
        <f>D206+1</f>
        <v>42186</v>
      </c>
      <c r="D207" s="73">
        <f>EOMONTH(D206,3)</f>
        <v>42277</v>
      </c>
      <c r="E207" s="72">
        <f t="shared" ref="E207:E229" si="97">D207-C207+1</f>
        <v>92</v>
      </c>
      <c r="F207" s="74">
        <f>VLOOKUP(D207,'FERC Interest Rate'!$A:$B,2,TRUE)</f>
        <v>3.2500000000000001E-2</v>
      </c>
      <c r="G207" s="75">
        <f t="shared" ref="G207:G229" si="98">O206</f>
        <v>2647.8035876796152</v>
      </c>
      <c r="H207" s="75">
        <f t="shared" si="92"/>
        <v>21.690226649759044</v>
      </c>
      <c r="I207" s="180">
        <v>0</v>
      </c>
      <c r="J207" s="76">
        <v>0</v>
      </c>
      <c r="K207" s="116">
        <f t="shared" si="93"/>
        <v>0</v>
      </c>
      <c r="L207" s="76">
        <v>0</v>
      </c>
      <c r="M207" s="117">
        <f t="shared" si="94"/>
        <v>0</v>
      </c>
      <c r="N207" s="8">
        <f t="shared" si="95"/>
        <v>2669.4938143293743</v>
      </c>
      <c r="O207" s="75">
        <f t="shared" si="96"/>
        <v>2669.4938143293743</v>
      </c>
    </row>
    <row r="208" spans="1:15" ht="13" x14ac:dyDescent="0.3">
      <c r="B208" s="301"/>
      <c r="C208" s="73">
        <f t="shared" ref="C208:C229" si="99">D207+1</f>
        <v>42278</v>
      </c>
      <c r="D208" s="73">
        <f t="shared" ref="D208:D229" si="100">EOMONTH(D207,3)</f>
        <v>42369</v>
      </c>
      <c r="E208" s="72">
        <f t="shared" si="97"/>
        <v>92</v>
      </c>
      <c r="F208" s="74">
        <f>VLOOKUP(D208,'FERC Interest Rate'!$A:$B,2,TRUE)</f>
        <v>3.2500000000000001E-2</v>
      </c>
      <c r="G208" s="75">
        <f t="shared" si="98"/>
        <v>2669.4938143293743</v>
      </c>
      <c r="H208" s="75">
        <f t="shared" si="92"/>
        <v>21.867908232451587</v>
      </c>
      <c r="I208" s="180">
        <v>0</v>
      </c>
      <c r="J208" s="76">
        <v>0</v>
      </c>
      <c r="K208" s="116">
        <f t="shared" si="93"/>
        <v>0</v>
      </c>
      <c r="L208" s="76">
        <v>0</v>
      </c>
      <c r="M208" s="117">
        <f t="shared" si="94"/>
        <v>0</v>
      </c>
      <c r="N208" s="8">
        <f t="shared" si="95"/>
        <v>2691.3617225618259</v>
      </c>
      <c r="O208" s="75">
        <f t="shared" si="96"/>
        <v>2691.3617225618259</v>
      </c>
    </row>
    <row r="209" spans="1:15" ht="13" x14ac:dyDescent="0.3">
      <c r="B209" s="301"/>
      <c r="C209" s="73">
        <f t="shared" si="99"/>
        <v>42370</v>
      </c>
      <c r="D209" s="73">
        <f t="shared" si="100"/>
        <v>42460</v>
      </c>
      <c r="E209" s="72">
        <f t="shared" si="97"/>
        <v>91</v>
      </c>
      <c r="F209" s="74">
        <f>VLOOKUP(D209,'FERC Interest Rate'!$A:$B,2,TRUE)</f>
        <v>3.2500000000000001E-2</v>
      </c>
      <c r="G209" s="75">
        <f t="shared" si="98"/>
        <v>2691.3617225618259</v>
      </c>
      <c r="H209" s="75">
        <f t="shared" si="92"/>
        <v>21.747820476712022</v>
      </c>
      <c r="I209" s="180">
        <v>0</v>
      </c>
      <c r="J209" s="76">
        <v>0</v>
      </c>
      <c r="K209" s="116">
        <f t="shared" si="93"/>
        <v>0</v>
      </c>
      <c r="L209" s="76">
        <v>0</v>
      </c>
      <c r="M209" s="117">
        <f t="shared" si="94"/>
        <v>0</v>
      </c>
      <c r="N209" s="8">
        <f t="shared" si="95"/>
        <v>2713.109543038538</v>
      </c>
      <c r="O209" s="75">
        <f t="shared" si="96"/>
        <v>2713.109543038538</v>
      </c>
    </row>
    <row r="210" spans="1:15" x14ac:dyDescent="0.25">
      <c r="A210" s="78"/>
      <c r="B210" s="72"/>
      <c r="C210" s="73">
        <f t="shared" si="99"/>
        <v>42461</v>
      </c>
      <c r="D210" s="73">
        <f t="shared" si="100"/>
        <v>42551</v>
      </c>
      <c r="E210" s="72">
        <f t="shared" si="97"/>
        <v>91</v>
      </c>
      <c r="F210" s="74">
        <f>VLOOKUP(D210,'FERC Interest Rate'!$A:$B,2,TRUE)</f>
        <v>3.4599999999999999E-2</v>
      </c>
      <c r="G210" s="75">
        <f t="shared" si="98"/>
        <v>2713.109543038538</v>
      </c>
      <c r="H210" s="75">
        <f t="shared" si="92"/>
        <v>23.340154937735356</v>
      </c>
      <c r="I210" s="180">
        <v>0</v>
      </c>
      <c r="J210" s="76">
        <v>0</v>
      </c>
      <c r="K210" s="116">
        <f t="shared" si="93"/>
        <v>0</v>
      </c>
      <c r="L210" s="76">
        <v>0</v>
      </c>
      <c r="M210" s="117">
        <f t="shared" si="94"/>
        <v>0</v>
      </c>
      <c r="N210" s="8">
        <f t="shared" si="95"/>
        <v>2736.4496979762735</v>
      </c>
      <c r="O210" s="75">
        <f t="shared" si="96"/>
        <v>2736.4496979762735</v>
      </c>
    </row>
    <row r="211" spans="1:15" x14ac:dyDescent="0.25">
      <c r="A211" s="309"/>
      <c r="B211" s="72"/>
      <c r="C211" s="73">
        <f t="shared" si="99"/>
        <v>42552</v>
      </c>
      <c r="D211" s="73">
        <f t="shared" si="100"/>
        <v>42643</v>
      </c>
      <c r="E211" s="72">
        <f t="shared" si="97"/>
        <v>92</v>
      </c>
      <c r="F211" s="74">
        <f>VLOOKUP(D211,'FERC Interest Rate'!$A:$B,2,TRUE)</f>
        <v>3.5000000000000003E-2</v>
      </c>
      <c r="G211" s="75">
        <f t="shared" si="98"/>
        <v>2736.4496979762735</v>
      </c>
      <c r="H211" s="75">
        <f t="shared" si="92"/>
        <v>24.074776031375958</v>
      </c>
      <c r="I211" s="180">
        <v>0</v>
      </c>
      <c r="J211" s="76">
        <v>0</v>
      </c>
      <c r="K211" s="116">
        <f t="shared" si="93"/>
        <v>0</v>
      </c>
      <c r="L211" s="76">
        <v>0</v>
      </c>
      <c r="M211" s="117">
        <f t="shared" si="94"/>
        <v>0</v>
      </c>
      <c r="N211" s="8">
        <f t="shared" si="95"/>
        <v>2760.5244740076496</v>
      </c>
      <c r="O211" s="75">
        <f t="shared" si="96"/>
        <v>2760.5244740076496</v>
      </c>
    </row>
    <row r="212" spans="1:15" x14ac:dyDescent="0.25">
      <c r="A212" s="78"/>
      <c r="B212" s="72"/>
      <c r="C212" s="73">
        <f t="shared" si="99"/>
        <v>42644</v>
      </c>
      <c r="D212" s="73">
        <f t="shared" si="100"/>
        <v>42735</v>
      </c>
      <c r="E212" s="72">
        <f t="shared" si="97"/>
        <v>92</v>
      </c>
      <c r="F212" s="74">
        <f>VLOOKUP(D212,'FERC Interest Rate'!$A:$B,2,TRUE)</f>
        <v>3.5000000000000003E-2</v>
      </c>
      <c r="G212" s="75">
        <f t="shared" si="98"/>
        <v>2760.5244740076496</v>
      </c>
      <c r="H212" s="75">
        <f t="shared" si="92"/>
        <v>24.286581437990801</v>
      </c>
      <c r="I212" s="180">
        <v>0</v>
      </c>
      <c r="J212" s="76">
        <v>0</v>
      </c>
      <c r="K212" s="116">
        <f t="shared" si="93"/>
        <v>0</v>
      </c>
      <c r="L212" s="76">
        <v>0</v>
      </c>
      <c r="M212" s="117">
        <f t="shared" si="94"/>
        <v>0</v>
      </c>
      <c r="N212" s="8">
        <f t="shared" si="95"/>
        <v>2784.8110554456402</v>
      </c>
      <c r="O212" s="75">
        <f t="shared" si="96"/>
        <v>2784.8110554456402</v>
      </c>
    </row>
    <row r="213" spans="1:15" x14ac:dyDescent="0.25">
      <c r="A213" s="78" t="s">
        <v>101</v>
      </c>
      <c r="B213" s="72" t="str">
        <f t="shared" ref="B213:B229" si="101">+IF(MONTH(C213)&lt;4,"Q1",IF(MONTH(C213)&lt;7,"Q2",IF(MONTH(C213)&lt;10,"Q3","Q4")))&amp;"/"&amp;YEAR(C213)</f>
        <v>Q1/2017</v>
      </c>
      <c r="C213" s="73">
        <f t="shared" si="99"/>
        <v>42736</v>
      </c>
      <c r="D213" s="73">
        <f t="shared" si="100"/>
        <v>42825</v>
      </c>
      <c r="E213" s="72">
        <f t="shared" si="97"/>
        <v>90</v>
      </c>
      <c r="F213" s="74">
        <f>VLOOKUP(D213,'FERC Interest Rate'!$A:$B,2,TRUE)</f>
        <v>3.5000000000000003E-2</v>
      </c>
      <c r="G213" s="75">
        <f t="shared" si="98"/>
        <v>2784.8110554456402</v>
      </c>
      <c r="H213" s="75">
        <f t="shared" si="92"/>
        <v>24.033300889462375</v>
      </c>
      <c r="I213" s="180">
        <f>SUM($H$206:$H$230)/20*4</f>
        <v>34.227984932883615</v>
      </c>
      <c r="J213" s="76">
        <f t="shared" ref="J213:J229" si="102">G213*F213*(E213/(DATE(YEAR(D213),12,31)-DATE(YEAR(D213),1,1)+1))</f>
        <v>24.033300889462375</v>
      </c>
      <c r="K213" s="116">
        <f t="shared" si="93"/>
        <v>58.26128582234599</v>
      </c>
      <c r="L213" s="76">
        <f>VLOOKUP($B$207,A$1:F$25,5,FALSE)/20*4</f>
        <v>527.54088633413687</v>
      </c>
      <c r="M213" s="117">
        <f t="shared" si="94"/>
        <v>585.80217215648281</v>
      </c>
      <c r="N213" s="8">
        <f t="shared" si="95"/>
        <v>2832.8776572245647</v>
      </c>
      <c r="O213" s="75">
        <f t="shared" si="96"/>
        <v>2247.0754850680819</v>
      </c>
    </row>
    <row r="214" spans="1:15" x14ac:dyDescent="0.25">
      <c r="A214" s="78" t="s">
        <v>56</v>
      </c>
      <c r="B214" s="72" t="str">
        <f t="shared" si="101"/>
        <v>Q2/2017</v>
      </c>
      <c r="C214" s="73">
        <f t="shared" si="99"/>
        <v>42826</v>
      </c>
      <c r="D214" s="73">
        <f t="shared" si="100"/>
        <v>42916</v>
      </c>
      <c r="E214" s="72">
        <f t="shared" si="97"/>
        <v>91</v>
      </c>
      <c r="F214" s="74">
        <f>VLOOKUP(D214,'FERC Interest Rate'!$A:$B,2,TRUE)</f>
        <v>3.7100000000000001E-2</v>
      </c>
      <c r="G214" s="75">
        <f t="shared" si="98"/>
        <v>2247.0754850680819</v>
      </c>
      <c r="H214" s="75">
        <v>0</v>
      </c>
      <c r="I214" s="99">
        <f>SUM($H$206:$H$230)/20</f>
        <v>8.5569962332209037</v>
      </c>
      <c r="J214" s="76">
        <f t="shared" si="102"/>
        <v>20.784524781200961</v>
      </c>
      <c r="K214" s="116">
        <f t="shared" si="93"/>
        <v>29.341521014421865</v>
      </c>
      <c r="L214" s="76">
        <f t="shared" ref="L214:L229" si="103">VLOOKUP($B$207,A$1:F$25,5,FALSE)/20</f>
        <v>131.88522158353422</v>
      </c>
      <c r="M214" s="117">
        <f t="shared" si="94"/>
        <v>161.22674259795608</v>
      </c>
      <c r="N214" s="8">
        <f t="shared" si="95"/>
        <v>2267.860009849283</v>
      </c>
      <c r="O214" s="75">
        <f t="shared" si="96"/>
        <v>2106.6332672513267</v>
      </c>
    </row>
    <row r="215" spans="1:15" x14ac:dyDescent="0.25">
      <c r="A215" s="78" t="s">
        <v>57</v>
      </c>
      <c r="B215" s="72" t="str">
        <f t="shared" si="101"/>
        <v>Q3/2017</v>
      </c>
      <c r="C215" s="73">
        <f t="shared" si="99"/>
        <v>42917</v>
      </c>
      <c r="D215" s="73">
        <f t="shared" si="100"/>
        <v>43008</v>
      </c>
      <c r="E215" s="72">
        <f t="shared" si="97"/>
        <v>92</v>
      </c>
      <c r="F215" s="74">
        <f>VLOOKUP(D215,'FERC Interest Rate'!$A:$B,2,TRUE)</f>
        <v>3.9600000000000003E-2</v>
      </c>
      <c r="G215" s="75">
        <f t="shared" si="98"/>
        <v>2106.6332672513267</v>
      </c>
      <c r="H215" s="75">
        <v>0</v>
      </c>
      <c r="I215" s="99">
        <f>SUM($H$206:$H$230)/20</f>
        <v>8.5569962332209037</v>
      </c>
      <c r="J215" s="76">
        <f t="shared" si="102"/>
        <v>21.027085806164479</v>
      </c>
      <c r="K215" s="116">
        <f t="shared" si="93"/>
        <v>29.584082039385383</v>
      </c>
      <c r="L215" s="76">
        <f t="shared" si="103"/>
        <v>131.88522158353422</v>
      </c>
      <c r="M215" s="117">
        <f t="shared" si="94"/>
        <v>161.4693036229196</v>
      </c>
      <c r="N215" s="8">
        <f t="shared" si="95"/>
        <v>2127.6603530574912</v>
      </c>
      <c r="O215" s="75">
        <f t="shared" si="96"/>
        <v>1966.1910494345716</v>
      </c>
    </row>
    <row r="216" spans="1:15" x14ac:dyDescent="0.25">
      <c r="A216" s="78" t="s">
        <v>58</v>
      </c>
      <c r="B216" s="72" t="str">
        <f t="shared" si="101"/>
        <v>Q4/2017</v>
      </c>
      <c r="C216" s="73">
        <f t="shared" si="99"/>
        <v>43009</v>
      </c>
      <c r="D216" s="73">
        <f t="shared" si="100"/>
        <v>43100</v>
      </c>
      <c r="E216" s="72">
        <f t="shared" si="97"/>
        <v>92</v>
      </c>
      <c r="F216" s="74">
        <f>VLOOKUP(D216,'FERC Interest Rate'!$A:$B,2,TRUE)</f>
        <v>4.2099999999999999E-2</v>
      </c>
      <c r="G216" s="75">
        <f t="shared" si="98"/>
        <v>1966.1910494345716</v>
      </c>
      <c r="H216" s="75">
        <v>0</v>
      </c>
      <c r="I216" s="99">
        <f t="shared" ref="I216:I229" si="104">SUM($H$206:$H$230)/20</f>
        <v>8.5569962332209037</v>
      </c>
      <c r="J216" s="76">
        <f t="shared" si="102"/>
        <v>20.864249788136942</v>
      </c>
      <c r="K216" s="116">
        <f t="shared" si="93"/>
        <v>29.421246021357845</v>
      </c>
      <c r="L216" s="76">
        <f t="shared" si="103"/>
        <v>131.88522158353422</v>
      </c>
      <c r="M216" s="117">
        <f t="shared" si="94"/>
        <v>161.30646760489208</v>
      </c>
      <c r="N216" s="8">
        <f t="shared" si="95"/>
        <v>1987.0552992227085</v>
      </c>
      <c r="O216" s="75">
        <f t="shared" si="96"/>
        <v>1825.7488316178164</v>
      </c>
    </row>
    <row r="217" spans="1:15" x14ac:dyDescent="0.25">
      <c r="A217" s="78" t="s">
        <v>59</v>
      </c>
      <c r="B217" s="72" t="str">
        <f t="shared" si="101"/>
        <v>Q1/2018</v>
      </c>
      <c r="C217" s="73">
        <f t="shared" si="99"/>
        <v>43101</v>
      </c>
      <c r="D217" s="73">
        <f t="shared" si="100"/>
        <v>43190</v>
      </c>
      <c r="E217" s="72">
        <f t="shared" si="97"/>
        <v>90</v>
      </c>
      <c r="F217" s="74">
        <f>VLOOKUP(D217,'FERC Interest Rate'!$A:$B,2,TRUE)</f>
        <v>4.2500000000000003E-2</v>
      </c>
      <c r="G217" s="75">
        <f t="shared" si="98"/>
        <v>1825.7488316178164</v>
      </c>
      <c r="H217" s="75">
        <v>0</v>
      </c>
      <c r="I217" s="99">
        <f t="shared" si="104"/>
        <v>8.5569962332209037</v>
      </c>
      <c r="J217" s="76">
        <f t="shared" si="102"/>
        <v>19.132847345036023</v>
      </c>
      <c r="K217" s="116">
        <f t="shared" si="93"/>
        <v>27.689843578256927</v>
      </c>
      <c r="L217" s="76">
        <f t="shared" si="103"/>
        <v>131.88522158353422</v>
      </c>
      <c r="M217" s="117">
        <f t="shared" si="94"/>
        <v>159.57506516179114</v>
      </c>
      <c r="N217" s="8">
        <f t="shared" si="95"/>
        <v>1844.8816789628524</v>
      </c>
      <c r="O217" s="75">
        <f t="shared" si="96"/>
        <v>1685.3066138010613</v>
      </c>
    </row>
    <row r="218" spans="1:15" x14ac:dyDescent="0.25">
      <c r="A218" s="78" t="s">
        <v>60</v>
      </c>
      <c r="B218" s="72" t="str">
        <f t="shared" si="101"/>
        <v>Q2/2018</v>
      </c>
      <c r="C218" s="73">
        <f t="shared" si="99"/>
        <v>43191</v>
      </c>
      <c r="D218" s="73">
        <f t="shared" si="100"/>
        <v>43281</v>
      </c>
      <c r="E218" s="72">
        <f t="shared" si="97"/>
        <v>91</v>
      </c>
      <c r="F218" s="74">
        <f>VLOOKUP(D218,'FERC Interest Rate'!$A:$B,2,TRUE)</f>
        <v>4.4699999999999997E-2</v>
      </c>
      <c r="G218" s="75">
        <f t="shared" si="98"/>
        <v>1685.3066138010613</v>
      </c>
      <c r="H218" s="75">
        <v>0</v>
      </c>
      <c r="I218" s="99">
        <f t="shared" si="104"/>
        <v>8.5569962332209037</v>
      </c>
      <c r="J218" s="76">
        <f t="shared" si="102"/>
        <v>18.781703323174185</v>
      </c>
      <c r="K218" s="116">
        <f t="shared" si="93"/>
        <v>27.338699556395088</v>
      </c>
      <c r="L218" s="76">
        <f t="shared" si="103"/>
        <v>131.88522158353422</v>
      </c>
      <c r="M218" s="117">
        <f t="shared" si="94"/>
        <v>159.2239211399293</v>
      </c>
      <c r="N218" s="8">
        <f t="shared" si="95"/>
        <v>1704.0883171242356</v>
      </c>
      <c r="O218" s="75">
        <f t="shared" si="96"/>
        <v>1544.8643959843062</v>
      </c>
    </row>
    <row r="219" spans="1:15" x14ac:dyDescent="0.25">
      <c r="A219" s="78" t="s">
        <v>61</v>
      </c>
      <c r="B219" s="72" t="str">
        <f t="shared" si="101"/>
        <v>Q3/2018</v>
      </c>
      <c r="C219" s="73">
        <f t="shared" si="99"/>
        <v>43282</v>
      </c>
      <c r="D219" s="73">
        <f t="shared" si="100"/>
        <v>43373</v>
      </c>
      <c r="E219" s="72">
        <f t="shared" si="97"/>
        <v>92</v>
      </c>
      <c r="F219" s="74">
        <f>VLOOKUP(D219,'FERC Interest Rate'!$A:$B,2,TRUE)</f>
        <v>4.6899999999999997E-2</v>
      </c>
      <c r="G219" s="75">
        <f t="shared" si="98"/>
        <v>1544.8643959843062</v>
      </c>
      <c r="H219" s="75">
        <v>0</v>
      </c>
      <c r="I219" s="99">
        <f t="shared" si="104"/>
        <v>8.5569962332209037</v>
      </c>
      <c r="J219" s="76">
        <f t="shared" si="102"/>
        <v>18.262413413131735</v>
      </c>
      <c r="K219" s="116">
        <f t="shared" si="93"/>
        <v>26.819409646352639</v>
      </c>
      <c r="L219" s="76">
        <f t="shared" si="103"/>
        <v>131.88522158353422</v>
      </c>
      <c r="M219" s="117">
        <f t="shared" si="94"/>
        <v>158.70463122988684</v>
      </c>
      <c r="N219" s="8">
        <f t="shared" si="95"/>
        <v>1563.1268093974379</v>
      </c>
      <c r="O219" s="75">
        <f t="shared" si="96"/>
        <v>1404.422178167551</v>
      </c>
    </row>
    <row r="220" spans="1:15" x14ac:dyDescent="0.25">
      <c r="A220" s="78" t="s">
        <v>62</v>
      </c>
      <c r="B220" s="72" t="str">
        <f t="shared" si="101"/>
        <v>Q4/2018</v>
      </c>
      <c r="C220" s="73">
        <f t="shared" si="99"/>
        <v>43374</v>
      </c>
      <c r="D220" s="73">
        <f t="shared" si="100"/>
        <v>43465</v>
      </c>
      <c r="E220" s="72">
        <f t="shared" si="97"/>
        <v>92</v>
      </c>
      <c r="F220" s="74">
        <f>VLOOKUP(D220,'FERC Interest Rate'!$A:$B,2,TRUE)</f>
        <v>4.9599999999999998E-2</v>
      </c>
      <c r="G220" s="75">
        <f t="shared" si="98"/>
        <v>1404.422178167551</v>
      </c>
      <c r="H220" s="75">
        <v>0</v>
      </c>
      <c r="I220" s="99">
        <f t="shared" si="104"/>
        <v>8.5569962332209037</v>
      </c>
      <c r="J220" s="76">
        <f t="shared" si="102"/>
        <v>17.557970639490872</v>
      </c>
      <c r="K220" s="116">
        <f t="shared" si="93"/>
        <v>26.114966872711776</v>
      </c>
      <c r="L220" s="76">
        <f t="shared" si="103"/>
        <v>131.88522158353422</v>
      </c>
      <c r="M220" s="117">
        <f t="shared" si="94"/>
        <v>158.00018845624601</v>
      </c>
      <c r="N220" s="8">
        <f t="shared" si="95"/>
        <v>1421.9801488070418</v>
      </c>
      <c r="O220" s="75">
        <f t="shared" si="96"/>
        <v>1263.9799603507959</v>
      </c>
    </row>
    <row r="221" spans="1:15" x14ac:dyDescent="0.25">
      <c r="A221" s="78" t="s">
        <v>63</v>
      </c>
      <c r="B221" s="72" t="str">
        <f t="shared" si="101"/>
        <v>Q1/2019</v>
      </c>
      <c r="C221" s="73">
        <f t="shared" si="99"/>
        <v>43466</v>
      </c>
      <c r="D221" s="73">
        <f t="shared" si="100"/>
        <v>43555</v>
      </c>
      <c r="E221" s="72">
        <f t="shared" si="97"/>
        <v>90</v>
      </c>
      <c r="F221" s="74">
        <f>VLOOKUP(D221,'FERC Interest Rate'!$A:$B,2,TRUE)</f>
        <v>5.1799999999999999E-2</v>
      </c>
      <c r="G221" s="75">
        <f t="shared" si="98"/>
        <v>1263.9799603507959</v>
      </c>
      <c r="H221" s="75">
        <v>0</v>
      </c>
      <c r="I221" s="99">
        <f t="shared" si="104"/>
        <v>8.5569962332209037</v>
      </c>
      <c r="J221" s="76">
        <f t="shared" si="102"/>
        <v>16.14431390453537</v>
      </c>
      <c r="K221" s="116">
        <f t="shared" si="93"/>
        <v>24.701310137756273</v>
      </c>
      <c r="L221" s="76">
        <f t="shared" si="103"/>
        <v>131.88522158353422</v>
      </c>
      <c r="M221" s="117">
        <f t="shared" si="94"/>
        <v>156.5865317212905</v>
      </c>
      <c r="N221" s="8">
        <f t="shared" si="95"/>
        <v>1280.1242742553313</v>
      </c>
      <c r="O221" s="75">
        <f t="shared" si="96"/>
        <v>1123.5377425340407</v>
      </c>
    </row>
    <row r="222" spans="1:15" x14ac:dyDescent="0.25">
      <c r="A222" s="78" t="s">
        <v>64</v>
      </c>
      <c r="B222" s="72" t="str">
        <f t="shared" si="101"/>
        <v>Q2/2019</v>
      </c>
      <c r="C222" s="73">
        <f t="shared" si="99"/>
        <v>43556</v>
      </c>
      <c r="D222" s="73">
        <f t="shared" si="100"/>
        <v>43646</v>
      </c>
      <c r="E222" s="72">
        <f t="shared" si="97"/>
        <v>91</v>
      </c>
      <c r="F222" s="74">
        <f>VLOOKUP(D222,'FERC Interest Rate'!$A:$B,2,TRUE)</f>
        <v>5.45E-2</v>
      </c>
      <c r="G222" s="75">
        <f t="shared" si="98"/>
        <v>1123.5377425340407</v>
      </c>
      <c r="H222" s="75">
        <v>0</v>
      </c>
      <c r="I222" s="99">
        <f t="shared" si="104"/>
        <v>8.5569962332209037</v>
      </c>
      <c r="J222" s="76">
        <f t="shared" si="102"/>
        <v>15.266261463281026</v>
      </c>
      <c r="K222" s="116">
        <f t="shared" si="93"/>
        <v>23.82325769650193</v>
      </c>
      <c r="L222" s="76">
        <f t="shared" si="103"/>
        <v>131.88522158353422</v>
      </c>
      <c r="M222" s="117">
        <f t="shared" si="94"/>
        <v>155.70847928003616</v>
      </c>
      <c r="N222" s="8">
        <f t="shared" si="95"/>
        <v>1138.8040039973218</v>
      </c>
      <c r="O222" s="75">
        <f t="shared" si="96"/>
        <v>983.09552471728557</v>
      </c>
    </row>
    <row r="223" spans="1:15" x14ac:dyDescent="0.25">
      <c r="A223" s="78" t="s">
        <v>65</v>
      </c>
      <c r="B223" s="72" t="str">
        <f t="shared" si="101"/>
        <v>Q3/2019</v>
      </c>
      <c r="C223" s="73">
        <f t="shared" si="99"/>
        <v>43647</v>
      </c>
      <c r="D223" s="73">
        <f t="shared" si="100"/>
        <v>43738</v>
      </c>
      <c r="E223" s="72">
        <f t="shared" si="97"/>
        <v>92</v>
      </c>
      <c r="F223" s="74">
        <f>VLOOKUP(D223,'FERC Interest Rate'!$A:$B,2,TRUE)</f>
        <v>5.5E-2</v>
      </c>
      <c r="G223" s="75">
        <f t="shared" si="98"/>
        <v>983.09552471728557</v>
      </c>
      <c r="H223" s="75">
        <v>0</v>
      </c>
      <c r="I223" s="99">
        <f t="shared" si="104"/>
        <v>8.5569962332209037</v>
      </c>
      <c r="J223" s="76">
        <f t="shared" si="102"/>
        <v>13.628666726217714</v>
      </c>
      <c r="K223" s="116">
        <f t="shared" si="93"/>
        <v>22.185662959438616</v>
      </c>
      <c r="L223" s="76">
        <f t="shared" si="103"/>
        <v>131.88522158353422</v>
      </c>
      <c r="M223" s="117">
        <f t="shared" si="94"/>
        <v>154.07088454297283</v>
      </c>
      <c r="N223" s="8">
        <f t="shared" si="95"/>
        <v>996.72419144350329</v>
      </c>
      <c r="O223" s="75">
        <f t="shared" si="96"/>
        <v>842.65330690053042</v>
      </c>
    </row>
    <row r="224" spans="1:15" x14ac:dyDescent="0.25">
      <c r="A224" s="78" t="s">
        <v>66</v>
      </c>
      <c r="B224" s="72" t="str">
        <f t="shared" si="101"/>
        <v>Q4/2019</v>
      </c>
      <c r="C224" s="73">
        <f t="shared" si="99"/>
        <v>43739</v>
      </c>
      <c r="D224" s="73">
        <f t="shared" si="100"/>
        <v>43830</v>
      </c>
      <c r="E224" s="72">
        <f t="shared" si="97"/>
        <v>92</v>
      </c>
      <c r="F224" s="74">
        <f>VLOOKUP(D224,'FERC Interest Rate'!$A:$B,2,TRUE)</f>
        <v>5.4199999999999998E-2</v>
      </c>
      <c r="G224" s="75">
        <f t="shared" si="98"/>
        <v>842.65330690053042</v>
      </c>
      <c r="H224" s="75">
        <v>0</v>
      </c>
      <c r="I224" s="99">
        <f t="shared" si="104"/>
        <v>8.5569962332209037</v>
      </c>
      <c r="J224" s="76">
        <f t="shared" si="102"/>
        <v>11.511798491859739</v>
      </c>
      <c r="K224" s="116">
        <f t="shared" si="93"/>
        <v>20.068794725080643</v>
      </c>
      <c r="L224" s="76">
        <f t="shared" si="103"/>
        <v>131.88522158353422</v>
      </c>
      <c r="M224" s="117">
        <f t="shared" si="94"/>
        <v>151.95401630861485</v>
      </c>
      <c r="N224" s="8">
        <f t="shared" si="95"/>
        <v>854.16510539239016</v>
      </c>
      <c r="O224" s="75">
        <f t="shared" si="96"/>
        <v>702.21108908377528</v>
      </c>
    </row>
    <row r="225" spans="1:15" x14ac:dyDescent="0.25">
      <c r="A225" s="78" t="s">
        <v>67</v>
      </c>
      <c r="B225" s="72" t="str">
        <f t="shared" si="101"/>
        <v>Q1/2020</v>
      </c>
      <c r="C225" s="73">
        <f t="shared" si="99"/>
        <v>43831</v>
      </c>
      <c r="D225" s="73">
        <f t="shared" si="100"/>
        <v>43921</v>
      </c>
      <c r="E225" s="72">
        <f t="shared" si="97"/>
        <v>91</v>
      </c>
      <c r="F225" s="74">
        <f>VLOOKUP(D225,'FERC Interest Rate'!$A:$B,2,TRUE)</f>
        <v>4.9599999999999998E-2</v>
      </c>
      <c r="G225" s="75">
        <f t="shared" si="98"/>
        <v>702.21108908377528</v>
      </c>
      <c r="H225" s="75">
        <v>0</v>
      </c>
      <c r="I225" s="99">
        <f t="shared" si="104"/>
        <v>8.5569962332209037</v>
      </c>
      <c r="J225" s="76">
        <f t="shared" si="102"/>
        <v>8.6598359882200224</v>
      </c>
      <c r="K225" s="116">
        <f t="shared" si="93"/>
        <v>17.216832221440924</v>
      </c>
      <c r="L225" s="76">
        <f t="shared" si="103"/>
        <v>131.88522158353422</v>
      </c>
      <c r="M225" s="117">
        <f t="shared" si="94"/>
        <v>149.10205380497513</v>
      </c>
      <c r="N225" s="8">
        <f t="shared" si="95"/>
        <v>710.87092507199532</v>
      </c>
      <c r="O225" s="75">
        <f t="shared" si="96"/>
        <v>561.76887126702013</v>
      </c>
    </row>
    <row r="226" spans="1:15" x14ac:dyDescent="0.25">
      <c r="A226" s="78" t="s">
        <v>68</v>
      </c>
      <c r="B226" s="72" t="str">
        <f t="shared" si="101"/>
        <v>Q2/2020</v>
      </c>
      <c r="C226" s="73">
        <f t="shared" si="99"/>
        <v>43922</v>
      </c>
      <c r="D226" s="73">
        <f t="shared" si="100"/>
        <v>44012</v>
      </c>
      <c r="E226" s="72">
        <f t="shared" si="97"/>
        <v>91</v>
      </c>
      <c r="F226" s="74">
        <f>VLOOKUP(D226,'FERC Interest Rate'!$A:$B,2,TRUE)</f>
        <v>4.7503500000000004E-2</v>
      </c>
      <c r="G226" s="75">
        <f t="shared" si="98"/>
        <v>561.76887126702013</v>
      </c>
      <c r="H226" s="75">
        <v>0</v>
      </c>
      <c r="I226" s="99">
        <f t="shared" si="104"/>
        <v>8.5569962332209037</v>
      </c>
      <c r="J226" s="76">
        <f t="shared" si="102"/>
        <v>6.6350406268775775</v>
      </c>
      <c r="K226" s="116">
        <f t="shared" si="93"/>
        <v>15.192036860098481</v>
      </c>
      <c r="L226" s="76">
        <f t="shared" si="103"/>
        <v>131.88522158353422</v>
      </c>
      <c r="M226" s="117">
        <f t="shared" si="94"/>
        <v>147.0772584436327</v>
      </c>
      <c r="N226" s="8">
        <f t="shared" si="95"/>
        <v>568.40391189389766</v>
      </c>
      <c r="O226" s="75">
        <f t="shared" si="96"/>
        <v>421.32665345026504</v>
      </c>
    </row>
    <row r="227" spans="1:15" x14ac:dyDescent="0.25">
      <c r="A227" s="78" t="s">
        <v>69</v>
      </c>
      <c r="B227" s="72" t="str">
        <f t="shared" si="101"/>
        <v>Q3/2020</v>
      </c>
      <c r="C227" s="73">
        <f t="shared" si="99"/>
        <v>44013</v>
      </c>
      <c r="D227" s="73">
        <f t="shared" si="100"/>
        <v>44104</v>
      </c>
      <c r="E227" s="72">
        <f t="shared" si="97"/>
        <v>92</v>
      </c>
      <c r="F227" s="74">
        <f>VLOOKUP(D227,'FERC Interest Rate'!$A:$B,2,TRUE)</f>
        <v>4.7507929999999997E-2</v>
      </c>
      <c r="G227" s="75">
        <f t="shared" si="98"/>
        <v>421.32665345026504</v>
      </c>
      <c r="H227" s="75">
        <v>0</v>
      </c>
      <c r="I227" s="99">
        <f t="shared" si="104"/>
        <v>8.5569962332209037</v>
      </c>
      <c r="J227" s="76">
        <f t="shared" si="102"/>
        <v>5.0314340400299162</v>
      </c>
      <c r="K227" s="116">
        <f t="shared" si="93"/>
        <v>13.58843027325082</v>
      </c>
      <c r="L227" s="76">
        <f t="shared" si="103"/>
        <v>131.88522158353422</v>
      </c>
      <c r="M227" s="117">
        <f t="shared" si="94"/>
        <v>145.47365185678504</v>
      </c>
      <c r="N227" s="8">
        <f t="shared" si="95"/>
        <v>426.35808749029496</v>
      </c>
      <c r="O227" s="75">
        <f t="shared" si="96"/>
        <v>280.8844356335099</v>
      </c>
    </row>
    <row r="228" spans="1:15" x14ac:dyDescent="0.25">
      <c r="A228" s="78" t="s">
        <v>70</v>
      </c>
      <c r="B228" s="72" t="str">
        <f t="shared" si="101"/>
        <v>Q4/2020</v>
      </c>
      <c r="C228" s="73">
        <f t="shared" si="99"/>
        <v>44105</v>
      </c>
      <c r="D228" s="73">
        <f t="shared" si="100"/>
        <v>44196</v>
      </c>
      <c r="E228" s="72">
        <f t="shared" si="97"/>
        <v>92</v>
      </c>
      <c r="F228" s="74">
        <f>VLOOKUP(D228,'FERC Interest Rate'!$A:$B,2,TRUE)</f>
        <v>4.7922320000000004E-2</v>
      </c>
      <c r="G228" s="75">
        <f t="shared" si="98"/>
        <v>280.8844356335099</v>
      </c>
      <c r="H228" s="75">
        <v>0</v>
      </c>
      <c r="I228" s="99">
        <f t="shared" si="104"/>
        <v>8.5569962332209037</v>
      </c>
      <c r="J228" s="76">
        <f t="shared" si="102"/>
        <v>3.3835472958613626</v>
      </c>
      <c r="K228" s="116">
        <f t="shared" si="93"/>
        <v>11.940543529082266</v>
      </c>
      <c r="L228" s="76">
        <f t="shared" si="103"/>
        <v>131.88522158353422</v>
      </c>
      <c r="M228" s="117">
        <f t="shared" si="94"/>
        <v>143.82576511261649</v>
      </c>
      <c r="N228" s="8">
        <f t="shared" si="95"/>
        <v>284.26798292937127</v>
      </c>
      <c r="O228" s="75">
        <f t="shared" si="96"/>
        <v>140.44221781675478</v>
      </c>
    </row>
    <row r="229" spans="1:15" x14ac:dyDescent="0.25">
      <c r="A229" s="78" t="s">
        <v>71</v>
      </c>
      <c r="B229" s="72" t="str">
        <f t="shared" si="101"/>
        <v>Q1/2021</v>
      </c>
      <c r="C229" s="73">
        <f t="shared" si="99"/>
        <v>44197</v>
      </c>
      <c r="D229" s="73">
        <f t="shared" si="100"/>
        <v>44286</v>
      </c>
      <c r="E229" s="72">
        <f t="shared" si="97"/>
        <v>90</v>
      </c>
      <c r="F229" s="74">
        <f>VLOOKUP(D229,'FERC Interest Rate'!$A:$B,2,TRUE)</f>
        <v>5.0023470000000007E-2</v>
      </c>
      <c r="G229" s="75">
        <f t="shared" si="98"/>
        <v>140.44221781675478</v>
      </c>
      <c r="H229" s="75">
        <v>0</v>
      </c>
      <c r="I229" s="99">
        <f t="shared" si="104"/>
        <v>8.5569962332209037</v>
      </c>
      <c r="J229" s="76">
        <f t="shared" si="102"/>
        <v>1.732292154170112</v>
      </c>
      <c r="K229" s="116">
        <f t="shared" si="93"/>
        <v>10.289288387391016</v>
      </c>
      <c r="L229" s="76">
        <f t="shared" si="103"/>
        <v>131.88522158353422</v>
      </c>
      <c r="M229" s="117">
        <f t="shared" si="94"/>
        <v>142.17450997092524</v>
      </c>
      <c r="N229" s="8">
        <f t="shared" si="95"/>
        <v>142.1745099709249</v>
      </c>
      <c r="O229" s="75">
        <f t="shared" si="96"/>
        <v>-3.4461322684364859E-13</v>
      </c>
    </row>
    <row r="230" spans="1:15" x14ac:dyDescent="0.25">
      <c r="A230" s="78"/>
      <c r="B230" s="72"/>
      <c r="C230" s="73"/>
      <c r="D230" s="73"/>
      <c r="E230" s="72"/>
      <c r="F230" s="74"/>
      <c r="G230" s="75"/>
      <c r="H230" s="75"/>
      <c r="I230" s="99"/>
      <c r="J230" s="76"/>
      <c r="K230" s="116"/>
      <c r="L230" s="76"/>
      <c r="M230" s="117"/>
      <c r="N230" s="8"/>
      <c r="O230" s="75"/>
    </row>
    <row r="231" spans="1:15" ht="13.5" thickBot="1" x14ac:dyDescent="0.35">
      <c r="A231" s="142"/>
      <c r="B231" s="143"/>
      <c r="C231" s="144"/>
      <c r="D231" s="144"/>
      <c r="E231" s="145"/>
      <c r="F231" s="143"/>
      <c r="G231" s="127">
        <f t="shared" ref="G231:O231" si="105">+SUM(G206:G230)</f>
        <v>40741.399949788283</v>
      </c>
      <c r="H231" s="127">
        <f t="shared" si="105"/>
        <v>171.13992466441806</v>
      </c>
      <c r="I231" s="128">
        <f t="shared" si="105"/>
        <v>171.13992466441803</v>
      </c>
      <c r="J231" s="127">
        <f t="shared" si="105"/>
        <v>242.43728667685045</v>
      </c>
      <c r="K231" s="127">
        <f t="shared" si="105"/>
        <v>413.57721134126848</v>
      </c>
      <c r="L231" s="127">
        <f t="shared" si="105"/>
        <v>2637.7044316706842</v>
      </c>
      <c r="M231" s="129">
        <f t="shared" si="105"/>
        <v>3051.2816430119528</v>
      </c>
      <c r="N231" s="127">
        <f t="shared" si="105"/>
        <v>41154.977161129558</v>
      </c>
      <c r="O231" s="127">
        <f t="shared" si="105"/>
        <v>38103.695518117602</v>
      </c>
    </row>
    <row r="232" spans="1:15" ht="13" thickTop="1" x14ac:dyDescent="0.25">
      <c r="B232" s="103"/>
      <c r="C232" s="103"/>
      <c r="D232" s="103"/>
      <c r="E232" s="103"/>
      <c r="F232" s="103"/>
      <c r="G232" s="103"/>
      <c r="H232" s="103"/>
      <c r="I232" s="102"/>
      <c r="J232" s="103"/>
      <c r="K232" s="103"/>
      <c r="L232" s="103"/>
      <c r="M232" s="118"/>
      <c r="O232" s="103"/>
    </row>
    <row r="233" spans="1:15" ht="39" x14ac:dyDescent="0.3">
      <c r="A233" s="77" t="s">
        <v>51</v>
      </c>
      <c r="B233" s="77" t="s">
        <v>3</v>
      </c>
      <c r="C233" s="77" t="s">
        <v>4</v>
      </c>
      <c r="D233" s="77" t="s">
        <v>5</v>
      </c>
      <c r="E233" s="77" t="s">
        <v>6</v>
      </c>
      <c r="F233" s="77" t="s">
        <v>7</v>
      </c>
      <c r="G233" s="77" t="s">
        <v>92</v>
      </c>
      <c r="H233" s="77" t="s">
        <v>93</v>
      </c>
      <c r="I233" s="94" t="s">
        <v>94</v>
      </c>
      <c r="J233" s="95" t="s">
        <v>95</v>
      </c>
      <c r="K233" s="95" t="s">
        <v>96</v>
      </c>
      <c r="L233" s="95" t="s">
        <v>97</v>
      </c>
      <c r="M233" s="96" t="s">
        <v>98</v>
      </c>
      <c r="N233" s="77" t="s">
        <v>99</v>
      </c>
      <c r="O233" s="77" t="s">
        <v>100</v>
      </c>
    </row>
    <row r="234" spans="1:15" ht="13" x14ac:dyDescent="0.3">
      <c r="A234" s="347" t="s">
        <v>14</v>
      </c>
      <c r="B234" s="347"/>
      <c r="C234" s="73">
        <f>VLOOKUP(B235,A$1:F$25,2,FALSE)</f>
        <v>42242</v>
      </c>
      <c r="D234" s="73">
        <f>DATE(YEAR(C234),IF(MONTH(C234)&lt;=3,3,IF(MONTH(C234)&lt;=6,6,IF(MONTH(C234)&lt;=9,9,12))),IF(OR(MONTH(C234)&lt;=3,MONTH(C234)&gt;=10),31,30))</f>
        <v>42277</v>
      </c>
      <c r="E234" s="72">
        <f>D234-C234+1</f>
        <v>36</v>
      </c>
      <c r="F234" s="74">
        <f>VLOOKUP(D234,'FERC Interest Rate'!$A:$B,2,TRUE)</f>
        <v>3.2500000000000001E-2</v>
      </c>
      <c r="G234" s="75">
        <f>VLOOKUP(B235,$A$1:$F$29,5,FALSE)</f>
        <v>1397.7289078435008</v>
      </c>
      <c r="H234" s="75">
        <f t="shared" ref="H234:H240" si="106">G234*F234*(E234/(DATE(YEAR(D234),12,31)-DATE(YEAR(D234),1,1)+1))</f>
        <v>4.4803912936353312</v>
      </c>
      <c r="I234" s="180">
        <v>0</v>
      </c>
      <c r="J234" s="76">
        <v>0</v>
      </c>
      <c r="K234" s="116">
        <f t="shared" ref="K234:K256" si="107">+SUM(I234:J234)</f>
        <v>0</v>
      </c>
      <c r="L234" s="76">
        <v>0</v>
      </c>
      <c r="M234" s="117">
        <f t="shared" ref="M234:M256" si="108">+SUM(K234:L234)</f>
        <v>0</v>
      </c>
      <c r="N234" s="8">
        <f t="shared" ref="N234:N256" si="109">+G234+H234+J234</f>
        <v>1402.2092991371362</v>
      </c>
      <c r="O234" s="75">
        <f t="shared" ref="O234:O256" si="110">G234+H234-L234-I234</f>
        <v>1402.2092991371362</v>
      </c>
    </row>
    <row r="235" spans="1:15" ht="13" x14ac:dyDescent="0.3">
      <c r="A235" s="110" t="s">
        <v>40</v>
      </c>
      <c r="B235" s="141" t="s">
        <v>58</v>
      </c>
      <c r="C235" s="73">
        <f>D234+1</f>
        <v>42278</v>
      </c>
      <c r="D235" s="73">
        <f>EOMONTH(D234,3)</f>
        <v>42369</v>
      </c>
      <c r="E235" s="72">
        <f t="shared" ref="E235:E256" si="111">D235-C235+1</f>
        <v>92</v>
      </c>
      <c r="F235" s="74">
        <f>VLOOKUP(D235,'FERC Interest Rate'!$A:$B,2,TRUE)</f>
        <v>3.2500000000000001E-2</v>
      </c>
      <c r="G235" s="75">
        <f t="shared" ref="G235:G256" si="112">O234</f>
        <v>1402.2092991371362</v>
      </c>
      <c r="H235" s="75">
        <f t="shared" si="106"/>
        <v>11.486591244986405</v>
      </c>
      <c r="I235" s="180">
        <v>0</v>
      </c>
      <c r="J235" s="76">
        <v>0</v>
      </c>
      <c r="K235" s="116">
        <f t="shared" si="107"/>
        <v>0</v>
      </c>
      <c r="L235" s="76">
        <v>0</v>
      </c>
      <c r="M235" s="117">
        <f t="shared" si="108"/>
        <v>0</v>
      </c>
      <c r="N235" s="8">
        <f t="shared" si="109"/>
        <v>1413.6958903821226</v>
      </c>
      <c r="O235" s="75">
        <f t="shared" si="110"/>
        <v>1413.6958903821226</v>
      </c>
    </row>
    <row r="236" spans="1:15" ht="13" x14ac:dyDescent="0.3">
      <c r="B236" s="301"/>
      <c r="C236" s="73">
        <f t="shared" ref="C236:C256" si="113">D235+1</f>
        <v>42370</v>
      </c>
      <c r="D236" s="73">
        <f t="shared" ref="D236:D256" si="114">EOMONTH(D235,3)</f>
        <v>42460</v>
      </c>
      <c r="E236" s="72">
        <f t="shared" si="111"/>
        <v>91</v>
      </c>
      <c r="F236" s="74">
        <f>VLOOKUP(D236,'FERC Interest Rate'!$A:$B,2,TRUE)</f>
        <v>3.2500000000000001E-2</v>
      </c>
      <c r="G236" s="75">
        <f t="shared" si="112"/>
        <v>1413.6958903821226</v>
      </c>
      <c r="H236" s="75">
        <f t="shared" si="106"/>
        <v>11.423512556844612</v>
      </c>
      <c r="I236" s="180">
        <v>0</v>
      </c>
      <c r="J236" s="76">
        <v>0</v>
      </c>
      <c r="K236" s="116">
        <f t="shared" si="107"/>
        <v>0</v>
      </c>
      <c r="L236" s="76">
        <v>0</v>
      </c>
      <c r="M236" s="117">
        <f t="shared" si="108"/>
        <v>0</v>
      </c>
      <c r="N236" s="8">
        <f t="shared" si="109"/>
        <v>1425.1194029389671</v>
      </c>
      <c r="O236" s="75">
        <f t="shared" si="110"/>
        <v>1425.1194029389671</v>
      </c>
    </row>
    <row r="237" spans="1:15" x14ac:dyDescent="0.25">
      <c r="A237" s="78"/>
      <c r="B237" s="72"/>
      <c r="C237" s="73">
        <f t="shared" si="113"/>
        <v>42461</v>
      </c>
      <c r="D237" s="73">
        <f t="shared" si="114"/>
        <v>42551</v>
      </c>
      <c r="E237" s="72">
        <f t="shared" si="111"/>
        <v>91</v>
      </c>
      <c r="F237" s="74">
        <f>VLOOKUP(D237,'FERC Interest Rate'!$A:$B,2,TRUE)</f>
        <v>3.4599999999999999E-2</v>
      </c>
      <c r="G237" s="75">
        <f t="shared" si="112"/>
        <v>1425.1194029389671</v>
      </c>
      <c r="H237" s="75">
        <f t="shared" si="106"/>
        <v>12.259920634135607</v>
      </c>
      <c r="I237" s="180">
        <v>0</v>
      </c>
      <c r="J237" s="76">
        <v>0</v>
      </c>
      <c r="K237" s="116">
        <f t="shared" si="107"/>
        <v>0</v>
      </c>
      <c r="L237" s="76">
        <v>0</v>
      </c>
      <c r="M237" s="117">
        <f t="shared" si="108"/>
        <v>0</v>
      </c>
      <c r="N237" s="8">
        <f t="shared" si="109"/>
        <v>1437.3793235731027</v>
      </c>
      <c r="O237" s="75">
        <f t="shared" si="110"/>
        <v>1437.3793235731027</v>
      </c>
    </row>
    <row r="238" spans="1:15" x14ac:dyDescent="0.25">
      <c r="A238" s="309"/>
      <c r="B238" s="72"/>
      <c r="C238" s="73">
        <f t="shared" si="113"/>
        <v>42552</v>
      </c>
      <c r="D238" s="73">
        <f t="shared" si="114"/>
        <v>42643</v>
      </c>
      <c r="E238" s="72">
        <f t="shared" si="111"/>
        <v>92</v>
      </c>
      <c r="F238" s="74">
        <f>VLOOKUP(D238,'FERC Interest Rate'!$A:$B,2,TRUE)</f>
        <v>3.5000000000000003E-2</v>
      </c>
      <c r="G238" s="75">
        <f t="shared" si="112"/>
        <v>1437.3793235731027</v>
      </c>
      <c r="H238" s="75">
        <f t="shared" si="106"/>
        <v>12.645796234714183</v>
      </c>
      <c r="I238" s="180">
        <v>0</v>
      </c>
      <c r="J238" s="76">
        <v>0</v>
      </c>
      <c r="K238" s="116">
        <f t="shared" si="107"/>
        <v>0</v>
      </c>
      <c r="L238" s="76">
        <v>0</v>
      </c>
      <c r="M238" s="117">
        <f t="shared" si="108"/>
        <v>0</v>
      </c>
      <c r="N238" s="8">
        <f t="shared" si="109"/>
        <v>1450.025119807817</v>
      </c>
      <c r="O238" s="75">
        <f t="shared" si="110"/>
        <v>1450.025119807817</v>
      </c>
    </row>
    <row r="239" spans="1:15" x14ac:dyDescent="0.25">
      <c r="A239" s="78"/>
      <c r="B239" s="72"/>
      <c r="C239" s="73">
        <f t="shared" si="113"/>
        <v>42644</v>
      </c>
      <c r="D239" s="73">
        <f t="shared" si="114"/>
        <v>42735</v>
      </c>
      <c r="E239" s="72">
        <f t="shared" si="111"/>
        <v>92</v>
      </c>
      <c r="F239" s="74">
        <f>VLOOKUP(D239,'FERC Interest Rate'!$A:$B,2,TRUE)</f>
        <v>3.5000000000000003E-2</v>
      </c>
      <c r="G239" s="75">
        <f t="shared" si="112"/>
        <v>1450.025119807817</v>
      </c>
      <c r="H239" s="75">
        <f t="shared" si="106"/>
        <v>12.757051600495002</v>
      </c>
      <c r="I239" s="180">
        <v>0</v>
      </c>
      <c r="J239" s="76">
        <v>0</v>
      </c>
      <c r="K239" s="116">
        <f t="shared" si="107"/>
        <v>0</v>
      </c>
      <c r="L239" s="76">
        <v>0</v>
      </c>
      <c r="M239" s="117">
        <f t="shared" si="108"/>
        <v>0</v>
      </c>
      <c r="N239" s="8">
        <f t="shared" si="109"/>
        <v>1462.782171408312</v>
      </c>
      <c r="O239" s="75">
        <f t="shared" si="110"/>
        <v>1462.782171408312</v>
      </c>
    </row>
    <row r="240" spans="1:15" x14ac:dyDescent="0.25">
      <c r="A240" s="78" t="s">
        <v>101</v>
      </c>
      <c r="B240" s="72" t="str">
        <f t="shared" ref="B240:B256" si="115">+IF(MONTH(C240)&lt;4,"Q1",IF(MONTH(C240)&lt;7,"Q2",IF(MONTH(C240)&lt;10,"Q3","Q4")))&amp;"/"&amp;YEAR(C240)</f>
        <v>Q1/2017</v>
      </c>
      <c r="C240" s="73">
        <f t="shared" si="113"/>
        <v>42736</v>
      </c>
      <c r="D240" s="73">
        <f t="shared" si="114"/>
        <v>42825</v>
      </c>
      <c r="E240" s="72">
        <f t="shared" si="111"/>
        <v>90</v>
      </c>
      <c r="F240" s="74">
        <f>VLOOKUP(D240,'FERC Interest Rate'!$A:$B,2,TRUE)</f>
        <v>3.5000000000000003E-2</v>
      </c>
      <c r="G240" s="75">
        <f t="shared" si="112"/>
        <v>1462.782171408312</v>
      </c>
      <c r="H240" s="75">
        <f t="shared" si="106"/>
        <v>12.624010520373105</v>
      </c>
      <c r="I240" s="180">
        <f>SUM($H$234:$H$257)/20*4</f>
        <v>15.53545481703685</v>
      </c>
      <c r="J240" s="76">
        <f t="shared" ref="J240:J256" si="116">G240*F240*(E240/(DATE(YEAR(D240),12,31)-DATE(YEAR(D240),1,1)+1))</f>
        <v>12.624010520373105</v>
      </c>
      <c r="K240" s="116">
        <f t="shared" si="107"/>
        <v>28.159465337409955</v>
      </c>
      <c r="L240" s="76">
        <f>VLOOKUP($B$235,A$1:F$25,5,FALSE)/20*4</f>
        <v>279.54578156870014</v>
      </c>
      <c r="M240" s="117">
        <f t="shared" si="108"/>
        <v>307.70524690611012</v>
      </c>
      <c r="N240" s="8">
        <f t="shared" si="109"/>
        <v>1488.0301924490582</v>
      </c>
      <c r="O240" s="75">
        <f t="shared" si="110"/>
        <v>1180.3249455429479</v>
      </c>
    </row>
    <row r="241" spans="1:15" x14ac:dyDescent="0.25">
      <c r="A241" s="78" t="s">
        <v>56</v>
      </c>
      <c r="B241" s="72" t="str">
        <f t="shared" si="115"/>
        <v>Q2/2017</v>
      </c>
      <c r="C241" s="73">
        <f t="shared" si="113"/>
        <v>42826</v>
      </c>
      <c r="D241" s="73">
        <f t="shared" si="114"/>
        <v>42916</v>
      </c>
      <c r="E241" s="72">
        <f t="shared" si="111"/>
        <v>91</v>
      </c>
      <c r="F241" s="74">
        <f>VLOOKUP(D241,'FERC Interest Rate'!$A:$B,2,TRUE)</f>
        <v>3.7100000000000001E-2</v>
      </c>
      <c r="G241" s="75">
        <f t="shared" si="112"/>
        <v>1180.3249455429479</v>
      </c>
      <c r="H241" s="75">
        <v>0</v>
      </c>
      <c r="I241" s="180">
        <f>SUM($H$234:$H$257)/20</f>
        <v>3.8838637042592126</v>
      </c>
      <c r="J241" s="76">
        <f t="shared" si="116"/>
        <v>10.917520681226156</v>
      </c>
      <c r="K241" s="116">
        <f t="shared" si="107"/>
        <v>14.801384385485369</v>
      </c>
      <c r="L241" s="76">
        <f t="shared" ref="L241:L256" si="117">VLOOKUP($B$235,A$1:F$25,5,FALSE)/20</f>
        <v>69.886445392175034</v>
      </c>
      <c r="M241" s="117">
        <f t="shared" si="108"/>
        <v>84.687829777660397</v>
      </c>
      <c r="N241" s="8">
        <f t="shared" si="109"/>
        <v>1191.242466224174</v>
      </c>
      <c r="O241" s="75">
        <f t="shared" si="110"/>
        <v>1106.5546364465135</v>
      </c>
    </row>
    <row r="242" spans="1:15" x14ac:dyDescent="0.25">
      <c r="A242" s="78" t="s">
        <v>57</v>
      </c>
      <c r="B242" s="72" t="str">
        <f t="shared" si="115"/>
        <v>Q3/2017</v>
      </c>
      <c r="C242" s="73">
        <f t="shared" si="113"/>
        <v>42917</v>
      </c>
      <c r="D242" s="73">
        <f t="shared" si="114"/>
        <v>43008</v>
      </c>
      <c r="E242" s="72">
        <f t="shared" si="111"/>
        <v>92</v>
      </c>
      <c r="F242" s="74">
        <f>VLOOKUP(D242,'FERC Interest Rate'!$A:$B,2,TRUE)</f>
        <v>3.9600000000000003E-2</v>
      </c>
      <c r="G242" s="75">
        <f t="shared" si="112"/>
        <v>1106.5546364465135</v>
      </c>
      <c r="H242" s="75">
        <v>0</v>
      </c>
      <c r="I242" s="99">
        <f>SUM($H$234:$H$257)/20</f>
        <v>3.8838637042592126</v>
      </c>
      <c r="J242" s="76">
        <f t="shared" si="116"/>
        <v>11.044931100005313</v>
      </c>
      <c r="K242" s="116">
        <f t="shared" si="107"/>
        <v>14.928794804264525</v>
      </c>
      <c r="L242" s="76">
        <f t="shared" si="117"/>
        <v>69.886445392175034</v>
      </c>
      <c r="M242" s="117">
        <f t="shared" si="108"/>
        <v>84.815240196439561</v>
      </c>
      <c r="N242" s="8">
        <f t="shared" si="109"/>
        <v>1117.5995675465188</v>
      </c>
      <c r="O242" s="75">
        <f t="shared" si="110"/>
        <v>1032.7843273500791</v>
      </c>
    </row>
    <row r="243" spans="1:15" x14ac:dyDescent="0.25">
      <c r="A243" s="78" t="s">
        <v>58</v>
      </c>
      <c r="B243" s="72" t="str">
        <f t="shared" si="115"/>
        <v>Q4/2017</v>
      </c>
      <c r="C243" s="73">
        <f t="shared" si="113"/>
        <v>43009</v>
      </c>
      <c r="D243" s="73">
        <f t="shared" si="114"/>
        <v>43100</v>
      </c>
      <c r="E243" s="72">
        <f t="shared" si="111"/>
        <v>92</v>
      </c>
      <c r="F243" s="74">
        <f>VLOOKUP(D243,'FERC Interest Rate'!$A:$B,2,TRUE)</f>
        <v>4.2099999999999999E-2</v>
      </c>
      <c r="G243" s="75">
        <f t="shared" si="112"/>
        <v>1032.7843273500791</v>
      </c>
      <c r="H243" s="75">
        <v>0</v>
      </c>
      <c r="I243" s="99">
        <f>SUM($H$234:$H$257)/20</f>
        <v>3.8838637042592126</v>
      </c>
      <c r="J243" s="76">
        <f t="shared" si="116"/>
        <v>10.959397963540621</v>
      </c>
      <c r="K243" s="116">
        <f t="shared" si="107"/>
        <v>14.843261667799833</v>
      </c>
      <c r="L243" s="76">
        <f t="shared" si="117"/>
        <v>69.886445392175034</v>
      </c>
      <c r="M243" s="117">
        <f t="shared" si="108"/>
        <v>84.729707059974871</v>
      </c>
      <c r="N243" s="8">
        <f t="shared" si="109"/>
        <v>1043.7437253136197</v>
      </c>
      <c r="O243" s="75">
        <f t="shared" si="110"/>
        <v>959.01401825364496</v>
      </c>
    </row>
    <row r="244" spans="1:15" x14ac:dyDescent="0.25">
      <c r="A244" s="78" t="s">
        <v>59</v>
      </c>
      <c r="B244" s="72" t="str">
        <f t="shared" si="115"/>
        <v>Q1/2018</v>
      </c>
      <c r="C244" s="73">
        <f t="shared" si="113"/>
        <v>43101</v>
      </c>
      <c r="D244" s="73">
        <f t="shared" si="114"/>
        <v>43190</v>
      </c>
      <c r="E244" s="72">
        <f t="shared" si="111"/>
        <v>90</v>
      </c>
      <c r="F244" s="74">
        <f>VLOOKUP(D244,'FERC Interest Rate'!$A:$B,2,TRUE)</f>
        <v>4.2500000000000003E-2</v>
      </c>
      <c r="G244" s="75">
        <f t="shared" si="112"/>
        <v>959.01401825364496</v>
      </c>
      <c r="H244" s="75">
        <v>0</v>
      </c>
      <c r="I244" s="99">
        <f t="shared" ref="I244:I256" si="118">SUM($H$234:$H$257)/20</f>
        <v>3.8838637042592126</v>
      </c>
      <c r="J244" s="76">
        <f t="shared" si="116"/>
        <v>10.04994142416491</v>
      </c>
      <c r="K244" s="116">
        <f t="shared" si="107"/>
        <v>13.933805128424122</v>
      </c>
      <c r="L244" s="76">
        <f t="shared" si="117"/>
        <v>69.886445392175034</v>
      </c>
      <c r="M244" s="117">
        <f t="shared" si="108"/>
        <v>83.82025052059916</v>
      </c>
      <c r="N244" s="8">
        <f t="shared" si="109"/>
        <v>969.06395967780986</v>
      </c>
      <c r="O244" s="75">
        <f t="shared" si="110"/>
        <v>885.24370915721079</v>
      </c>
    </row>
    <row r="245" spans="1:15" x14ac:dyDescent="0.25">
      <c r="A245" s="78" t="s">
        <v>60</v>
      </c>
      <c r="B245" s="72" t="str">
        <f t="shared" si="115"/>
        <v>Q2/2018</v>
      </c>
      <c r="C245" s="73">
        <f t="shared" si="113"/>
        <v>43191</v>
      </c>
      <c r="D245" s="73">
        <f t="shared" si="114"/>
        <v>43281</v>
      </c>
      <c r="E245" s="72">
        <f t="shared" si="111"/>
        <v>91</v>
      </c>
      <c r="F245" s="74">
        <f>VLOOKUP(D245,'FERC Interest Rate'!$A:$B,2,TRUE)</f>
        <v>4.4699999999999997E-2</v>
      </c>
      <c r="G245" s="75">
        <f t="shared" si="112"/>
        <v>885.24370915721079</v>
      </c>
      <c r="H245" s="75">
        <v>0</v>
      </c>
      <c r="I245" s="99">
        <f t="shared" si="118"/>
        <v>3.8838637042592126</v>
      </c>
      <c r="J245" s="76">
        <f t="shared" si="116"/>
        <v>9.8654954403802364</v>
      </c>
      <c r="K245" s="116">
        <f t="shared" si="107"/>
        <v>13.749359144639449</v>
      </c>
      <c r="L245" s="76">
        <f t="shared" si="117"/>
        <v>69.886445392175034</v>
      </c>
      <c r="M245" s="117">
        <f t="shared" si="108"/>
        <v>83.635804536814476</v>
      </c>
      <c r="N245" s="8">
        <f t="shared" si="109"/>
        <v>895.10920459759097</v>
      </c>
      <c r="O245" s="75">
        <f t="shared" si="110"/>
        <v>811.47340006077661</v>
      </c>
    </row>
    <row r="246" spans="1:15" x14ac:dyDescent="0.25">
      <c r="A246" s="78" t="s">
        <v>61</v>
      </c>
      <c r="B246" s="72" t="str">
        <f t="shared" si="115"/>
        <v>Q3/2018</v>
      </c>
      <c r="C246" s="73">
        <f t="shared" si="113"/>
        <v>43282</v>
      </c>
      <c r="D246" s="73">
        <f t="shared" si="114"/>
        <v>43373</v>
      </c>
      <c r="E246" s="72">
        <f t="shared" si="111"/>
        <v>92</v>
      </c>
      <c r="F246" s="74">
        <f>VLOOKUP(D246,'FERC Interest Rate'!$A:$B,2,TRUE)</f>
        <v>4.6899999999999997E-2</v>
      </c>
      <c r="G246" s="75">
        <f t="shared" si="112"/>
        <v>811.47340006077661</v>
      </c>
      <c r="H246" s="75">
        <v>0</v>
      </c>
      <c r="I246" s="99">
        <f t="shared" si="118"/>
        <v>3.8838637042592126</v>
      </c>
      <c r="J246" s="76">
        <f t="shared" si="116"/>
        <v>9.5927271961157228</v>
      </c>
      <c r="K246" s="116">
        <f t="shared" si="107"/>
        <v>13.476590900374935</v>
      </c>
      <c r="L246" s="76">
        <f t="shared" si="117"/>
        <v>69.886445392175034</v>
      </c>
      <c r="M246" s="117">
        <f t="shared" si="108"/>
        <v>83.363036292549964</v>
      </c>
      <c r="N246" s="8">
        <f t="shared" si="109"/>
        <v>821.06612725689229</v>
      </c>
      <c r="O246" s="75">
        <f t="shared" si="110"/>
        <v>737.70309096434244</v>
      </c>
    </row>
    <row r="247" spans="1:15" x14ac:dyDescent="0.25">
      <c r="A247" s="78" t="s">
        <v>62</v>
      </c>
      <c r="B247" s="72" t="str">
        <f t="shared" si="115"/>
        <v>Q4/2018</v>
      </c>
      <c r="C247" s="73">
        <f t="shared" si="113"/>
        <v>43374</v>
      </c>
      <c r="D247" s="73">
        <f t="shared" si="114"/>
        <v>43465</v>
      </c>
      <c r="E247" s="72">
        <f t="shared" si="111"/>
        <v>92</v>
      </c>
      <c r="F247" s="74">
        <f>VLOOKUP(D247,'FERC Interest Rate'!$A:$B,2,TRUE)</f>
        <v>4.9599999999999998E-2</v>
      </c>
      <c r="G247" s="75">
        <f t="shared" si="112"/>
        <v>737.70309096434244</v>
      </c>
      <c r="H247" s="75">
        <v>0</v>
      </c>
      <c r="I247" s="99">
        <f t="shared" si="118"/>
        <v>3.8838637042592126</v>
      </c>
      <c r="J247" s="76">
        <f t="shared" si="116"/>
        <v>9.2227034101054457</v>
      </c>
      <c r="K247" s="116">
        <f t="shared" si="107"/>
        <v>13.106567114364658</v>
      </c>
      <c r="L247" s="76">
        <f t="shared" si="117"/>
        <v>69.886445392175034</v>
      </c>
      <c r="M247" s="117">
        <f t="shared" si="108"/>
        <v>82.993012506539685</v>
      </c>
      <c r="N247" s="8">
        <f t="shared" si="109"/>
        <v>746.92579437444783</v>
      </c>
      <c r="O247" s="75">
        <f t="shared" si="110"/>
        <v>663.93278186790826</v>
      </c>
    </row>
    <row r="248" spans="1:15" x14ac:dyDescent="0.25">
      <c r="A248" s="78" t="s">
        <v>63</v>
      </c>
      <c r="B248" s="72" t="str">
        <f t="shared" si="115"/>
        <v>Q1/2019</v>
      </c>
      <c r="C248" s="73">
        <f t="shared" si="113"/>
        <v>43466</v>
      </c>
      <c r="D248" s="73">
        <f t="shared" si="114"/>
        <v>43555</v>
      </c>
      <c r="E248" s="72">
        <f t="shared" si="111"/>
        <v>90</v>
      </c>
      <c r="F248" s="74">
        <f>VLOOKUP(D248,'FERC Interest Rate'!$A:$B,2,TRUE)</f>
        <v>5.1799999999999999E-2</v>
      </c>
      <c r="G248" s="75">
        <f t="shared" si="112"/>
        <v>663.93278186790826</v>
      </c>
      <c r="H248" s="75">
        <v>0</v>
      </c>
      <c r="I248" s="99">
        <f t="shared" si="118"/>
        <v>3.8838637042592126</v>
      </c>
      <c r="J248" s="76">
        <f t="shared" si="116"/>
        <v>8.4801496686799673</v>
      </c>
      <c r="K248" s="116">
        <f t="shared" si="107"/>
        <v>12.36401337293918</v>
      </c>
      <c r="L248" s="76">
        <f t="shared" si="117"/>
        <v>69.886445392175034</v>
      </c>
      <c r="M248" s="117">
        <f t="shared" si="108"/>
        <v>82.250458765114217</v>
      </c>
      <c r="N248" s="8">
        <f t="shared" si="109"/>
        <v>672.41293153658819</v>
      </c>
      <c r="O248" s="75">
        <f t="shared" si="110"/>
        <v>590.16247277147409</v>
      </c>
    </row>
    <row r="249" spans="1:15" x14ac:dyDescent="0.25">
      <c r="A249" s="78" t="s">
        <v>64</v>
      </c>
      <c r="B249" s="72" t="str">
        <f t="shared" si="115"/>
        <v>Q2/2019</v>
      </c>
      <c r="C249" s="73">
        <f t="shared" si="113"/>
        <v>43556</v>
      </c>
      <c r="D249" s="73">
        <f t="shared" si="114"/>
        <v>43646</v>
      </c>
      <c r="E249" s="72">
        <f t="shared" si="111"/>
        <v>91</v>
      </c>
      <c r="F249" s="74">
        <f>VLOOKUP(D249,'FERC Interest Rate'!$A:$B,2,TRUE)</f>
        <v>5.45E-2</v>
      </c>
      <c r="G249" s="75">
        <f t="shared" si="112"/>
        <v>590.16247277147409</v>
      </c>
      <c r="H249" s="75">
        <v>0</v>
      </c>
      <c r="I249" s="99">
        <f t="shared" si="118"/>
        <v>3.8838637042592126</v>
      </c>
      <c r="J249" s="76">
        <f t="shared" si="116"/>
        <v>8.0189336540003442</v>
      </c>
      <c r="K249" s="116">
        <f t="shared" si="107"/>
        <v>11.902797358259557</v>
      </c>
      <c r="L249" s="76">
        <f t="shared" si="117"/>
        <v>69.886445392175034</v>
      </c>
      <c r="M249" s="117">
        <f t="shared" si="108"/>
        <v>81.789242750434596</v>
      </c>
      <c r="N249" s="8">
        <f t="shared" si="109"/>
        <v>598.18140642547439</v>
      </c>
      <c r="O249" s="75">
        <f t="shared" si="110"/>
        <v>516.39216367503991</v>
      </c>
    </row>
    <row r="250" spans="1:15" x14ac:dyDescent="0.25">
      <c r="A250" s="78" t="s">
        <v>65</v>
      </c>
      <c r="B250" s="72" t="str">
        <f t="shared" si="115"/>
        <v>Q3/2019</v>
      </c>
      <c r="C250" s="73">
        <f t="shared" si="113"/>
        <v>43647</v>
      </c>
      <c r="D250" s="73">
        <f t="shared" si="114"/>
        <v>43738</v>
      </c>
      <c r="E250" s="72">
        <f t="shared" si="111"/>
        <v>92</v>
      </c>
      <c r="F250" s="74">
        <f>VLOOKUP(D250,'FERC Interest Rate'!$A:$B,2,TRUE)</f>
        <v>5.5E-2</v>
      </c>
      <c r="G250" s="75">
        <f t="shared" si="112"/>
        <v>516.39216367503991</v>
      </c>
      <c r="H250" s="75">
        <v>0</v>
      </c>
      <c r="I250" s="99">
        <f t="shared" si="118"/>
        <v>3.8838637042592126</v>
      </c>
      <c r="J250" s="76">
        <f t="shared" si="116"/>
        <v>7.1587516388923351</v>
      </c>
      <c r="K250" s="116">
        <f t="shared" si="107"/>
        <v>11.042615343151548</v>
      </c>
      <c r="L250" s="76">
        <f t="shared" si="117"/>
        <v>69.886445392175034</v>
      </c>
      <c r="M250" s="117">
        <f t="shared" si="108"/>
        <v>80.929060735326587</v>
      </c>
      <c r="N250" s="8">
        <f t="shared" si="109"/>
        <v>523.55091531393225</v>
      </c>
      <c r="O250" s="75">
        <f t="shared" si="110"/>
        <v>442.62185457860568</v>
      </c>
    </row>
    <row r="251" spans="1:15" x14ac:dyDescent="0.25">
      <c r="A251" s="78" t="s">
        <v>66</v>
      </c>
      <c r="B251" s="72" t="str">
        <f t="shared" si="115"/>
        <v>Q4/2019</v>
      </c>
      <c r="C251" s="73">
        <f t="shared" si="113"/>
        <v>43739</v>
      </c>
      <c r="D251" s="73">
        <f t="shared" si="114"/>
        <v>43830</v>
      </c>
      <c r="E251" s="72">
        <f t="shared" si="111"/>
        <v>92</v>
      </c>
      <c r="F251" s="74">
        <f>VLOOKUP(D251,'FERC Interest Rate'!$A:$B,2,TRUE)</f>
        <v>5.4199999999999998E-2</v>
      </c>
      <c r="G251" s="75">
        <f t="shared" si="112"/>
        <v>442.62185457860568</v>
      </c>
      <c r="H251" s="75">
        <v>0</v>
      </c>
      <c r="I251" s="99">
        <f t="shared" si="118"/>
        <v>3.8838637042592126</v>
      </c>
      <c r="J251" s="76">
        <f t="shared" si="116"/>
        <v>6.0468208648513952</v>
      </c>
      <c r="K251" s="116">
        <f t="shared" si="107"/>
        <v>9.9306845691106069</v>
      </c>
      <c r="L251" s="76">
        <f t="shared" si="117"/>
        <v>69.886445392175034</v>
      </c>
      <c r="M251" s="117">
        <f t="shared" si="108"/>
        <v>79.817129961285644</v>
      </c>
      <c r="N251" s="8">
        <f t="shared" si="109"/>
        <v>448.66867544345706</v>
      </c>
      <c r="O251" s="75">
        <f t="shared" si="110"/>
        <v>368.85154548217139</v>
      </c>
    </row>
    <row r="252" spans="1:15" x14ac:dyDescent="0.25">
      <c r="A252" s="78" t="s">
        <v>67</v>
      </c>
      <c r="B252" s="72" t="str">
        <f t="shared" si="115"/>
        <v>Q1/2020</v>
      </c>
      <c r="C252" s="73">
        <f t="shared" si="113"/>
        <v>43831</v>
      </c>
      <c r="D252" s="73">
        <f t="shared" si="114"/>
        <v>43921</v>
      </c>
      <c r="E252" s="72">
        <f t="shared" si="111"/>
        <v>91</v>
      </c>
      <c r="F252" s="74">
        <f>VLOOKUP(D252,'FERC Interest Rate'!$A:$B,2,TRUE)</f>
        <v>4.9599999999999998E-2</v>
      </c>
      <c r="G252" s="75">
        <f t="shared" si="112"/>
        <v>368.85154548217139</v>
      </c>
      <c r="H252" s="75">
        <v>0</v>
      </c>
      <c r="I252" s="99">
        <f t="shared" si="118"/>
        <v>3.8838637042592126</v>
      </c>
      <c r="J252" s="76">
        <f t="shared" si="116"/>
        <v>4.5487659445036304</v>
      </c>
      <c r="K252" s="116">
        <f t="shared" si="107"/>
        <v>8.4326296487628429</v>
      </c>
      <c r="L252" s="76">
        <f t="shared" si="117"/>
        <v>69.886445392175034</v>
      </c>
      <c r="M252" s="117">
        <f t="shared" si="108"/>
        <v>78.319075040937875</v>
      </c>
      <c r="N252" s="8">
        <f t="shared" si="109"/>
        <v>373.40031142667505</v>
      </c>
      <c r="O252" s="75">
        <f t="shared" si="110"/>
        <v>295.0812363857371</v>
      </c>
    </row>
    <row r="253" spans="1:15" x14ac:dyDescent="0.25">
      <c r="A253" s="78" t="s">
        <v>68</v>
      </c>
      <c r="B253" s="72" t="str">
        <f t="shared" si="115"/>
        <v>Q2/2020</v>
      </c>
      <c r="C253" s="73">
        <f t="shared" si="113"/>
        <v>43922</v>
      </c>
      <c r="D253" s="73">
        <f t="shared" si="114"/>
        <v>44012</v>
      </c>
      <c r="E253" s="72">
        <f t="shared" si="111"/>
        <v>91</v>
      </c>
      <c r="F253" s="74">
        <f>VLOOKUP(D253,'FERC Interest Rate'!$A:$B,2,TRUE)</f>
        <v>4.7503500000000004E-2</v>
      </c>
      <c r="G253" s="75">
        <f t="shared" si="112"/>
        <v>295.0812363857371</v>
      </c>
      <c r="H253" s="75">
        <v>0</v>
      </c>
      <c r="I253" s="99">
        <f t="shared" si="118"/>
        <v>3.8838637042592126</v>
      </c>
      <c r="J253" s="76">
        <f t="shared" si="116"/>
        <v>3.4851984362052941</v>
      </c>
      <c r="K253" s="116">
        <f t="shared" si="107"/>
        <v>7.3690621404645071</v>
      </c>
      <c r="L253" s="76">
        <f t="shared" si="117"/>
        <v>69.886445392175034</v>
      </c>
      <c r="M253" s="117">
        <f t="shared" si="108"/>
        <v>77.255507532639541</v>
      </c>
      <c r="N253" s="8">
        <f t="shared" si="109"/>
        <v>298.56643482194238</v>
      </c>
      <c r="O253" s="75">
        <f t="shared" si="110"/>
        <v>221.31092728930287</v>
      </c>
    </row>
    <row r="254" spans="1:15" x14ac:dyDescent="0.25">
      <c r="A254" s="78" t="s">
        <v>69</v>
      </c>
      <c r="B254" s="72" t="str">
        <f t="shared" si="115"/>
        <v>Q3/2020</v>
      </c>
      <c r="C254" s="73">
        <f t="shared" si="113"/>
        <v>44013</v>
      </c>
      <c r="D254" s="73">
        <f t="shared" si="114"/>
        <v>44104</v>
      </c>
      <c r="E254" s="72">
        <f t="shared" si="111"/>
        <v>92</v>
      </c>
      <c r="F254" s="74">
        <f>VLOOKUP(D254,'FERC Interest Rate'!$A:$B,2,TRUE)</f>
        <v>4.7507929999999997E-2</v>
      </c>
      <c r="G254" s="75">
        <f t="shared" si="112"/>
        <v>221.31092728930287</v>
      </c>
      <c r="H254" s="75">
        <v>0</v>
      </c>
      <c r="I254" s="99">
        <f t="shared" si="118"/>
        <v>3.8838637042592126</v>
      </c>
      <c r="J254" s="76">
        <f t="shared" si="116"/>
        <v>2.6428694312960839</v>
      </c>
      <c r="K254" s="116">
        <f t="shared" si="107"/>
        <v>6.5267331355552969</v>
      </c>
      <c r="L254" s="76">
        <f t="shared" si="117"/>
        <v>69.886445392175034</v>
      </c>
      <c r="M254" s="117">
        <f t="shared" si="108"/>
        <v>76.413178527730338</v>
      </c>
      <c r="N254" s="8">
        <f t="shared" si="109"/>
        <v>223.95379672059894</v>
      </c>
      <c r="O254" s="75">
        <f t="shared" si="110"/>
        <v>147.54061819286864</v>
      </c>
    </row>
    <row r="255" spans="1:15" x14ac:dyDescent="0.25">
      <c r="A255" s="78" t="s">
        <v>70</v>
      </c>
      <c r="B255" s="72" t="str">
        <f t="shared" si="115"/>
        <v>Q4/2020</v>
      </c>
      <c r="C255" s="73">
        <f t="shared" si="113"/>
        <v>44105</v>
      </c>
      <c r="D255" s="73">
        <f t="shared" si="114"/>
        <v>44196</v>
      </c>
      <c r="E255" s="72">
        <f t="shared" si="111"/>
        <v>92</v>
      </c>
      <c r="F255" s="74">
        <f>VLOOKUP(D255,'FERC Interest Rate'!$A:$B,2,TRUE)</f>
        <v>4.7922320000000004E-2</v>
      </c>
      <c r="G255" s="75">
        <f t="shared" si="112"/>
        <v>147.54061819286864</v>
      </c>
      <c r="H255" s="75">
        <v>0</v>
      </c>
      <c r="I255" s="99">
        <f t="shared" si="118"/>
        <v>3.8838637042592126</v>
      </c>
      <c r="J255" s="76">
        <f t="shared" si="116"/>
        <v>1.7772813171020643</v>
      </c>
      <c r="K255" s="116">
        <f t="shared" si="107"/>
        <v>5.6611450213612766</v>
      </c>
      <c r="L255" s="76">
        <f t="shared" si="117"/>
        <v>69.886445392175034</v>
      </c>
      <c r="M255" s="117">
        <f t="shared" si="108"/>
        <v>75.547590413536312</v>
      </c>
      <c r="N255" s="8">
        <f t="shared" si="109"/>
        <v>149.31789950997069</v>
      </c>
      <c r="O255" s="75">
        <f t="shared" si="110"/>
        <v>73.770309096434389</v>
      </c>
    </row>
    <row r="256" spans="1:15" x14ac:dyDescent="0.25">
      <c r="A256" s="78" t="s">
        <v>71</v>
      </c>
      <c r="B256" s="72" t="str">
        <f t="shared" si="115"/>
        <v>Q1/2021</v>
      </c>
      <c r="C256" s="73">
        <f t="shared" si="113"/>
        <v>44197</v>
      </c>
      <c r="D256" s="73">
        <f t="shared" si="114"/>
        <v>44286</v>
      </c>
      <c r="E256" s="72">
        <f t="shared" si="111"/>
        <v>90</v>
      </c>
      <c r="F256" s="74">
        <f>VLOOKUP(D256,'FERC Interest Rate'!$A:$B,2,TRUE)</f>
        <v>5.0023470000000007E-2</v>
      </c>
      <c r="G256" s="75">
        <f t="shared" si="112"/>
        <v>73.770309096434389</v>
      </c>
      <c r="H256" s="75">
        <v>0</v>
      </c>
      <c r="I256" s="99">
        <f t="shared" si="118"/>
        <v>3.8838637042592126</v>
      </c>
      <c r="J256" s="76">
        <f t="shared" si="116"/>
        <v>0.90992387933660057</v>
      </c>
      <c r="K256" s="116">
        <f t="shared" si="107"/>
        <v>4.7937875835958135</v>
      </c>
      <c r="L256" s="76">
        <f t="shared" si="117"/>
        <v>69.886445392175034</v>
      </c>
      <c r="M256" s="117">
        <f t="shared" si="108"/>
        <v>74.680232975770849</v>
      </c>
      <c r="N256" s="8">
        <f t="shared" si="109"/>
        <v>74.680232975770991</v>
      </c>
      <c r="O256" s="75">
        <f t="shared" si="110"/>
        <v>1.4210854715202004E-13</v>
      </c>
    </row>
    <row r="257" spans="1:15" x14ac:dyDescent="0.25">
      <c r="A257" s="78"/>
      <c r="B257" s="72"/>
      <c r="C257" s="73"/>
      <c r="D257" s="73"/>
      <c r="E257" s="72"/>
      <c r="F257" s="74"/>
      <c r="G257" s="75"/>
      <c r="H257" s="75"/>
      <c r="I257" s="99"/>
      <c r="J257" s="76"/>
      <c r="K257" s="116"/>
      <c r="L257" s="76"/>
      <c r="M257" s="117"/>
      <c r="N257" s="8"/>
      <c r="O257" s="75"/>
    </row>
    <row r="258" spans="1:15" ht="13.5" thickBot="1" x14ac:dyDescent="0.35">
      <c r="A258" s="142"/>
      <c r="B258" s="143"/>
      <c r="C258" s="144"/>
      <c r="D258" s="144"/>
      <c r="E258" s="145"/>
      <c r="F258" s="143"/>
      <c r="G258" s="127">
        <f t="shared" ref="G258:O258" si="119">+SUM(G234:G257)</f>
        <v>20021.702152206017</v>
      </c>
      <c r="H258" s="127">
        <f t="shared" si="119"/>
        <v>77.677274085184251</v>
      </c>
      <c r="I258" s="128">
        <f t="shared" si="119"/>
        <v>77.677274085184251</v>
      </c>
      <c r="J258" s="127">
        <f t="shared" si="119"/>
        <v>127.34542257077922</v>
      </c>
      <c r="K258" s="127">
        <f t="shared" si="119"/>
        <v>205.0226966559635</v>
      </c>
      <c r="L258" s="127">
        <f t="shared" si="119"/>
        <v>1397.7289078435008</v>
      </c>
      <c r="M258" s="129">
        <f t="shared" si="119"/>
        <v>1602.7516044994641</v>
      </c>
      <c r="N258" s="127">
        <f t="shared" si="119"/>
        <v>20226.724848861977</v>
      </c>
      <c r="O258" s="127">
        <f t="shared" si="119"/>
        <v>18623.973244362514</v>
      </c>
    </row>
    <row r="259" spans="1:15" ht="13" thickTop="1" x14ac:dyDescent="0.25">
      <c r="B259" s="103"/>
      <c r="C259" s="103"/>
      <c r="D259" s="103"/>
      <c r="E259" s="103"/>
      <c r="F259" s="103"/>
      <c r="G259" s="103"/>
      <c r="H259" s="103"/>
      <c r="I259" s="102"/>
      <c r="J259" s="103"/>
      <c r="K259" s="103"/>
      <c r="L259" s="103"/>
      <c r="M259" s="118"/>
      <c r="O259" s="103"/>
    </row>
    <row r="260" spans="1:15" ht="39" x14ac:dyDescent="0.3">
      <c r="A260" s="77" t="s">
        <v>51</v>
      </c>
      <c r="B260" s="77" t="s">
        <v>3</v>
      </c>
      <c r="C260" s="77" t="s">
        <v>4</v>
      </c>
      <c r="D260" s="77" t="s">
        <v>5</v>
      </c>
      <c r="E260" s="77" t="s">
        <v>6</v>
      </c>
      <c r="F260" s="77" t="s">
        <v>7</v>
      </c>
      <c r="G260" s="77" t="s">
        <v>92</v>
      </c>
      <c r="H260" s="77" t="s">
        <v>93</v>
      </c>
      <c r="I260" s="94" t="s">
        <v>94</v>
      </c>
      <c r="J260" s="95" t="s">
        <v>95</v>
      </c>
      <c r="K260" s="95" t="s">
        <v>96</v>
      </c>
      <c r="L260" s="95" t="s">
        <v>97</v>
      </c>
      <c r="M260" s="96" t="s">
        <v>98</v>
      </c>
      <c r="N260" s="77" t="s">
        <v>99</v>
      </c>
      <c r="O260" s="77" t="s">
        <v>100</v>
      </c>
    </row>
    <row r="261" spans="1:15" ht="13" x14ac:dyDescent="0.3">
      <c r="A261" s="347" t="s">
        <v>14</v>
      </c>
      <c r="B261" s="347"/>
      <c r="C261" s="73">
        <f>VLOOKUP(B262,A$1:F$29,2,FALSE)</f>
        <v>42333</v>
      </c>
      <c r="D261" s="73">
        <f>DATE(YEAR(C261),IF(MONTH(C261)&lt;=3,3,IF(MONTH(C261)&lt;=6,6,IF(MONTH(C261)&lt;=9,9,12))),IF(OR(MONTH(C261)&lt;=3,MONTH(C261)&gt;=10),31,30))</f>
        <v>42369</v>
      </c>
      <c r="E261" s="72">
        <f>D261-C261+1</f>
        <v>37</v>
      </c>
      <c r="F261" s="74">
        <f>VLOOKUP(D261,'FERC Interest Rate'!$A:$B,2,TRUE)</f>
        <v>3.2500000000000001E-2</v>
      </c>
      <c r="G261" s="75">
        <f>VLOOKUP(B262,$A$1:$F$29,5,FALSE)</f>
        <v>657.58847889239132</v>
      </c>
      <c r="H261" s="75">
        <f t="shared" ref="H261:H266" si="120">G261*F261*(E261/(DATE(YEAR(D261),12,31)-DATE(YEAR(D261),1,1)+1))</f>
        <v>2.1664387558030156</v>
      </c>
      <c r="I261" s="180">
        <v>0</v>
      </c>
      <c r="J261" s="76">
        <v>0</v>
      </c>
      <c r="K261" s="116">
        <f t="shared" ref="K261:K282" si="121">+SUM(I261:J261)</f>
        <v>0</v>
      </c>
      <c r="L261" s="76">
        <v>0</v>
      </c>
      <c r="M261" s="117">
        <f t="shared" ref="M261:M282" si="122">+SUM(K261:L261)</f>
        <v>0</v>
      </c>
      <c r="N261" s="8">
        <f t="shared" ref="N261:N282" si="123">+G261+H261+J261</f>
        <v>659.75491764819435</v>
      </c>
      <c r="O261" s="75">
        <f t="shared" ref="O261:O282" si="124">G261+H261-L261-I261</f>
        <v>659.75491764819435</v>
      </c>
    </row>
    <row r="262" spans="1:15" ht="13" x14ac:dyDescent="0.3">
      <c r="A262" s="110" t="s">
        <v>40</v>
      </c>
      <c r="B262" s="141" t="s">
        <v>59</v>
      </c>
      <c r="C262" s="73">
        <f>D261+1</f>
        <v>42370</v>
      </c>
      <c r="D262" s="73">
        <f>EOMONTH(D261,3)</f>
        <v>42460</v>
      </c>
      <c r="E262" s="72">
        <f t="shared" ref="E262:E282" si="125">D262-C262+1</f>
        <v>91</v>
      </c>
      <c r="F262" s="74">
        <f>VLOOKUP(D262,'FERC Interest Rate'!$A:$B,2,TRUE)</f>
        <v>3.2500000000000001E-2</v>
      </c>
      <c r="G262" s="75">
        <f t="shared" ref="G262:G282" si="126">O261</f>
        <v>659.75491764819435</v>
      </c>
      <c r="H262" s="75">
        <f t="shared" si="120"/>
        <v>5.3312163085916255</v>
      </c>
      <c r="I262" s="180">
        <v>0</v>
      </c>
      <c r="J262" s="76">
        <v>0</v>
      </c>
      <c r="K262" s="116">
        <f t="shared" si="121"/>
        <v>0</v>
      </c>
      <c r="L262" s="76">
        <v>0</v>
      </c>
      <c r="M262" s="117">
        <f t="shared" si="122"/>
        <v>0</v>
      </c>
      <c r="N262" s="8">
        <f t="shared" si="123"/>
        <v>665.08613395678594</v>
      </c>
      <c r="O262" s="75">
        <f t="shared" si="124"/>
        <v>665.08613395678594</v>
      </c>
    </row>
    <row r="263" spans="1:15" x14ac:dyDescent="0.25">
      <c r="A263" s="78"/>
      <c r="B263" s="72"/>
      <c r="C263" s="73">
        <f t="shared" ref="C263:C282" si="127">D262+1</f>
        <v>42461</v>
      </c>
      <c r="D263" s="73">
        <f t="shared" ref="D263:D282" si="128">EOMONTH(D262,3)</f>
        <v>42551</v>
      </c>
      <c r="E263" s="72">
        <f t="shared" si="125"/>
        <v>91</v>
      </c>
      <c r="F263" s="74">
        <f>VLOOKUP(D263,'FERC Interest Rate'!$A:$B,2,TRUE)</f>
        <v>3.4599999999999999E-2</v>
      </c>
      <c r="G263" s="75">
        <f t="shared" si="126"/>
        <v>665.08613395678594</v>
      </c>
      <c r="H263" s="75">
        <f t="shared" si="120"/>
        <v>5.7215579272577495</v>
      </c>
      <c r="I263" s="180">
        <v>0</v>
      </c>
      <c r="J263" s="76">
        <v>0</v>
      </c>
      <c r="K263" s="116">
        <f t="shared" si="121"/>
        <v>0</v>
      </c>
      <c r="L263" s="76">
        <v>0</v>
      </c>
      <c r="M263" s="117">
        <f t="shared" si="122"/>
        <v>0</v>
      </c>
      <c r="N263" s="8">
        <f t="shared" si="123"/>
        <v>670.80769188404372</v>
      </c>
      <c r="O263" s="75">
        <f t="shared" si="124"/>
        <v>670.80769188404372</v>
      </c>
    </row>
    <row r="264" spans="1:15" x14ac:dyDescent="0.25">
      <c r="A264" s="309"/>
      <c r="B264" s="72"/>
      <c r="C264" s="73">
        <f t="shared" si="127"/>
        <v>42552</v>
      </c>
      <c r="D264" s="73">
        <f t="shared" si="128"/>
        <v>42643</v>
      </c>
      <c r="E264" s="72">
        <f t="shared" si="125"/>
        <v>92</v>
      </c>
      <c r="F264" s="74">
        <f>VLOOKUP(D264,'FERC Interest Rate'!$A:$B,2,TRUE)</f>
        <v>3.5000000000000003E-2</v>
      </c>
      <c r="G264" s="75">
        <f t="shared" si="126"/>
        <v>670.80769188404372</v>
      </c>
      <c r="H264" s="75">
        <f t="shared" si="120"/>
        <v>5.9016414422585282</v>
      </c>
      <c r="I264" s="180">
        <v>0</v>
      </c>
      <c r="J264" s="76">
        <v>0</v>
      </c>
      <c r="K264" s="116">
        <f t="shared" si="121"/>
        <v>0</v>
      </c>
      <c r="L264" s="76">
        <v>0</v>
      </c>
      <c r="M264" s="117">
        <f t="shared" si="122"/>
        <v>0</v>
      </c>
      <c r="N264" s="8">
        <f t="shared" si="123"/>
        <v>676.70933332630227</v>
      </c>
      <c r="O264" s="75">
        <f t="shared" si="124"/>
        <v>676.70933332630227</v>
      </c>
    </row>
    <row r="265" spans="1:15" x14ac:dyDescent="0.25">
      <c r="A265" s="78"/>
      <c r="B265" s="72"/>
      <c r="C265" s="73">
        <f t="shared" si="127"/>
        <v>42644</v>
      </c>
      <c r="D265" s="73">
        <f t="shared" si="128"/>
        <v>42735</v>
      </c>
      <c r="E265" s="72">
        <f t="shared" si="125"/>
        <v>92</v>
      </c>
      <c r="F265" s="74">
        <f>VLOOKUP(D265,'FERC Interest Rate'!$A:$B,2,TRUE)</f>
        <v>3.5000000000000003E-2</v>
      </c>
      <c r="G265" s="75">
        <f t="shared" si="126"/>
        <v>676.70933332630227</v>
      </c>
      <c r="H265" s="75">
        <f t="shared" si="120"/>
        <v>5.953562987187687</v>
      </c>
      <c r="I265" s="180">
        <v>0</v>
      </c>
      <c r="J265" s="76">
        <v>0</v>
      </c>
      <c r="K265" s="116">
        <f t="shared" si="121"/>
        <v>0</v>
      </c>
      <c r="L265" s="76">
        <v>0</v>
      </c>
      <c r="M265" s="117">
        <f t="shared" si="122"/>
        <v>0</v>
      </c>
      <c r="N265" s="8">
        <f t="shared" si="123"/>
        <v>682.66289631348991</v>
      </c>
      <c r="O265" s="75">
        <f t="shared" si="124"/>
        <v>682.66289631348991</v>
      </c>
    </row>
    <row r="266" spans="1:15" x14ac:dyDescent="0.25">
      <c r="A266" s="78" t="s">
        <v>101</v>
      </c>
      <c r="B266" s="72" t="str">
        <f t="shared" ref="B266:B282" si="129">+IF(MONTH(C266)&lt;4,"Q1",IF(MONTH(C266)&lt;7,"Q2",IF(MONTH(C266)&lt;10,"Q3","Q4")))&amp;"/"&amp;YEAR(C266)</f>
        <v>Q1/2017</v>
      </c>
      <c r="C266" s="73">
        <f t="shared" si="127"/>
        <v>42736</v>
      </c>
      <c r="D266" s="73">
        <f t="shared" si="128"/>
        <v>42825</v>
      </c>
      <c r="E266" s="72">
        <f t="shared" si="125"/>
        <v>90</v>
      </c>
      <c r="F266" s="74">
        <f>VLOOKUP(D266,'FERC Interest Rate'!$A:$B,2,TRUE)</f>
        <v>3.5000000000000003E-2</v>
      </c>
      <c r="G266" s="75">
        <f t="shared" si="126"/>
        <v>682.66289631348991</v>
      </c>
      <c r="H266" s="75">
        <f t="shared" si="120"/>
        <v>5.8914743106506666</v>
      </c>
      <c r="I266" s="180">
        <f>SUM($H$261:$H$283)/20*4</f>
        <v>6.1931783463498551</v>
      </c>
      <c r="J266" s="76">
        <f t="shared" ref="J266:J282" si="130">G266*F266*(E266/(DATE(YEAR(D266),12,31)-DATE(YEAR(D266),1,1)+1))</f>
        <v>5.8914743106506666</v>
      </c>
      <c r="K266" s="116">
        <f t="shared" si="121"/>
        <v>12.084652657000522</v>
      </c>
      <c r="L266" s="76">
        <f>VLOOKUP($B$262,A$1:F$25,5,FALSE)/20*4</f>
        <v>131.51769577847827</v>
      </c>
      <c r="M266" s="117">
        <f t="shared" si="122"/>
        <v>143.6023484354788</v>
      </c>
      <c r="N266" s="8">
        <f t="shared" si="123"/>
        <v>694.44584493479124</v>
      </c>
      <c r="O266" s="75">
        <f t="shared" si="124"/>
        <v>550.84349649931244</v>
      </c>
    </row>
    <row r="267" spans="1:15" x14ac:dyDescent="0.25">
      <c r="A267" s="78" t="s">
        <v>56</v>
      </c>
      <c r="B267" s="72" t="str">
        <f t="shared" si="129"/>
        <v>Q2/2017</v>
      </c>
      <c r="C267" s="73">
        <f t="shared" si="127"/>
        <v>42826</v>
      </c>
      <c r="D267" s="73">
        <f t="shared" si="128"/>
        <v>42916</v>
      </c>
      <c r="E267" s="72">
        <f t="shared" si="125"/>
        <v>91</v>
      </c>
      <c r="F267" s="74">
        <f>VLOOKUP(D267,'FERC Interest Rate'!$A:$B,2,TRUE)</f>
        <v>3.7100000000000001E-2</v>
      </c>
      <c r="G267" s="75">
        <f t="shared" si="126"/>
        <v>550.84349649931244</v>
      </c>
      <c r="H267" s="75">
        <v>0</v>
      </c>
      <c r="I267" s="180">
        <f>SUM($H$261:$H$283)/20</f>
        <v>1.5482945865874638</v>
      </c>
      <c r="J267" s="76">
        <f t="shared" si="130"/>
        <v>5.0950759685789828</v>
      </c>
      <c r="K267" s="116">
        <f t="shared" si="121"/>
        <v>6.643370555166447</v>
      </c>
      <c r="L267" s="76">
        <f t="shared" ref="L267:L282" si="131">VLOOKUP($B$262,A$1:F$25,5,FALSE)/20</f>
        <v>32.879423944619568</v>
      </c>
      <c r="M267" s="117">
        <f t="shared" si="122"/>
        <v>39.522794499786016</v>
      </c>
      <c r="N267" s="8">
        <f t="shared" si="123"/>
        <v>555.93857246789139</v>
      </c>
      <c r="O267" s="75">
        <f t="shared" si="124"/>
        <v>516.41577796810543</v>
      </c>
    </row>
    <row r="268" spans="1:15" x14ac:dyDescent="0.25">
      <c r="A268" s="78" t="s">
        <v>57</v>
      </c>
      <c r="B268" s="72" t="str">
        <f t="shared" si="129"/>
        <v>Q3/2017</v>
      </c>
      <c r="C268" s="73">
        <f t="shared" si="127"/>
        <v>42917</v>
      </c>
      <c r="D268" s="73">
        <f t="shared" si="128"/>
        <v>43008</v>
      </c>
      <c r="E268" s="72">
        <f t="shared" si="125"/>
        <v>92</v>
      </c>
      <c r="F268" s="74">
        <f>VLOOKUP(D268,'FERC Interest Rate'!$A:$B,2,TRUE)</f>
        <v>3.9600000000000003E-2</v>
      </c>
      <c r="G268" s="75">
        <f t="shared" si="126"/>
        <v>516.41577796810543</v>
      </c>
      <c r="H268" s="75">
        <v>0</v>
      </c>
      <c r="I268" s="180">
        <f>SUM($H$261:$H$283)/20</f>
        <v>1.5482945865874638</v>
      </c>
      <c r="J268" s="76">
        <f t="shared" si="130"/>
        <v>5.1545368829956217</v>
      </c>
      <c r="K268" s="116">
        <f t="shared" si="121"/>
        <v>6.7028314695830851</v>
      </c>
      <c r="L268" s="76">
        <f t="shared" si="131"/>
        <v>32.879423944619568</v>
      </c>
      <c r="M268" s="117">
        <f t="shared" si="122"/>
        <v>39.582255414202649</v>
      </c>
      <c r="N268" s="8">
        <f t="shared" si="123"/>
        <v>521.5703148511011</v>
      </c>
      <c r="O268" s="75">
        <f t="shared" si="124"/>
        <v>481.98805943689837</v>
      </c>
    </row>
    <row r="269" spans="1:15" x14ac:dyDescent="0.25">
      <c r="A269" s="78" t="s">
        <v>58</v>
      </c>
      <c r="B269" s="72" t="str">
        <f t="shared" si="129"/>
        <v>Q4/2017</v>
      </c>
      <c r="C269" s="73">
        <f t="shared" si="127"/>
        <v>43009</v>
      </c>
      <c r="D269" s="73">
        <f t="shared" si="128"/>
        <v>43100</v>
      </c>
      <c r="E269" s="72">
        <f t="shared" si="125"/>
        <v>92</v>
      </c>
      <c r="F269" s="74">
        <f>VLOOKUP(D269,'FERC Interest Rate'!$A:$B,2,TRUE)</f>
        <v>4.2099999999999999E-2</v>
      </c>
      <c r="G269" s="75">
        <f t="shared" si="126"/>
        <v>481.98805943689837</v>
      </c>
      <c r="H269" s="75">
        <v>0</v>
      </c>
      <c r="I269" s="99">
        <f>SUM($H$261:$H$283)/20</f>
        <v>1.5482945865874638</v>
      </c>
      <c r="J269" s="76">
        <f t="shared" si="130"/>
        <v>5.1146195940027255</v>
      </c>
      <c r="K269" s="116">
        <f t="shared" si="121"/>
        <v>6.6629141805901888</v>
      </c>
      <c r="L269" s="76">
        <f t="shared" si="131"/>
        <v>32.879423944619568</v>
      </c>
      <c r="M269" s="117">
        <f t="shared" si="122"/>
        <v>39.542338125209753</v>
      </c>
      <c r="N269" s="8">
        <f t="shared" si="123"/>
        <v>487.10267903090107</v>
      </c>
      <c r="O269" s="75">
        <f t="shared" si="124"/>
        <v>447.56034090569131</v>
      </c>
    </row>
    <row r="270" spans="1:15" x14ac:dyDescent="0.25">
      <c r="A270" s="78" t="s">
        <v>59</v>
      </c>
      <c r="B270" s="72" t="str">
        <f t="shared" si="129"/>
        <v>Q1/2018</v>
      </c>
      <c r="C270" s="73">
        <f t="shared" si="127"/>
        <v>43101</v>
      </c>
      <c r="D270" s="73">
        <f t="shared" si="128"/>
        <v>43190</v>
      </c>
      <c r="E270" s="72">
        <f t="shared" si="125"/>
        <v>90</v>
      </c>
      <c r="F270" s="74">
        <f>VLOOKUP(D270,'FERC Interest Rate'!$A:$B,2,TRUE)</f>
        <v>4.2500000000000003E-2</v>
      </c>
      <c r="G270" s="75">
        <f t="shared" si="126"/>
        <v>447.56034090569131</v>
      </c>
      <c r="H270" s="75">
        <v>0</v>
      </c>
      <c r="I270" s="99">
        <f>SUM($H$261:$H$283)/20</f>
        <v>1.5482945865874638</v>
      </c>
      <c r="J270" s="76">
        <f t="shared" si="130"/>
        <v>4.6901871341486832</v>
      </c>
      <c r="K270" s="116">
        <f t="shared" si="121"/>
        <v>6.2384817207361465</v>
      </c>
      <c r="L270" s="76">
        <f t="shared" si="131"/>
        <v>32.879423944619568</v>
      </c>
      <c r="M270" s="117">
        <f t="shared" si="122"/>
        <v>39.117905665355714</v>
      </c>
      <c r="N270" s="8">
        <f t="shared" si="123"/>
        <v>452.25052803983999</v>
      </c>
      <c r="O270" s="75">
        <f t="shared" si="124"/>
        <v>413.13262237448424</v>
      </c>
    </row>
    <row r="271" spans="1:15" x14ac:dyDescent="0.25">
      <c r="A271" s="78" t="s">
        <v>60</v>
      </c>
      <c r="B271" s="72" t="str">
        <f t="shared" si="129"/>
        <v>Q2/2018</v>
      </c>
      <c r="C271" s="73">
        <f t="shared" si="127"/>
        <v>43191</v>
      </c>
      <c r="D271" s="73">
        <f t="shared" si="128"/>
        <v>43281</v>
      </c>
      <c r="E271" s="72">
        <f t="shared" si="125"/>
        <v>91</v>
      </c>
      <c r="F271" s="74">
        <f>VLOOKUP(D271,'FERC Interest Rate'!$A:$B,2,TRUE)</f>
        <v>4.4699999999999997E-2</v>
      </c>
      <c r="G271" s="75">
        <f t="shared" si="126"/>
        <v>413.13262237448424</v>
      </c>
      <c r="H271" s="75">
        <v>0</v>
      </c>
      <c r="I271" s="99">
        <f t="shared" ref="I271:I282" si="132">SUM($H$261:$H$283)/20</f>
        <v>1.5482945865874638</v>
      </c>
      <c r="J271" s="76">
        <f t="shared" si="130"/>
        <v>4.6041084055690122</v>
      </c>
      <c r="K271" s="116">
        <f t="shared" si="121"/>
        <v>6.1524029921564765</v>
      </c>
      <c r="L271" s="76">
        <f t="shared" si="131"/>
        <v>32.879423944619568</v>
      </c>
      <c r="M271" s="117">
        <f t="shared" si="122"/>
        <v>39.031826936776042</v>
      </c>
      <c r="N271" s="8">
        <f t="shared" si="123"/>
        <v>417.73673078005328</v>
      </c>
      <c r="O271" s="75">
        <f t="shared" si="124"/>
        <v>378.70490384327718</v>
      </c>
    </row>
    <row r="272" spans="1:15" x14ac:dyDescent="0.25">
      <c r="A272" s="78" t="s">
        <v>61</v>
      </c>
      <c r="B272" s="72" t="str">
        <f t="shared" si="129"/>
        <v>Q3/2018</v>
      </c>
      <c r="C272" s="73">
        <f t="shared" si="127"/>
        <v>43282</v>
      </c>
      <c r="D272" s="73">
        <f t="shared" si="128"/>
        <v>43373</v>
      </c>
      <c r="E272" s="72">
        <f t="shared" si="125"/>
        <v>92</v>
      </c>
      <c r="F272" s="74">
        <f>VLOOKUP(D272,'FERC Interest Rate'!$A:$B,2,TRUE)</f>
        <v>4.6899999999999997E-2</v>
      </c>
      <c r="G272" s="75">
        <f t="shared" si="126"/>
        <v>378.70490384327718</v>
      </c>
      <c r="H272" s="75">
        <v>0</v>
      </c>
      <c r="I272" s="99">
        <f t="shared" si="132"/>
        <v>1.5482945865874638</v>
      </c>
      <c r="J272" s="76">
        <f t="shared" si="130"/>
        <v>4.4768107372684174</v>
      </c>
      <c r="K272" s="116">
        <f t="shared" si="121"/>
        <v>6.0251053238558807</v>
      </c>
      <c r="L272" s="76">
        <f t="shared" si="131"/>
        <v>32.879423944619568</v>
      </c>
      <c r="M272" s="117">
        <f t="shared" si="122"/>
        <v>38.90452926847545</v>
      </c>
      <c r="N272" s="8">
        <f t="shared" si="123"/>
        <v>383.18171458054559</v>
      </c>
      <c r="O272" s="75">
        <f t="shared" si="124"/>
        <v>344.27718531207012</v>
      </c>
    </row>
    <row r="273" spans="1:15" x14ac:dyDescent="0.25">
      <c r="A273" s="78" t="s">
        <v>62</v>
      </c>
      <c r="B273" s="72" t="str">
        <f t="shared" si="129"/>
        <v>Q4/2018</v>
      </c>
      <c r="C273" s="73">
        <f t="shared" si="127"/>
        <v>43374</v>
      </c>
      <c r="D273" s="73">
        <f t="shared" si="128"/>
        <v>43465</v>
      </c>
      <c r="E273" s="72">
        <f t="shared" si="125"/>
        <v>92</v>
      </c>
      <c r="F273" s="74">
        <f>VLOOKUP(D273,'FERC Interest Rate'!$A:$B,2,TRUE)</f>
        <v>4.9599999999999998E-2</v>
      </c>
      <c r="G273" s="75">
        <f t="shared" si="126"/>
        <v>344.27718531207012</v>
      </c>
      <c r="H273" s="75">
        <v>0</v>
      </c>
      <c r="I273" s="99">
        <f t="shared" si="132"/>
        <v>1.5482945865874638</v>
      </c>
      <c r="J273" s="76">
        <f t="shared" si="130"/>
        <v>4.304125074016544</v>
      </c>
      <c r="K273" s="116">
        <f t="shared" si="121"/>
        <v>5.8524196606040082</v>
      </c>
      <c r="L273" s="76">
        <f t="shared" si="131"/>
        <v>32.879423944619568</v>
      </c>
      <c r="M273" s="117">
        <f t="shared" si="122"/>
        <v>38.731843605223574</v>
      </c>
      <c r="N273" s="8">
        <f t="shared" si="123"/>
        <v>348.58131038608667</v>
      </c>
      <c r="O273" s="75">
        <f t="shared" si="124"/>
        <v>309.84946678086305</v>
      </c>
    </row>
    <row r="274" spans="1:15" x14ac:dyDescent="0.25">
      <c r="A274" s="78" t="s">
        <v>63</v>
      </c>
      <c r="B274" s="72" t="str">
        <f t="shared" si="129"/>
        <v>Q1/2019</v>
      </c>
      <c r="C274" s="73">
        <f t="shared" si="127"/>
        <v>43466</v>
      </c>
      <c r="D274" s="73">
        <f t="shared" si="128"/>
        <v>43555</v>
      </c>
      <c r="E274" s="72">
        <f t="shared" si="125"/>
        <v>90</v>
      </c>
      <c r="F274" s="74">
        <f>VLOOKUP(D274,'FERC Interest Rate'!$A:$B,2,TRUE)</f>
        <v>5.1799999999999999E-2</v>
      </c>
      <c r="G274" s="75">
        <f t="shared" si="126"/>
        <v>309.84946678086305</v>
      </c>
      <c r="H274" s="75">
        <v>0</v>
      </c>
      <c r="I274" s="99">
        <f t="shared" si="132"/>
        <v>1.5482945865874638</v>
      </c>
      <c r="J274" s="76">
        <f t="shared" si="130"/>
        <v>3.9575841483079</v>
      </c>
      <c r="K274" s="116">
        <f t="shared" si="121"/>
        <v>5.5058787348953633</v>
      </c>
      <c r="L274" s="76">
        <f t="shared" si="131"/>
        <v>32.879423944619568</v>
      </c>
      <c r="M274" s="117">
        <f t="shared" si="122"/>
        <v>38.385302679514929</v>
      </c>
      <c r="N274" s="8">
        <f t="shared" si="123"/>
        <v>313.80705092917094</v>
      </c>
      <c r="O274" s="75">
        <f t="shared" si="124"/>
        <v>275.42174824965599</v>
      </c>
    </row>
    <row r="275" spans="1:15" x14ac:dyDescent="0.25">
      <c r="A275" s="78" t="s">
        <v>64</v>
      </c>
      <c r="B275" s="72" t="str">
        <f t="shared" si="129"/>
        <v>Q2/2019</v>
      </c>
      <c r="C275" s="73">
        <f t="shared" si="127"/>
        <v>43556</v>
      </c>
      <c r="D275" s="73">
        <f t="shared" si="128"/>
        <v>43646</v>
      </c>
      <c r="E275" s="72">
        <f t="shared" si="125"/>
        <v>91</v>
      </c>
      <c r="F275" s="74">
        <f>VLOOKUP(D275,'FERC Interest Rate'!$A:$B,2,TRUE)</f>
        <v>5.45E-2</v>
      </c>
      <c r="G275" s="75">
        <f t="shared" si="126"/>
        <v>275.42174824965599</v>
      </c>
      <c r="H275" s="75">
        <v>0</v>
      </c>
      <c r="I275" s="99">
        <f t="shared" si="132"/>
        <v>1.5482945865874638</v>
      </c>
      <c r="J275" s="76">
        <f t="shared" si="130"/>
        <v>3.7423401656004627</v>
      </c>
      <c r="K275" s="116">
        <f t="shared" si="121"/>
        <v>5.2906347521879269</v>
      </c>
      <c r="L275" s="76">
        <f t="shared" si="131"/>
        <v>32.879423944619568</v>
      </c>
      <c r="M275" s="117">
        <f t="shared" si="122"/>
        <v>38.170058696807494</v>
      </c>
      <c r="N275" s="8">
        <f t="shared" si="123"/>
        <v>279.16408841525646</v>
      </c>
      <c r="O275" s="75">
        <f t="shared" si="124"/>
        <v>240.99402971844896</v>
      </c>
    </row>
    <row r="276" spans="1:15" x14ac:dyDescent="0.25">
      <c r="A276" s="78" t="s">
        <v>65</v>
      </c>
      <c r="B276" s="72" t="str">
        <f t="shared" si="129"/>
        <v>Q3/2019</v>
      </c>
      <c r="C276" s="73">
        <f t="shared" si="127"/>
        <v>43647</v>
      </c>
      <c r="D276" s="73">
        <f t="shared" si="128"/>
        <v>43738</v>
      </c>
      <c r="E276" s="72">
        <f t="shared" si="125"/>
        <v>92</v>
      </c>
      <c r="F276" s="74">
        <f>VLOOKUP(D276,'FERC Interest Rate'!$A:$B,2,TRUE)</f>
        <v>5.5E-2</v>
      </c>
      <c r="G276" s="75">
        <f t="shared" si="126"/>
        <v>240.99402971844896</v>
      </c>
      <c r="H276" s="75">
        <v>0</v>
      </c>
      <c r="I276" s="99">
        <f t="shared" si="132"/>
        <v>1.5482945865874638</v>
      </c>
      <c r="J276" s="76">
        <f t="shared" si="130"/>
        <v>3.3409035352749368</v>
      </c>
      <c r="K276" s="116">
        <f t="shared" si="121"/>
        <v>4.8891981218624005</v>
      </c>
      <c r="L276" s="76">
        <f t="shared" si="131"/>
        <v>32.879423944619568</v>
      </c>
      <c r="M276" s="117">
        <f t="shared" si="122"/>
        <v>37.768622066481967</v>
      </c>
      <c r="N276" s="8">
        <f t="shared" si="123"/>
        <v>244.3349332537239</v>
      </c>
      <c r="O276" s="75">
        <f t="shared" si="124"/>
        <v>206.56631118724192</v>
      </c>
    </row>
    <row r="277" spans="1:15" x14ac:dyDescent="0.25">
      <c r="A277" s="78" t="s">
        <v>66</v>
      </c>
      <c r="B277" s="72" t="str">
        <f t="shared" si="129"/>
        <v>Q4/2019</v>
      </c>
      <c r="C277" s="73">
        <f t="shared" si="127"/>
        <v>43739</v>
      </c>
      <c r="D277" s="73">
        <f t="shared" si="128"/>
        <v>43830</v>
      </c>
      <c r="E277" s="72">
        <f t="shared" si="125"/>
        <v>92</v>
      </c>
      <c r="F277" s="74">
        <f>VLOOKUP(D277,'FERC Interest Rate'!$A:$B,2,TRUE)</f>
        <v>5.4199999999999998E-2</v>
      </c>
      <c r="G277" s="75">
        <f t="shared" si="126"/>
        <v>206.56631118724192</v>
      </c>
      <c r="H277" s="75">
        <v>0</v>
      </c>
      <c r="I277" s="99">
        <f t="shared" si="132"/>
        <v>1.5482945865874638</v>
      </c>
      <c r="J277" s="76">
        <f t="shared" si="130"/>
        <v>2.8219787783672965</v>
      </c>
      <c r="K277" s="116">
        <f t="shared" si="121"/>
        <v>4.3702733649547607</v>
      </c>
      <c r="L277" s="76">
        <f t="shared" si="131"/>
        <v>32.879423944619568</v>
      </c>
      <c r="M277" s="117">
        <f t="shared" si="122"/>
        <v>37.24969730957433</v>
      </c>
      <c r="N277" s="8">
        <f t="shared" si="123"/>
        <v>209.38828996560923</v>
      </c>
      <c r="O277" s="75">
        <f t="shared" si="124"/>
        <v>172.13859265603489</v>
      </c>
    </row>
    <row r="278" spans="1:15" x14ac:dyDescent="0.25">
      <c r="A278" s="78" t="s">
        <v>67</v>
      </c>
      <c r="B278" s="72" t="str">
        <f t="shared" si="129"/>
        <v>Q1/2020</v>
      </c>
      <c r="C278" s="73">
        <f t="shared" si="127"/>
        <v>43831</v>
      </c>
      <c r="D278" s="73">
        <f t="shared" si="128"/>
        <v>43921</v>
      </c>
      <c r="E278" s="72">
        <f t="shared" si="125"/>
        <v>91</v>
      </c>
      <c r="F278" s="74">
        <f>VLOOKUP(D278,'FERC Interest Rate'!$A:$B,2,TRUE)</f>
        <v>4.9599999999999998E-2</v>
      </c>
      <c r="G278" s="75">
        <f t="shared" si="126"/>
        <v>172.13859265603489</v>
      </c>
      <c r="H278" s="75">
        <v>0</v>
      </c>
      <c r="I278" s="99">
        <f t="shared" si="132"/>
        <v>1.5482945865874638</v>
      </c>
      <c r="J278" s="76">
        <f t="shared" si="130"/>
        <v>2.1228545131483036</v>
      </c>
      <c r="K278" s="116">
        <f t="shared" si="121"/>
        <v>3.6711490997357674</v>
      </c>
      <c r="L278" s="76">
        <f t="shared" si="131"/>
        <v>32.879423944619568</v>
      </c>
      <c r="M278" s="117">
        <f t="shared" si="122"/>
        <v>36.550573044355332</v>
      </c>
      <c r="N278" s="8">
        <f t="shared" si="123"/>
        <v>174.26144716918319</v>
      </c>
      <c r="O278" s="75">
        <f t="shared" si="124"/>
        <v>137.71087412482785</v>
      </c>
    </row>
    <row r="279" spans="1:15" x14ac:dyDescent="0.25">
      <c r="A279" s="78" t="s">
        <v>68</v>
      </c>
      <c r="B279" s="72" t="str">
        <f t="shared" si="129"/>
        <v>Q2/2020</v>
      </c>
      <c r="C279" s="73">
        <f t="shared" si="127"/>
        <v>43922</v>
      </c>
      <c r="D279" s="73">
        <f t="shared" si="128"/>
        <v>44012</v>
      </c>
      <c r="E279" s="72">
        <f t="shared" si="125"/>
        <v>91</v>
      </c>
      <c r="F279" s="74">
        <f>VLOOKUP(D279,'FERC Interest Rate'!$A:$B,2,TRUE)</f>
        <v>4.7503500000000004E-2</v>
      </c>
      <c r="G279" s="75">
        <f t="shared" si="126"/>
        <v>137.71087412482785</v>
      </c>
      <c r="H279" s="75">
        <v>0</v>
      </c>
      <c r="I279" s="99">
        <f t="shared" si="132"/>
        <v>1.5482945865874638</v>
      </c>
      <c r="J279" s="76">
        <f t="shared" si="130"/>
        <v>1.6265003123442001</v>
      </c>
      <c r="K279" s="116">
        <f t="shared" si="121"/>
        <v>3.1747948989316637</v>
      </c>
      <c r="L279" s="76">
        <f t="shared" si="131"/>
        <v>32.879423944619568</v>
      </c>
      <c r="M279" s="117">
        <f t="shared" si="122"/>
        <v>36.054218843551233</v>
      </c>
      <c r="N279" s="8">
        <f t="shared" si="123"/>
        <v>139.33737443717206</v>
      </c>
      <c r="O279" s="75">
        <f t="shared" si="124"/>
        <v>103.28315559362083</v>
      </c>
    </row>
    <row r="280" spans="1:15" x14ac:dyDescent="0.25">
      <c r="A280" s="78" t="s">
        <v>69</v>
      </c>
      <c r="B280" s="72" t="str">
        <f t="shared" si="129"/>
        <v>Q3/2020</v>
      </c>
      <c r="C280" s="73">
        <f t="shared" si="127"/>
        <v>44013</v>
      </c>
      <c r="D280" s="73">
        <f t="shared" si="128"/>
        <v>44104</v>
      </c>
      <c r="E280" s="72">
        <f t="shared" si="125"/>
        <v>92</v>
      </c>
      <c r="F280" s="74">
        <f>VLOOKUP(D280,'FERC Interest Rate'!$A:$B,2,TRUE)</f>
        <v>4.7507929999999997E-2</v>
      </c>
      <c r="G280" s="75">
        <f t="shared" si="126"/>
        <v>103.28315559362083</v>
      </c>
      <c r="H280" s="75">
        <v>0</v>
      </c>
      <c r="I280" s="99">
        <f t="shared" si="132"/>
        <v>1.5482945865874638</v>
      </c>
      <c r="J280" s="76">
        <f t="shared" si="130"/>
        <v>1.2333954677680816</v>
      </c>
      <c r="K280" s="116">
        <f t="shared" si="121"/>
        <v>2.7816900543555452</v>
      </c>
      <c r="L280" s="76">
        <f t="shared" si="131"/>
        <v>32.879423944619568</v>
      </c>
      <c r="M280" s="117">
        <f t="shared" si="122"/>
        <v>35.661113998975111</v>
      </c>
      <c r="N280" s="8">
        <f t="shared" si="123"/>
        <v>104.51655106138891</v>
      </c>
      <c r="O280" s="75">
        <f t="shared" si="124"/>
        <v>68.855437062413799</v>
      </c>
    </row>
    <row r="281" spans="1:15" x14ac:dyDescent="0.25">
      <c r="A281" s="78" t="s">
        <v>70</v>
      </c>
      <c r="B281" s="72" t="str">
        <f t="shared" si="129"/>
        <v>Q4/2020</v>
      </c>
      <c r="C281" s="73">
        <f t="shared" si="127"/>
        <v>44105</v>
      </c>
      <c r="D281" s="73">
        <f t="shared" si="128"/>
        <v>44196</v>
      </c>
      <c r="E281" s="72">
        <f t="shared" si="125"/>
        <v>92</v>
      </c>
      <c r="F281" s="74">
        <f>VLOOKUP(D281,'FERC Interest Rate'!$A:$B,2,TRUE)</f>
        <v>4.7922320000000004E-2</v>
      </c>
      <c r="G281" s="75">
        <f t="shared" si="126"/>
        <v>68.855437062413799</v>
      </c>
      <c r="H281" s="75">
        <v>0</v>
      </c>
      <c r="I281" s="99">
        <f t="shared" si="132"/>
        <v>1.5482945865874638</v>
      </c>
      <c r="J281" s="76">
        <f t="shared" si="130"/>
        <v>0.82943587583422562</v>
      </c>
      <c r="K281" s="116">
        <f t="shared" si="121"/>
        <v>2.3777304624216895</v>
      </c>
      <c r="L281" s="76">
        <f t="shared" si="131"/>
        <v>32.879423944619568</v>
      </c>
      <c r="M281" s="117">
        <f t="shared" si="122"/>
        <v>35.257154407041256</v>
      </c>
      <c r="N281" s="8">
        <f t="shared" si="123"/>
        <v>69.68487293824802</v>
      </c>
      <c r="O281" s="75">
        <f t="shared" si="124"/>
        <v>34.427718531206764</v>
      </c>
    </row>
    <row r="282" spans="1:15" x14ac:dyDescent="0.25">
      <c r="A282" s="78" t="s">
        <v>71</v>
      </c>
      <c r="B282" s="72" t="str">
        <f t="shared" si="129"/>
        <v>Q1/2021</v>
      </c>
      <c r="C282" s="73">
        <f t="shared" si="127"/>
        <v>44197</v>
      </c>
      <c r="D282" s="73">
        <f t="shared" si="128"/>
        <v>44286</v>
      </c>
      <c r="E282" s="72">
        <f t="shared" si="125"/>
        <v>90</v>
      </c>
      <c r="F282" s="74">
        <f>VLOOKUP(D282,'FERC Interest Rate'!$A:$B,2,TRUE)</f>
        <v>5.0023470000000007E-2</v>
      </c>
      <c r="G282" s="75">
        <f t="shared" si="126"/>
        <v>34.427718531206764</v>
      </c>
      <c r="H282" s="75">
        <v>0</v>
      </c>
      <c r="I282" s="99">
        <f t="shared" si="132"/>
        <v>1.5482945865874638</v>
      </c>
      <c r="J282" s="76">
        <f t="shared" si="130"/>
        <v>0.42465056180899702</v>
      </c>
      <c r="K282" s="116">
        <f t="shared" si="121"/>
        <v>1.9729451483964608</v>
      </c>
      <c r="L282" s="76">
        <f t="shared" si="131"/>
        <v>32.879423944619568</v>
      </c>
      <c r="M282" s="117">
        <f t="shared" si="122"/>
        <v>34.85236909301603</v>
      </c>
      <c r="N282" s="8">
        <f t="shared" si="123"/>
        <v>34.85236909301576</v>
      </c>
      <c r="O282" s="75">
        <f t="shared" si="124"/>
        <v>-2.6689761511988763E-13</v>
      </c>
    </row>
    <row r="283" spans="1:15" x14ac:dyDescent="0.25">
      <c r="A283" s="78"/>
      <c r="B283" s="72"/>
      <c r="C283" s="73"/>
      <c r="D283" s="73"/>
      <c r="E283" s="72"/>
      <c r="F283" s="74"/>
      <c r="G283" s="75"/>
      <c r="H283" s="75"/>
      <c r="I283" s="99"/>
      <c r="J283" s="76"/>
      <c r="K283" s="116"/>
      <c r="L283" s="76"/>
      <c r="M283" s="117"/>
      <c r="N283" s="8"/>
      <c r="O283" s="75"/>
    </row>
    <row r="284" spans="1:15" ht="13.5" thickBot="1" x14ac:dyDescent="0.35">
      <c r="A284" s="142"/>
      <c r="B284" s="143"/>
      <c r="C284" s="144"/>
      <c r="D284" s="144"/>
      <c r="E284" s="145"/>
      <c r="F284" s="143"/>
      <c r="G284" s="127">
        <f t="shared" ref="G284:O284" si="133">+SUM(G261:G283)</f>
        <v>8694.7791722653619</v>
      </c>
      <c r="H284" s="127">
        <f t="shared" si="133"/>
        <v>30.965891731749274</v>
      </c>
      <c r="I284" s="128">
        <f t="shared" si="133"/>
        <v>30.96589173174927</v>
      </c>
      <c r="J284" s="127">
        <f t="shared" si="133"/>
        <v>59.430581465685066</v>
      </c>
      <c r="K284" s="127">
        <f t="shared" si="133"/>
        <v>90.396473197434347</v>
      </c>
      <c r="L284" s="127">
        <f t="shared" si="133"/>
        <v>657.58847889239155</v>
      </c>
      <c r="M284" s="129">
        <f t="shared" si="133"/>
        <v>747.9849520898257</v>
      </c>
      <c r="N284" s="127">
        <f t="shared" si="133"/>
        <v>8785.1756454627975</v>
      </c>
      <c r="O284" s="127">
        <f t="shared" si="133"/>
        <v>8037.1906933729706</v>
      </c>
    </row>
    <row r="285" spans="1:15" ht="13" thickTop="1" x14ac:dyDescent="0.25">
      <c r="B285" s="103"/>
      <c r="C285" s="103"/>
      <c r="D285" s="103"/>
      <c r="E285" s="103"/>
      <c r="F285" s="103"/>
      <c r="G285" s="103"/>
      <c r="H285" s="103"/>
      <c r="I285" s="102"/>
      <c r="J285" s="103"/>
      <c r="K285" s="103"/>
      <c r="L285" s="103"/>
      <c r="M285" s="118"/>
      <c r="O285" s="103"/>
    </row>
    <row r="286" spans="1:15" ht="13" thickBot="1" x14ac:dyDescent="0.3">
      <c r="I286" s="106"/>
      <c r="J286" s="107"/>
      <c r="K286" s="107"/>
      <c r="L286" s="107"/>
      <c r="M286" s="108"/>
    </row>
  </sheetData>
  <mergeCells count="10">
    <mergeCell ref="Q27:V27"/>
    <mergeCell ref="A206:B206"/>
    <mergeCell ref="A234:B234"/>
    <mergeCell ref="A261:B261"/>
    <mergeCell ref="A53:B53"/>
    <mergeCell ref="A85:B85"/>
    <mergeCell ref="A116:B116"/>
    <mergeCell ref="A147:B147"/>
    <mergeCell ref="A177:B177"/>
    <mergeCell ref="A29:B29"/>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V587"/>
  <sheetViews>
    <sheetView view="pageLayout" zoomScale="60" zoomScaleNormal="40" zoomScalePageLayoutView="60" workbookViewId="0"/>
  </sheetViews>
  <sheetFormatPr defaultColWidth="9.1796875" defaultRowHeight="12.5" outlineLevelRow="1" x14ac:dyDescent="0.25"/>
  <cols>
    <col min="1" max="1" width="10.26953125" style="6" bestFit="1" customWidth="1"/>
    <col min="2" max="2" width="13.26953125" style="6" bestFit="1" customWidth="1"/>
    <col min="3" max="4" width="15.26953125" style="6" customWidth="1"/>
    <col min="5" max="5" width="12.26953125" style="6" bestFit="1" customWidth="1"/>
    <col min="6" max="6" width="15" style="6" customWidth="1"/>
    <col min="7" max="9" width="16.1796875" style="6" customWidth="1"/>
    <col min="10" max="10" width="16.81640625" style="6" customWidth="1"/>
    <col min="11" max="15" width="16.1796875" style="6" customWidth="1"/>
    <col min="16" max="16" width="3.453125" style="6" customWidth="1"/>
    <col min="17" max="17" width="9.81640625" style="6" bestFit="1" customWidth="1"/>
    <col min="18" max="18" width="9" style="6" bestFit="1" customWidth="1"/>
    <col min="19" max="20" width="10.7265625" style="6" customWidth="1"/>
    <col min="21" max="21" width="11" style="6" customWidth="1"/>
    <col min="22" max="22" width="12.26953125" style="6" bestFit="1" customWidth="1"/>
    <col min="23" max="16384" width="9.1796875" style="6"/>
  </cols>
  <sheetData>
    <row r="1" spans="1:8" ht="39" x14ac:dyDescent="0.3">
      <c r="A1" s="81" t="s">
        <v>8</v>
      </c>
      <c r="B1" s="82" t="s">
        <v>86</v>
      </c>
      <c r="C1" s="81" t="s">
        <v>2</v>
      </c>
      <c r="D1" s="81" t="s">
        <v>1</v>
      </c>
      <c r="E1" s="82" t="s">
        <v>72</v>
      </c>
      <c r="F1" s="82" t="s">
        <v>47</v>
      </c>
    </row>
    <row r="2" spans="1:8" ht="12.75" customHeight="1" x14ac:dyDescent="0.25">
      <c r="A2" s="78" t="s">
        <v>52</v>
      </c>
      <c r="B2" s="62">
        <v>41835</v>
      </c>
      <c r="C2" s="4">
        <v>468396</v>
      </c>
      <c r="D2" s="4">
        <v>0</v>
      </c>
      <c r="E2" s="4">
        <v>2430</v>
      </c>
      <c r="F2" s="7">
        <f>SUM(C2:E2)</f>
        <v>470826</v>
      </c>
    </row>
    <row r="3" spans="1:8" ht="12.75" customHeight="1" outlineLevel="1" x14ac:dyDescent="0.25">
      <c r="A3" s="78" t="s">
        <v>53</v>
      </c>
      <c r="B3" s="62">
        <v>41835</v>
      </c>
      <c r="C3" s="4">
        <v>213782</v>
      </c>
      <c r="D3" s="4">
        <v>0</v>
      </c>
      <c r="E3" s="4">
        <v>1109</v>
      </c>
      <c r="F3" s="7">
        <f t="shared" ref="F3:F25" si="0">SUM(C3:E3)</f>
        <v>214891</v>
      </c>
    </row>
    <row r="4" spans="1:8" outlineLevel="1" x14ac:dyDescent="0.25">
      <c r="A4" s="78" t="s">
        <v>54</v>
      </c>
      <c r="B4" s="62">
        <v>41857</v>
      </c>
      <c r="C4" s="4">
        <v>266523</v>
      </c>
      <c r="D4" s="4">
        <v>0</v>
      </c>
      <c r="E4" s="4">
        <v>1383</v>
      </c>
      <c r="F4" s="7">
        <f t="shared" si="0"/>
        <v>267906</v>
      </c>
    </row>
    <row r="5" spans="1:8" outlineLevel="1" x14ac:dyDescent="0.25">
      <c r="A5" s="78" t="s">
        <v>55</v>
      </c>
      <c r="B5" s="62">
        <v>41887</v>
      </c>
      <c r="C5" s="4">
        <v>322981</v>
      </c>
      <c r="D5" s="4">
        <v>0</v>
      </c>
      <c r="E5" s="4">
        <v>1675.5</v>
      </c>
      <c r="F5" s="7">
        <f t="shared" si="0"/>
        <v>324656.5</v>
      </c>
    </row>
    <row r="6" spans="1:8" ht="12.75" customHeight="1" outlineLevel="1" x14ac:dyDescent="0.25">
      <c r="A6" s="78" t="s">
        <v>56</v>
      </c>
      <c r="B6" s="62">
        <v>41922</v>
      </c>
      <c r="C6" s="4">
        <v>378213</v>
      </c>
      <c r="D6" s="4">
        <v>0</v>
      </c>
      <c r="E6" s="4">
        <v>1962</v>
      </c>
      <c r="F6" s="7">
        <f t="shared" si="0"/>
        <v>380175</v>
      </c>
    </row>
    <row r="7" spans="1:8" outlineLevel="1" x14ac:dyDescent="0.25">
      <c r="A7" s="78" t="s">
        <v>57</v>
      </c>
      <c r="B7" s="62">
        <v>41956</v>
      </c>
      <c r="C7" s="4">
        <v>425516</v>
      </c>
      <c r="D7" s="4">
        <v>0</v>
      </c>
      <c r="E7" s="4">
        <v>2207.5</v>
      </c>
      <c r="F7" s="7">
        <f t="shared" si="0"/>
        <v>427723.5</v>
      </c>
    </row>
    <row r="8" spans="1:8" outlineLevel="1" x14ac:dyDescent="0.25">
      <c r="A8" s="78" t="s">
        <v>58</v>
      </c>
      <c r="B8" s="62">
        <v>41968</v>
      </c>
      <c r="C8" s="4">
        <v>457709</v>
      </c>
      <c r="D8" s="4">
        <v>0</v>
      </c>
      <c r="E8" s="4">
        <v>2375</v>
      </c>
      <c r="F8" s="7">
        <f t="shared" si="0"/>
        <v>460084</v>
      </c>
    </row>
    <row r="9" spans="1:8" outlineLevel="1" x14ac:dyDescent="0.25">
      <c r="A9" s="78" t="s">
        <v>59</v>
      </c>
      <c r="B9" s="62">
        <v>42004</v>
      </c>
      <c r="C9" s="4">
        <v>483325</v>
      </c>
      <c r="D9" s="4">
        <v>0</v>
      </c>
      <c r="E9" s="4">
        <v>2507.5</v>
      </c>
      <c r="F9" s="7">
        <f t="shared" si="0"/>
        <v>485832.5</v>
      </c>
    </row>
    <row r="10" spans="1:8" outlineLevel="1" x14ac:dyDescent="0.25">
      <c r="A10" s="78" t="s">
        <v>60</v>
      </c>
      <c r="B10" s="62">
        <v>42052</v>
      </c>
      <c r="C10" s="4">
        <v>471532</v>
      </c>
      <c r="D10" s="4">
        <v>0</v>
      </c>
      <c r="E10" s="4">
        <v>2446</v>
      </c>
      <c r="F10" s="7">
        <f t="shared" si="0"/>
        <v>473978</v>
      </c>
    </row>
    <row r="11" spans="1:8" outlineLevel="1" x14ac:dyDescent="0.25">
      <c r="A11" s="78" t="s">
        <v>61</v>
      </c>
      <c r="B11" s="62">
        <v>42068</v>
      </c>
      <c r="C11" s="4">
        <v>438366</v>
      </c>
      <c r="D11" s="4">
        <v>0</v>
      </c>
      <c r="E11" s="4">
        <v>2274</v>
      </c>
      <c r="F11" s="7">
        <f t="shared" si="0"/>
        <v>440640</v>
      </c>
    </row>
    <row r="12" spans="1:8" outlineLevel="1" x14ac:dyDescent="0.25">
      <c r="A12" s="78" t="s">
        <v>62</v>
      </c>
      <c r="B12" s="62">
        <v>42093</v>
      </c>
      <c r="C12" s="4">
        <v>389634</v>
      </c>
      <c r="D12" s="4">
        <v>0</v>
      </c>
      <c r="E12" s="4">
        <v>2021</v>
      </c>
      <c r="F12" s="7">
        <f t="shared" si="0"/>
        <v>391655</v>
      </c>
      <c r="H12" s="15"/>
    </row>
    <row r="13" spans="1:8" outlineLevel="1" x14ac:dyDescent="0.25">
      <c r="A13" s="78" t="s">
        <v>63</v>
      </c>
      <c r="B13" s="62">
        <v>42124</v>
      </c>
      <c r="C13" s="4">
        <v>332735</v>
      </c>
      <c r="D13" s="4">
        <v>0</v>
      </c>
      <c r="E13" s="4">
        <v>3375.5</v>
      </c>
      <c r="F13" s="7">
        <f t="shared" si="0"/>
        <v>336110.5</v>
      </c>
      <c r="H13" s="15"/>
    </row>
    <row r="14" spans="1:8" outlineLevel="1" x14ac:dyDescent="0.25">
      <c r="A14" s="78" t="s">
        <v>64</v>
      </c>
      <c r="B14" s="62">
        <v>42164</v>
      </c>
      <c r="C14" s="4">
        <v>274571</v>
      </c>
      <c r="D14" s="4">
        <v>0</v>
      </c>
      <c r="E14" s="4">
        <v>2849</v>
      </c>
      <c r="F14" s="7">
        <f t="shared" si="0"/>
        <v>277420</v>
      </c>
      <c r="H14" s="15"/>
    </row>
    <row r="15" spans="1:8" outlineLevel="1" x14ac:dyDescent="0.25">
      <c r="A15" s="78" t="s">
        <v>65</v>
      </c>
      <c r="B15" s="62">
        <v>42180</v>
      </c>
      <c r="C15" s="4">
        <v>220238</v>
      </c>
      <c r="D15" s="4">
        <v>0</v>
      </c>
      <c r="E15" s="4">
        <v>2285</v>
      </c>
      <c r="F15" s="7">
        <f t="shared" si="0"/>
        <v>222523</v>
      </c>
      <c r="H15" s="15"/>
    </row>
    <row r="16" spans="1:8" outlineLevel="1" x14ac:dyDescent="0.25">
      <c r="A16" s="78" t="s">
        <v>66</v>
      </c>
      <c r="B16" s="62">
        <v>42201</v>
      </c>
      <c r="C16" s="4">
        <v>172671</v>
      </c>
      <c r="D16" s="4">
        <v>0</v>
      </c>
      <c r="E16" s="4">
        <v>1792</v>
      </c>
      <c r="F16" s="7">
        <f t="shared" si="0"/>
        <v>174463</v>
      </c>
      <c r="H16" s="15"/>
    </row>
    <row r="17" spans="1:22" outlineLevel="1" x14ac:dyDescent="0.25">
      <c r="A17" s="78" t="s">
        <v>67</v>
      </c>
      <c r="B17" s="62">
        <v>42256</v>
      </c>
      <c r="C17" s="4">
        <v>132973</v>
      </c>
      <c r="D17" s="4">
        <v>0</v>
      </c>
      <c r="E17" s="4">
        <v>1380</v>
      </c>
      <c r="F17" s="7">
        <f t="shared" si="0"/>
        <v>134353</v>
      </c>
      <c r="H17" s="15"/>
    </row>
    <row r="18" spans="1:22" outlineLevel="1" x14ac:dyDescent="0.25">
      <c r="A18" s="78" t="s">
        <v>68</v>
      </c>
      <c r="B18" s="62">
        <v>42430</v>
      </c>
      <c r="C18" s="4">
        <v>233491</v>
      </c>
      <c r="D18" s="4">
        <v>0</v>
      </c>
      <c r="E18" s="4">
        <v>2422</v>
      </c>
      <c r="F18" s="7">
        <f t="shared" si="0"/>
        <v>235913</v>
      </c>
      <c r="H18" s="15"/>
    </row>
    <row r="19" spans="1:22" outlineLevel="1" x14ac:dyDescent="0.25">
      <c r="A19" s="78" t="s">
        <v>69</v>
      </c>
      <c r="B19" s="62" t="s">
        <v>21</v>
      </c>
      <c r="C19" s="4">
        <v>0</v>
      </c>
      <c r="D19" s="4">
        <v>0</v>
      </c>
      <c r="E19" s="4">
        <v>0</v>
      </c>
      <c r="F19" s="7">
        <f t="shared" si="0"/>
        <v>0</v>
      </c>
    </row>
    <row r="20" spans="1:22" outlineLevel="1" x14ac:dyDescent="0.25">
      <c r="A20" s="78" t="s">
        <v>70</v>
      </c>
      <c r="B20" s="62" t="s">
        <v>21</v>
      </c>
      <c r="C20" s="4">
        <v>0</v>
      </c>
      <c r="D20" s="4">
        <v>0</v>
      </c>
      <c r="E20" s="4">
        <v>0</v>
      </c>
      <c r="F20" s="7">
        <f t="shared" si="0"/>
        <v>0</v>
      </c>
    </row>
    <row r="21" spans="1:22" outlineLevel="1" x14ac:dyDescent="0.25">
      <c r="A21" s="78" t="s">
        <v>71</v>
      </c>
      <c r="B21" s="62" t="s">
        <v>21</v>
      </c>
      <c r="C21" s="4">
        <v>0</v>
      </c>
      <c r="D21" s="4">
        <v>0</v>
      </c>
      <c r="E21" s="4">
        <v>0</v>
      </c>
      <c r="F21" s="7">
        <f t="shared" si="0"/>
        <v>0</v>
      </c>
    </row>
    <row r="22" spans="1:22" outlineLevel="1" x14ac:dyDescent="0.25">
      <c r="A22" s="83" t="s">
        <v>74</v>
      </c>
      <c r="B22" s="62" t="s">
        <v>21</v>
      </c>
      <c r="C22" s="4">
        <v>0</v>
      </c>
      <c r="D22" s="4">
        <v>0</v>
      </c>
      <c r="E22" s="4">
        <v>0</v>
      </c>
      <c r="F22" s="7">
        <f t="shared" si="0"/>
        <v>0</v>
      </c>
    </row>
    <row r="23" spans="1:22" outlineLevel="1" x14ac:dyDescent="0.25">
      <c r="A23" s="83" t="s">
        <v>75</v>
      </c>
      <c r="B23" s="62" t="s">
        <v>21</v>
      </c>
      <c r="C23" s="4">
        <v>0</v>
      </c>
      <c r="D23" s="4">
        <v>0</v>
      </c>
      <c r="E23" s="4">
        <v>0</v>
      </c>
      <c r="F23" s="7">
        <f t="shared" si="0"/>
        <v>0</v>
      </c>
    </row>
    <row r="24" spans="1:22" outlineLevel="1" x14ac:dyDescent="0.25">
      <c r="A24" s="83" t="s">
        <v>76</v>
      </c>
      <c r="B24" s="62" t="s">
        <v>21</v>
      </c>
      <c r="C24" s="4">
        <v>0</v>
      </c>
      <c r="D24" s="4">
        <v>0</v>
      </c>
      <c r="E24" s="4">
        <v>0</v>
      </c>
      <c r="F24" s="7">
        <f t="shared" si="0"/>
        <v>0</v>
      </c>
    </row>
    <row r="25" spans="1:22" ht="13" outlineLevel="1" thickBot="1" x14ac:dyDescent="0.3">
      <c r="A25" s="83" t="s">
        <v>77</v>
      </c>
      <c r="B25" s="62" t="s">
        <v>21</v>
      </c>
      <c r="C25" s="4">
        <v>0</v>
      </c>
      <c r="D25" s="4">
        <v>0</v>
      </c>
      <c r="E25" s="4">
        <v>0</v>
      </c>
      <c r="F25" s="7">
        <f t="shared" si="0"/>
        <v>0</v>
      </c>
    </row>
    <row r="26" spans="1:22" ht="13" x14ac:dyDescent="0.3">
      <c r="B26" s="34" t="s">
        <v>0</v>
      </c>
      <c r="C26" s="109">
        <f>SUM(C2:C25)</f>
        <v>5682656</v>
      </c>
      <c r="D26" s="109">
        <f>SUM(D2:D25)</f>
        <v>0</v>
      </c>
      <c r="E26" s="109">
        <f>SUM(E2:E25)</f>
        <v>36494</v>
      </c>
      <c r="F26" s="109">
        <f>SUM(F2:F25)</f>
        <v>5719150</v>
      </c>
      <c r="H26" s="153"/>
      <c r="I26" s="149" t="s">
        <v>13</v>
      </c>
      <c r="J26" s="149" t="s">
        <v>12</v>
      </c>
      <c r="K26" s="325" t="s">
        <v>20</v>
      </c>
      <c r="L26" s="151"/>
      <c r="M26" s="152"/>
    </row>
    <row r="27" spans="1:22" ht="13" x14ac:dyDescent="0.3">
      <c r="A27" s="17" t="s">
        <v>18</v>
      </c>
      <c r="B27" s="18" t="s">
        <v>21</v>
      </c>
      <c r="C27" s="8">
        <v>0</v>
      </c>
      <c r="D27" s="8">
        <v>0</v>
      </c>
      <c r="E27" s="8">
        <v>0</v>
      </c>
      <c r="F27" s="8">
        <f>SUM(C27:E27)</f>
        <v>0</v>
      </c>
      <c r="H27" s="147" t="s">
        <v>10</v>
      </c>
      <c r="I27" s="84">
        <v>42491</v>
      </c>
      <c r="J27" s="322">
        <f>I27</f>
        <v>42491</v>
      </c>
      <c r="K27" s="324"/>
      <c r="L27" s="323"/>
      <c r="M27" s="88"/>
    </row>
    <row r="28" spans="1:22" ht="13.5" thickBot="1" x14ac:dyDescent="0.35">
      <c r="A28" s="17" t="s">
        <v>19</v>
      </c>
      <c r="B28" s="18" t="s">
        <v>21</v>
      </c>
      <c r="C28" s="8">
        <v>0</v>
      </c>
      <c r="D28" s="8">
        <v>0</v>
      </c>
      <c r="E28" s="8">
        <v>0</v>
      </c>
      <c r="F28" s="8">
        <f>SUM(C28:E28)</f>
        <v>0</v>
      </c>
      <c r="H28" s="148" t="s">
        <v>16</v>
      </c>
      <c r="I28" s="89">
        <v>42520</v>
      </c>
      <c r="J28" s="90">
        <v>42674</v>
      </c>
      <c r="K28" s="326"/>
      <c r="L28" s="92"/>
      <c r="M28" s="93"/>
    </row>
    <row r="29" spans="1:22" ht="13.5" thickBot="1" x14ac:dyDescent="0.35">
      <c r="B29" s="34" t="s">
        <v>50</v>
      </c>
      <c r="C29" s="65">
        <f>+SUM(C26:C28)</f>
        <v>5682656</v>
      </c>
      <c r="D29" s="65">
        <f>+SUM(D26:D28)</f>
        <v>0</v>
      </c>
      <c r="E29" s="65">
        <f>+SUM(E26:E28)</f>
        <v>36494</v>
      </c>
      <c r="F29" s="65">
        <f>+SUM(F26:F28)</f>
        <v>5719150</v>
      </c>
    </row>
    <row r="30" spans="1:22" ht="14" thickTop="1" thickBot="1" x14ac:dyDescent="0.35">
      <c r="B30" s="34"/>
      <c r="C30" s="13"/>
      <c r="D30" s="13"/>
      <c r="E30" s="13"/>
      <c r="F30" s="13"/>
    </row>
    <row r="31" spans="1:22" ht="13" x14ac:dyDescent="0.3">
      <c r="B31" s="33"/>
      <c r="C31" s="5"/>
      <c r="D31" s="17"/>
      <c r="I31" s="130"/>
      <c r="J31" s="113"/>
      <c r="K31" s="113"/>
      <c r="L31" s="113"/>
      <c r="M31" s="97"/>
      <c r="Q31" s="346" t="s">
        <v>15</v>
      </c>
      <c r="R31" s="346"/>
      <c r="S31" s="346"/>
      <c r="T31" s="346"/>
      <c r="U31" s="346"/>
      <c r="V31" s="346"/>
    </row>
    <row r="32" spans="1:22" ht="50"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c r="Q32" s="260" t="s">
        <v>4</v>
      </c>
      <c r="R32" s="260" t="s">
        <v>5</v>
      </c>
      <c r="S32" s="95" t="s">
        <v>123</v>
      </c>
      <c r="T32" s="95" t="s">
        <v>121</v>
      </c>
      <c r="U32" s="95" t="s">
        <v>124</v>
      </c>
      <c r="V32" s="95" t="s">
        <v>122</v>
      </c>
    </row>
    <row r="33" spans="1:22" ht="13" x14ac:dyDescent="0.3">
      <c r="A33" s="78" t="s">
        <v>21</v>
      </c>
      <c r="B33" s="72" t="str">
        <f t="shared" ref="B33:B52" si="1">+IF(MONTH(C33)&lt;4,"Q1",IF(MONTH(C33)&lt;7,"Q2",IF(MONTH(C33)&lt;10,"Q3","Q4")))&amp;"/"&amp;YEAR(C33)</f>
        <v>Q2/2016</v>
      </c>
      <c r="C33" s="73">
        <f>$J$27</f>
        <v>42491</v>
      </c>
      <c r="D33" s="73">
        <f t="shared" ref="D33:D38" si="2">DATE(YEAR(C33),IF(MONTH(C33)&lt;=3,3,IF(MONTH(C33)&lt;=6,6,IF(MONTH(C33)&lt;=9,9,12))),IF(OR(MONTH(C33)&lt;=3,MONTH(C33)&gt;=10),31,30))</f>
        <v>42551</v>
      </c>
      <c r="E33" s="72">
        <f>D33-C33+1</f>
        <v>61</v>
      </c>
      <c r="F33" s="74">
        <f>VLOOKUP(D33,'FERC Interest Rate'!$A:$B,2,TRUE)</f>
        <v>3.4599999999999999E-2</v>
      </c>
      <c r="G33" s="75">
        <f>$C$26</f>
        <v>5682656</v>
      </c>
      <c r="H33" s="75">
        <f>G33*F33*(E33/(DATE(YEAR(D33),12,31)-DATE(YEAR(D33),1,1)+1))</f>
        <v>32769.982933333333</v>
      </c>
      <c r="I33" s="99">
        <v>0</v>
      </c>
      <c r="J33" s="76">
        <v>0</v>
      </c>
      <c r="K33" s="116">
        <f>+SUM(I33:J33)</f>
        <v>0</v>
      </c>
      <c r="L33" s="76">
        <v>0</v>
      </c>
      <c r="M33" s="117">
        <f>+SUM(K33:L33)</f>
        <v>0</v>
      </c>
      <c r="N33" s="8">
        <f>+G33+H33+J33</f>
        <v>5715425.9829333331</v>
      </c>
      <c r="O33" s="167">
        <f t="shared" ref="O33:O52" si="3">G33+H33-L33-I33</f>
        <v>5715425.9829333331</v>
      </c>
      <c r="Q33" s="73">
        <f>$J$28</f>
        <v>42674</v>
      </c>
      <c r="R33" s="73">
        <f>DATE(YEAR(Q33),IF(MONTH(Q33)&lt;=3,3,IF(MONTH(Q33)&lt;=6,6,IF(MONTH(Q33)&lt;=9,9,12))),IF(OR(MONTH(Q33)&lt;=3,MONTH(Q33)&gt;=10),31,30))</f>
        <v>42735</v>
      </c>
      <c r="S33" s="76">
        <f t="shared" ref="S33:S52" si="4">+I68+I102+I135+I168+I200+I232+I264+I296+I327+I359+I390+I420+I450+I480+I509+I538+I565</f>
        <v>115.96426895825992</v>
      </c>
      <c r="T33" s="76">
        <f t="shared" ref="T33:T52" si="5">+J68+J102+J135+J168+J200+J232+J264+J296+J327+J359+J390+J420+J450+J480+J509+J538+J565</f>
        <v>0</v>
      </c>
      <c r="U33" s="76">
        <f t="shared" ref="U33:U52" si="6">+K68+K102+K135+K168+K200+K232+K264+K296+K327+K359+K390+K420+K450+K480+K509+K538+K565</f>
        <v>115.96426895825992</v>
      </c>
      <c r="V33" s="76">
        <f t="shared" ref="V33:V52" si="7">+L68+L102+L135+L168+L200+L232+L264+L296+L327+L359+L390+L420+L450+L480+L509+L538+L565</f>
        <v>1824.7</v>
      </c>
    </row>
    <row r="34" spans="1:22" ht="13" x14ac:dyDescent="0.3">
      <c r="A34" s="78" t="s">
        <v>21</v>
      </c>
      <c r="B34" s="72" t="str">
        <f t="shared" si="1"/>
        <v>Q3/2016</v>
      </c>
      <c r="C34" s="73">
        <f>D33+1</f>
        <v>42552</v>
      </c>
      <c r="D34" s="73">
        <f t="shared" si="2"/>
        <v>42643</v>
      </c>
      <c r="E34" s="72">
        <f t="shared" ref="E34:E52" si="8">D34-C34+1</f>
        <v>92</v>
      </c>
      <c r="F34" s="74">
        <f>VLOOKUP(D34,'FERC Interest Rate'!$A:$B,2,TRUE)</f>
        <v>3.5000000000000003E-2</v>
      </c>
      <c r="G34" s="75">
        <f t="shared" ref="G34:G52" si="9">O33</f>
        <v>5715425.9829333331</v>
      </c>
      <c r="H34" s="75">
        <f>G34*F34*(E34/(DATE(YEAR(D34),12,31)-DATE(YEAR(D34),1,1)+1))</f>
        <v>50283.255915424408</v>
      </c>
      <c r="I34" s="99">
        <v>0</v>
      </c>
      <c r="J34" s="76">
        <v>0</v>
      </c>
      <c r="K34" s="116">
        <f t="shared" ref="K34:K52" si="10">+SUM(I34:J34)</f>
        <v>0</v>
      </c>
      <c r="L34" s="76">
        <v>0</v>
      </c>
      <c r="M34" s="117">
        <f t="shared" ref="M34:M52" si="11">+SUM(K34:L34)</f>
        <v>0</v>
      </c>
      <c r="N34" s="8">
        <f t="shared" ref="N34:N52" si="12">+G34+H34+J34</f>
        <v>5765709.2388487579</v>
      </c>
      <c r="O34" s="167">
        <f t="shared" si="3"/>
        <v>5765709.2388487579</v>
      </c>
      <c r="Q34" s="73">
        <f>R33+1</f>
        <v>42736</v>
      </c>
      <c r="R34" s="73">
        <f>EOMONTH(R33,3)</f>
        <v>42825</v>
      </c>
      <c r="S34" s="76">
        <f t="shared" si="4"/>
        <v>115.96426895825992</v>
      </c>
      <c r="T34" s="76">
        <f t="shared" si="5"/>
        <v>318.21577122507358</v>
      </c>
      <c r="U34" s="76">
        <f t="shared" si="6"/>
        <v>434.18004018333352</v>
      </c>
      <c r="V34" s="76">
        <f t="shared" si="7"/>
        <v>1824.7</v>
      </c>
    </row>
    <row r="35" spans="1:22" ht="13" x14ac:dyDescent="0.3">
      <c r="A35" s="17" t="s">
        <v>52</v>
      </c>
      <c r="B35" s="72" t="str">
        <f t="shared" si="1"/>
        <v>Q4/2016</v>
      </c>
      <c r="C35" s="73">
        <f t="shared" ref="C35:C52" si="13">D34+1</f>
        <v>42644</v>
      </c>
      <c r="D35" s="73">
        <f t="shared" si="2"/>
        <v>42735</v>
      </c>
      <c r="E35" s="72">
        <f t="shared" si="8"/>
        <v>92</v>
      </c>
      <c r="F35" s="74">
        <f>VLOOKUP(D35,'FERC Interest Rate'!$A:$B,2,TRUE)</f>
        <v>3.5000000000000003E-2</v>
      </c>
      <c r="G35" s="75">
        <f t="shared" si="9"/>
        <v>5765709.2388487579</v>
      </c>
      <c r="H35" s="75">
        <f>G35*F35*(E35/(DATE(YEAR(D35),12,31)-DATE(YEAR(D35),1,1)+1))</f>
        <v>50725.638658724056</v>
      </c>
      <c r="I35" s="99">
        <f t="shared" ref="I35:I54" si="14">SUM($H$33:$H$53)/20</f>
        <v>6688.9438753740887</v>
      </c>
      <c r="J35" s="76">
        <v>0</v>
      </c>
      <c r="K35" s="116">
        <f t="shared" si="10"/>
        <v>6688.9438753740887</v>
      </c>
      <c r="L35" s="76">
        <f t="shared" ref="L35:L54" si="15">$C$26/20</f>
        <v>284132.8</v>
      </c>
      <c r="M35" s="117">
        <f t="shared" si="11"/>
        <v>290821.74387537409</v>
      </c>
      <c r="N35" s="8">
        <f t="shared" si="12"/>
        <v>5816434.8775074817</v>
      </c>
      <c r="O35" s="167">
        <f t="shared" si="3"/>
        <v>5525613.1336321076</v>
      </c>
      <c r="Q35" s="73">
        <f t="shared" ref="Q35:Q52" si="16">R34+1</f>
        <v>42826</v>
      </c>
      <c r="R35" s="73">
        <f t="shared" ref="R35:R52" si="17">EOMONTH(R34,3)</f>
        <v>42916</v>
      </c>
      <c r="S35" s="76">
        <f t="shared" si="4"/>
        <v>115.96426895825992</v>
      </c>
      <c r="T35" s="76">
        <f t="shared" si="5"/>
        <v>323.1062451828484</v>
      </c>
      <c r="U35" s="76">
        <f t="shared" si="6"/>
        <v>439.07051414110828</v>
      </c>
      <c r="V35" s="76">
        <f t="shared" si="7"/>
        <v>1824.7</v>
      </c>
    </row>
    <row r="36" spans="1:22" ht="13" x14ac:dyDescent="0.3">
      <c r="A36" s="17" t="s">
        <v>53</v>
      </c>
      <c r="B36" s="72" t="str">
        <f t="shared" si="1"/>
        <v>Q1/2017</v>
      </c>
      <c r="C36" s="73">
        <f t="shared" si="13"/>
        <v>42736</v>
      </c>
      <c r="D36" s="73">
        <f t="shared" si="2"/>
        <v>42825</v>
      </c>
      <c r="E36" s="72">
        <f t="shared" si="8"/>
        <v>90</v>
      </c>
      <c r="F36" s="74">
        <f>VLOOKUP(D36,'FERC Interest Rate'!$A:$B,2,TRUE)</f>
        <v>3.5000000000000003E-2</v>
      </c>
      <c r="G36" s="75">
        <f t="shared" si="9"/>
        <v>5525613.1336321076</v>
      </c>
      <c r="H36" s="75">
        <v>0</v>
      </c>
      <c r="I36" s="99">
        <f t="shared" si="14"/>
        <v>6688.9438753740887</v>
      </c>
      <c r="J36" s="76">
        <f t="shared" ref="J36:J52" si="18">G36*F36*(E36/(DATE(YEAR(D36),12,31)-DATE(YEAR(D36),1,1)+1))</f>
        <v>47686.798276551068</v>
      </c>
      <c r="K36" s="116">
        <f t="shared" si="10"/>
        <v>54375.742151925158</v>
      </c>
      <c r="L36" s="76">
        <f t="shared" si="15"/>
        <v>284132.8</v>
      </c>
      <c r="M36" s="117">
        <f t="shared" si="11"/>
        <v>338508.54215192515</v>
      </c>
      <c r="N36" s="8">
        <f t="shared" si="12"/>
        <v>5573299.9319086587</v>
      </c>
      <c r="O36" s="167">
        <f t="shared" si="3"/>
        <v>5234791.3897567336</v>
      </c>
      <c r="Q36" s="73">
        <f t="shared" si="16"/>
        <v>42917</v>
      </c>
      <c r="R36" s="73">
        <f t="shared" si="17"/>
        <v>43008</v>
      </c>
      <c r="S36" s="76">
        <f t="shared" si="4"/>
        <v>115.96426895825992</v>
      </c>
      <c r="T36" s="76">
        <f t="shared" si="5"/>
        <v>329.29829342292737</v>
      </c>
      <c r="U36" s="76">
        <f t="shared" si="6"/>
        <v>445.26256238118725</v>
      </c>
      <c r="V36" s="76">
        <f t="shared" si="7"/>
        <v>1824.7</v>
      </c>
    </row>
    <row r="37" spans="1:22" ht="13" x14ac:dyDescent="0.3">
      <c r="A37" s="17" t="s">
        <v>54</v>
      </c>
      <c r="B37" s="72" t="str">
        <f t="shared" si="1"/>
        <v>Q2/2017</v>
      </c>
      <c r="C37" s="73">
        <f t="shared" si="13"/>
        <v>42826</v>
      </c>
      <c r="D37" s="73">
        <f t="shared" si="2"/>
        <v>42916</v>
      </c>
      <c r="E37" s="72">
        <f t="shared" si="8"/>
        <v>91</v>
      </c>
      <c r="F37" s="74">
        <f>VLOOKUP(D37,'FERC Interest Rate'!$A:$B,2,TRUE)</f>
        <v>3.7100000000000001E-2</v>
      </c>
      <c r="G37" s="75">
        <f t="shared" si="9"/>
        <v>5234791.3897567336</v>
      </c>
      <c r="H37" s="75">
        <v>0</v>
      </c>
      <c r="I37" s="99">
        <f t="shared" si="14"/>
        <v>6688.9438753740887</v>
      </c>
      <c r="J37" s="76">
        <f t="shared" si="18"/>
        <v>48419.669071117009</v>
      </c>
      <c r="K37" s="116">
        <f t="shared" si="10"/>
        <v>55108.612946491099</v>
      </c>
      <c r="L37" s="76">
        <f t="shared" si="15"/>
        <v>284132.8</v>
      </c>
      <c r="M37" s="117">
        <f t="shared" si="11"/>
        <v>339241.41294649109</v>
      </c>
      <c r="N37" s="8">
        <f t="shared" si="12"/>
        <v>5283211.058827851</v>
      </c>
      <c r="O37" s="167">
        <f t="shared" si="3"/>
        <v>4943969.6458813595</v>
      </c>
      <c r="Q37" s="73">
        <f t="shared" si="16"/>
        <v>43009</v>
      </c>
      <c r="R37" s="73">
        <f t="shared" si="17"/>
        <v>43100</v>
      </c>
      <c r="S37" s="76">
        <f t="shared" si="4"/>
        <v>115.96426895825992</v>
      </c>
      <c r="T37" s="76">
        <f t="shared" si="5"/>
        <v>329.49395491634556</v>
      </c>
      <c r="U37" s="76">
        <f t="shared" si="6"/>
        <v>445.45822387460549</v>
      </c>
      <c r="V37" s="76">
        <f t="shared" si="7"/>
        <v>1824.7</v>
      </c>
    </row>
    <row r="38" spans="1:22" ht="13" x14ac:dyDescent="0.3">
      <c r="A38" s="17" t="s">
        <v>55</v>
      </c>
      <c r="B38" s="72" t="str">
        <f t="shared" si="1"/>
        <v>Q3/2017</v>
      </c>
      <c r="C38" s="73">
        <f t="shared" si="13"/>
        <v>42917</v>
      </c>
      <c r="D38" s="73">
        <f t="shared" si="2"/>
        <v>43008</v>
      </c>
      <c r="E38" s="72">
        <f t="shared" si="8"/>
        <v>92</v>
      </c>
      <c r="F38" s="74">
        <f>VLOOKUP(D38,'FERC Interest Rate'!$A:$B,2,TRUE)</f>
        <v>3.9600000000000003E-2</v>
      </c>
      <c r="G38" s="75">
        <f t="shared" si="9"/>
        <v>4943969.6458813595</v>
      </c>
      <c r="H38" s="75">
        <v>0</v>
      </c>
      <c r="I38" s="99">
        <f t="shared" si="14"/>
        <v>6688.9438753740887</v>
      </c>
      <c r="J38" s="76">
        <f t="shared" si="18"/>
        <v>49347.589627054724</v>
      </c>
      <c r="K38" s="116">
        <f t="shared" si="10"/>
        <v>56036.533502428814</v>
      </c>
      <c r="L38" s="76">
        <f t="shared" si="15"/>
        <v>284132.8</v>
      </c>
      <c r="M38" s="117">
        <f t="shared" si="11"/>
        <v>340169.33350242878</v>
      </c>
      <c r="N38" s="8">
        <f t="shared" si="12"/>
        <v>4993317.235508414</v>
      </c>
      <c r="O38" s="167">
        <f t="shared" si="3"/>
        <v>4653147.9020059854</v>
      </c>
      <c r="Q38" s="73">
        <f t="shared" si="16"/>
        <v>43101</v>
      </c>
      <c r="R38" s="73">
        <f t="shared" si="17"/>
        <v>43190</v>
      </c>
      <c r="S38" s="76">
        <f t="shared" si="4"/>
        <v>115.96426895825992</v>
      </c>
      <c r="T38" s="76">
        <f t="shared" si="5"/>
        <v>305.05647241501424</v>
      </c>
      <c r="U38" s="76">
        <f t="shared" si="6"/>
        <v>421.02074137327412</v>
      </c>
      <c r="V38" s="76">
        <f t="shared" si="7"/>
        <v>1824.7</v>
      </c>
    </row>
    <row r="39" spans="1:22" x14ac:dyDescent="0.25">
      <c r="A39" s="17" t="s">
        <v>56</v>
      </c>
      <c r="B39" s="72" t="str">
        <f t="shared" si="1"/>
        <v>Q4/2017</v>
      </c>
      <c r="C39" s="73">
        <f t="shared" si="13"/>
        <v>43009</v>
      </c>
      <c r="D39" s="73">
        <f t="shared" ref="D39:D53" si="19">EOMONTH(D38,3)</f>
        <v>43100</v>
      </c>
      <c r="E39" s="72">
        <f t="shared" si="8"/>
        <v>92</v>
      </c>
      <c r="F39" s="74">
        <f>VLOOKUP(D39,'FERC Interest Rate'!$A:$B,2,TRUE)</f>
        <v>4.2099999999999999E-2</v>
      </c>
      <c r="G39" s="75">
        <f t="shared" si="9"/>
        <v>4653147.9020059854</v>
      </c>
      <c r="H39" s="75">
        <v>0</v>
      </c>
      <c r="I39" s="99">
        <f t="shared" si="14"/>
        <v>6688.9438753740887</v>
      </c>
      <c r="J39" s="76">
        <f t="shared" si="18"/>
        <v>49376.91083301256</v>
      </c>
      <c r="K39" s="116">
        <f t="shared" si="10"/>
        <v>56065.854708386651</v>
      </c>
      <c r="L39" s="76">
        <f t="shared" si="15"/>
        <v>284132.8</v>
      </c>
      <c r="M39" s="117">
        <f t="shared" si="11"/>
        <v>340198.65470838663</v>
      </c>
      <c r="N39" s="8">
        <f t="shared" si="12"/>
        <v>4702524.8128389977</v>
      </c>
      <c r="O39" s="75">
        <f t="shared" si="3"/>
        <v>4362326.1581306113</v>
      </c>
      <c r="Q39" s="73">
        <f t="shared" si="16"/>
        <v>43191</v>
      </c>
      <c r="R39" s="73">
        <f t="shared" si="17"/>
        <v>43281</v>
      </c>
      <c r="S39" s="76">
        <f t="shared" si="4"/>
        <v>115.96426895825992</v>
      </c>
      <c r="T39" s="76">
        <f t="shared" si="5"/>
        <v>302.78509768707175</v>
      </c>
      <c r="U39" s="76">
        <f t="shared" si="6"/>
        <v>418.74936664533158</v>
      </c>
      <c r="V39" s="76">
        <f t="shared" si="7"/>
        <v>1824.7</v>
      </c>
    </row>
    <row r="40" spans="1:22" x14ac:dyDescent="0.25">
      <c r="A40" s="17" t="s">
        <v>57</v>
      </c>
      <c r="B40" s="72" t="str">
        <f t="shared" si="1"/>
        <v>Q1/2018</v>
      </c>
      <c r="C40" s="73">
        <f t="shared" si="13"/>
        <v>43101</v>
      </c>
      <c r="D40" s="73">
        <f t="shared" si="19"/>
        <v>43190</v>
      </c>
      <c r="E40" s="72">
        <f t="shared" si="8"/>
        <v>90</v>
      </c>
      <c r="F40" s="74">
        <f>VLOOKUP(D40,'FERC Interest Rate'!$A:$B,2,TRUE)</f>
        <v>4.2500000000000003E-2</v>
      </c>
      <c r="G40" s="75">
        <f t="shared" si="9"/>
        <v>4362326.1581306113</v>
      </c>
      <c r="H40" s="75">
        <v>0</v>
      </c>
      <c r="I40" s="99">
        <f t="shared" si="14"/>
        <v>6688.9438753740887</v>
      </c>
      <c r="J40" s="76">
        <f t="shared" si="18"/>
        <v>45714.787821505721</v>
      </c>
      <c r="K40" s="116">
        <f t="shared" si="10"/>
        <v>52403.731696879811</v>
      </c>
      <c r="L40" s="76">
        <f t="shared" si="15"/>
        <v>284132.8</v>
      </c>
      <c r="M40" s="117">
        <f t="shared" si="11"/>
        <v>336536.53169687977</v>
      </c>
      <c r="N40" s="8">
        <f t="shared" si="12"/>
        <v>4408040.9459521174</v>
      </c>
      <c r="O40" s="75">
        <f t="shared" si="3"/>
        <v>4071504.4142552372</v>
      </c>
      <c r="Q40" s="73">
        <f t="shared" si="16"/>
        <v>43282</v>
      </c>
      <c r="R40" s="73">
        <f t="shared" si="17"/>
        <v>43373</v>
      </c>
      <c r="S40" s="76">
        <f t="shared" si="4"/>
        <v>115.96426895825992</v>
      </c>
      <c r="T40" s="76">
        <f t="shared" si="5"/>
        <v>298.23703134277895</v>
      </c>
      <c r="U40" s="76">
        <f t="shared" si="6"/>
        <v>414.20130030103888</v>
      </c>
      <c r="V40" s="76">
        <f t="shared" si="7"/>
        <v>1824.7</v>
      </c>
    </row>
    <row r="41" spans="1:22" x14ac:dyDescent="0.25">
      <c r="A41" s="17" t="s">
        <v>58</v>
      </c>
      <c r="B41" s="72" t="str">
        <f t="shared" si="1"/>
        <v>Q2/2018</v>
      </c>
      <c r="C41" s="73">
        <f t="shared" si="13"/>
        <v>43191</v>
      </c>
      <c r="D41" s="73">
        <f t="shared" si="19"/>
        <v>43281</v>
      </c>
      <c r="E41" s="72">
        <f t="shared" si="8"/>
        <v>91</v>
      </c>
      <c r="F41" s="74">
        <f>VLOOKUP(D41,'FERC Interest Rate'!$A:$B,2,TRUE)</f>
        <v>4.4699999999999997E-2</v>
      </c>
      <c r="G41" s="75">
        <f t="shared" si="9"/>
        <v>4071504.4142552372</v>
      </c>
      <c r="H41" s="75">
        <v>0</v>
      </c>
      <c r="I41" s="99">
        <f t="shared" si="14"/>
        <v>6688.9438753740887</v>
      </c>
      <c r="J41" s="76">
        <f t="shared" si="18"/>
        <v>45374.406865386372</v>
      </c>
      <c r="K41" s="116">
        <f t="shared" si="10"/>
        <v>52063.350740760463</v>
      </c>
      <c r="L41" s="76">
        <f t="shared" si="15"/>
        <v>284132.8</v>
      </c>
      <c r="M41" s="117">
        <f t="shared" si="11"/>
        <v>336196.15074076044</v>
      </c>
      <c r="N41" s="8">
        <f t="shared" si="12"/>
        <v>4116878.8211206235</v>
      </c>
      <c r="O41" s="75">
        <f t="shared" si="3"/>
        <v>3780682.6703798631</v>
      </c>
      <c r="Q41" s="73">
        <f t="shared" si="16"/>
        <v>43374</v>
      </c>
      <c r="R41" s="73">
        <f t="shared" si="17"/>
        <v>43465</v>
      </c>
      <c r="S41" s="76">
        <f t="shared" si="4"/>
        <v>115.96426895825992</v>
      </c>
      <c r="T41" s="76">
        <f t="shared" si="5"/>
        <v>291.14430220636712</v>
      </c>
      <c r="U41" s="76">
        <f t="shared" si="6"/>
        <v>407.10857116462711</v>
      </c>
      <c r="V41" s="76">
        <f t="shared" si="7"/>
        <v>1824.7</v>
      </c>
    </row>
    <row r="42" spans="1:22" x14ac:dyDescent="0.25">
      <c r="A42" s="17" t="s">
        <v>59</v>
      </c>
      <c r="B42" s="72" t="str">
        <f t="shared" si="1"/>
        <v>Q3/2018</v>
      </c>
      <c r="C42" s="73">
        <f t="shared" si="13"/>
        <v>43282</v>
      </c>
      <c r="D42" s="73">
        <f t="shared" si="19"/>
        <v>43373</v>
      </c>
      <c r="E42" s="72">
        <f t="shared" si="8"/>
        <v>92</v>
      </c>
      <c r="F42" s="74">
        <f>VLOOKUP(D42,'FERC Interest Rate'!$A:$B,2,TRUE)</f>
        <v>4.6899999999999997E-2</v>
      </c>
      <c r="G42" s="75">
        <f t="shared" si="9"/>
        <v>3780682.6703798631</v>
      </c>
      <c r="H42" s="75">
        <v>0</v>
      </c>
      <c r="I42" s="99">
        <f t="shared" si="14"/>
        <v>6688.9438753740887</v>
      </c>
      <c r="J42" s="76">
        <f t="shared" si="18"/>
        <v>44692.848181246663</v>
      </c>
      <c r="K42" s="116">
        <f t="shared" si="10"/>
        <v>51381.792056620754</v>
      </c>
      <c r="L42" s="76">
        <f t="shared" si="15"/>
        <v>284132.8</v>
      </c>
      <c r="M42" s="117">
        <f t="shared" si="11"/>
        <v>335514.59205662075</v>
      </c>
      <c r="N42" s="8">
        <f t="shared" si="12"/>
        <v>3825375.5185611099</v>
      </c>
      <c r="O42" s="75">
        <f t="shared" si="3"/>
        <v>3489860.926504489</v>
      </c>
      <c r="Q42" s="73">
        <f t="shared" si="16"/>
        <v>43466</v>
      </c>
      <c r="R42" s="73">
        <f t="shared" si="17"/>
        <v>43555</v>
      </c>
      <c r="S42" s="76">
        <f t="shared" si="4"/>
        <v>115.96426895825992</v>
      </c>
      <c r="T42" s="76">
        <f t="shared" si="5"/>
        <v>272.66067134443148</v>
      </c>
      <c r="U42" s="76">
        <f t="shared" si="6"/>
        <v>388.62494030269136</v>
      </c>
      <c r="V42" s="76">
        <f t="shared" si="7"/>
        <v>1824.7</v>
      </c>
    </row>
    <row r="43" spans="1:22" x14ac:dyDescent="0.25">
      <c r="A43" s="17" t="s">
        <v>60</v>
      </c>
      <c r="B43" s="72" t="str">
        <f t="shared" si="1"/>
        <v>Q4/2018</v>
      </c>
      <c r="C43" s="73">
        <f t="shared" si="13"/>
        <v>43374</v>
      </c>
      <c r="D43" s="73">
        <f t="shared" si="19"/>
        <v>43465</v>
      </c>
      <c r="E43" s="72">
        <f t="shared" si="8"/>
        <v>92</v>
      </c>
      <c r="F43" s="74">
        <f>VLOOKUP(D43,'FERC Interest Rate'!$A:$B,2,TRUE)</f>
        <v>4.9599999999999998E-2</v>
      </c>
      <c r="G43" s="75">
        <f t="shared" si="9"/>
        <v>3489860.926504489</v>
      </c>
      <c r="H43" s="75">
        <v>0</v>
      </c>
      <c r="I43" s="99">
        <f t="shared" si="14"/>
        <v>6688.9438753740887</v>
      </c>
      <c r="J43" s="76">
        <f t="shared" si="18"/>
        <v>43629.954465274757</v>
      </c>
      <c r="K43" s="116">
        <f t="shared" si="10"/>
        <v>50318.898340648848</v>
      </c>
      <c r="L43" s="76">
        <f t="shared" si="15"/>
        <v>284132.8</v>
      </c>
      <c r="M43" s="117">
        <f t="shared" si="11"/>
        <v>334451.69834064884</v>
      </c>
      <c r="N43" s="8">
        <f t="shared" si="12"/>
        <v>3533490.8809697637</v>
      </c>
      <c r="O43" s="75">
        <f t="shared" si="3"/>
        <v>3199039.1826291149</v>
      </c>
      <c r="Q43" s="73">
        <f t="shared" si="16"/>
        <v>43556</v>
      </c>
      <c r="R43" s="73">
        <f t="shared" si="17"/>
        <v>43646</v>
      </c>
      <c r="S43" s="76">
        <f t="shared" si="4"/>
        <v>115.96426895825992</v>
      </c>
      <c r="T43" s="76">
        <f t="shared" si="5"/>
        <v>263.69108059995864</v>
      </c>
      <c r="U43" s="76">
        <f t="shared" si="6"/>
        <v>379.65534955821863</v>
      </c>
      <c r="V43" s="76">
        <f t="shared" si="7"/>
        <v>1824.7</v>
      </c>
    </row>
    <row r="44" spans="1:22" x14ac:dyDescent="0.25">
      <c r="A44" s="17" t="s">
        <v>61</v>
      </c>
      <c r="B44" s="72" t="str">
        <f t="shared" si="1"/>
        <v>Q1/2019</v>
      </c>
      <c r="C44" s="73">
        <f t="shared" si="13"/>
        <v>43466</v>
      </c>
      <c r="D44" s="73">
        <f t="shared" si="19"/>
        <v>43555</v>
      </c>
      <c r="E44" s="72">
        <f t="shared" si="8"/>
        <v>90</v>
      </c>
      <c r="F44" s="74">
        <f>VLOOKUP(D44,'FERC Interest Rate'!$A:$B,2,TRUE)</f>
        <v>5.1799999999999999E-2</v>
      </c>
      <c r="G44" s="75">
        <f t="shared" si="9"/>
        <v>3199039.1826291149</v>
      </c>
      <c r="H44" s="75">
        <v>0</v>
      </c>
      <c r="I44" s="99">
        <f t="shared" si="14"/>
        <v>6688.9438753740887</v>
      </c>
      <c r="J44" s="76">
        <f t="shared" si="18"/>
        <v>40860.05662853954</v>
      </c>
      <c r="K44" s="116">
        <f t="shared" si="10"/>
        <v>47549.00050391363</v>
      </c>
      <c r="L44" s="76">
        <f t="shared" si="15"/>
        <v>284132.8</v>
      </c>
      <c r="M44" s="117">
        <f t="shared" si="11"/>
        <v>331681.8005039136</v>
      </c>
      <c r="N44" s="8">
        <f t="shared" si="12"/>
        <v>3239899.2392576546</v>
      </c>
      <c r="O44" s="75">
        <f t="shared" si="3"/>
        <v>2908217.4387537409</v>
      </c>
      <c r="Q44" s="73">
        <f t="shared" si="16"/>
        <v>43647</v>
      </c>
      <c r="R44" s="73">
        <f t="shared" si="17"/>
        <v>43738</v>
      </c>
      <c r="S44" s="76">
        <f t="shared" si="4"/>
        <v>115.96426895825992</v>
      </c>
      <c r="T44" s="76">
        <f t="shared" si="5"/>
        <v>242.13109810509363</v>
      </c>
      <c r="U44" s="76">
        <f t="shared" si="6"/>
        <v>358.09536706335354</v>
      </c>
      <c r="V44" s="76">
        <f t="shared" si="7"/>
        <v>1824.7</v>
      </c>
    </row>
    <row r="45" spans="1:22" x14ac:dyDescent="0.25">
      <c r="A45" s="17" t="s">
        <v>62</v>
      </c>
      <c r="B45" s="72" t="str">
        <f t="shared" si="1"/>
        <v>Q2/2019</v>
      </c>
      <c r="C45" s="73">
        <f t="shared" si="13"/>
        <v>43556</v>
      </c>
      <c r="D45" s="73">
        <f t="shared" si="19"/>
        <v>43646</v>
      </c>
      <c r="E45" s="72">
        <f t="shared" si="8"/>
        <v>91</v>
      </c>
      <c r="F45" s="74">
        <f>VLOOKUP(D45,'FERC Interest Rate'!$A:$B,2,TRUE)</f>
        <v>5.45E-2</v>
      </c>
      <c r="G45" s="75">
        <f t="shared" si="9"/>
        <v>2908217.4387537409</v>
      </c>
      <c r="H45" s="75">
        <v>0</v>
      </c>
      <c r="I45" s="99">
        <f t="shared" si="14"/>
        <v>6688.9438753740887</v>
      </c>
      <c r="J45" s="76">
        <f t="shared" si="18"/>
        <v>39515.902431504597</v>
      </c>
      <c r="K45" s="116">
        <f t="shared" si="10"/>
        <v>46204.846306878688</v>
      </c>
      <c r="L45" s="76">
        <f t="shared" si="15"/>
        <v>284132.8</v>
      </c>
      <c r="M45" s="117">
        <f t="shared" si="11"/>
        <v>330337.64630687865</v>
      </c>
      <c r="N45" s="8">
        <f t="shared" si="12"/>
        <v>2947733.3411852457</v>
      </c>
      <c r="O45" s="75">
        <f t="shared" si="3"/>
        <v>2617395.6948783668</v>
      </c>
      <c r="Q45" s="73">
        <f t="shared" si="16"/>
        <v>43739</v>
      </c>
      <c r="R45" s="73">
        <f t="shared" si="17"/>
        <v>43830</v>
      </c>
      <c r="S45" s="76">
        <f t="shared" si="4"/>
        <v>115.96426895825992</v>
      </c>
      <c r="T45" s="76">
        <f t="shared" si="5"/>
        <v>212.09705886539106</v>
      </c>
      <c r="U45" s="76">
        <f t="shared" si="6"/>
        <v>328.06132782365097</v>
      </c>
      <c r="V45" s="76">
        <f t="shared" si="7"/>
        <v>1824.7</v>
      </c>
    </row>
    <row r="46" spans="1:22" x14ac:dyDescent="0.25">
      <c r="A46" s="17" t="s">
        <v>63</v>
      </c>
      <c r="B46" s="72" t="str">
        <f t="shared" si="1"/>
        <v>Q3/2019</v>
      </c>
      <c r="C46" s="73">
        <f t="shared" si="13"/>
        <v>43647</v>
      </c>
      <c r="D46" s="73">
        <f t="shared" si="19"/>
        <v>43738</v>
      </c>
      <c r="E46" s="72">
        <f t="shared" si="8"/>
        <v>92</v>
      </c>
      <c r="F46" s="74">
        <f>VLOOKUP(D46,'FERC Interest Rate'!$A:$B,2,TRUE)</f>
        <v>5.5E-2</v>
      </c>
      <c r="G46" s="75">
        <f t="shared" si="9"/>
        <v>2617395.6948783668</v>
      </c>
      <c r="H46" s="75">
        <v>0</v>
      </c>
      <c r="I46" s="99">
        <f t="shared" si="14"/>
        <v>6688.9438753740887</v>
      </c>
      <c r="J46" s="76">
        <f t="shared" si="18"/>
        <v>36284.992372834349</v>
      </c>
      <c r="K46" s="116">
        <f t="shared" si="10"/>
        <v>42973.93624820844</v>
      </c>
      <c r="L46" s="76">
        <f t="shared" si="15"/>
        <v>284132.8</v>
      </c>
      <c r="M46" s="117">
        <f t="shared" si="11"/>
        <v>327106.73624820844</v>
      </c>
      <c r="N46" s="8">
        <f t="shared" si="12"/>
        <v>2653680.6872512009</v>
      </c>
      <c r="O46" s="75">
        <f t="shared" si="3"/>
        <v>2326573.9510029927</v>
      </c>
      <c r="Q46" s="73">
        <f t="shared" si="16"/>
        <v>43831</v>
      </c>
      <c r="R46" s="73">
        <f t="shared" si="17"/>
        <v>43921</v>
      </c>
      <c r="S46" s="76">
        <f t="shared" si="4"/>
        <v>115.96426895825992</v>
      </c>
      <c r="T46" s="76">
        <f t="shared" si="5"/>
        <v>167.52916860816944</v>
      </c>
      <c r="U46" s="76">
        <f t="shared" si="6"/>
        <v>283.49343756642929</v>
      </c>
      <c r="V46" s="76">
        <f t="shared" si="7"/>
        <v>1824.7</v>
      </c>
    </row>
    <row r="47" spans="1:22" x14ac:dyDescent="0.25">
      <c r="A47" s="17" t="s">
        <v>64</v>
      </c>
      <c r="B47" s="72" t="str">
        <f t="shared" si="1"/>
        <v>Q4/2019</v>
      </c>
      <c r="C47" s="73">
        <f t="shared" si="13"/>
        <v>43739</v>
      </c>
      <c r="D47" s="73">
        <f t="shared" si="19"/>
        <v>43830</v>
      </c>
      <c r="E47" s="72">
        <f t="shared" si="8"/>
        <v>92</v>
      </c>
      <c r="F47" s="74">
        <f>VLOOKUP(D47,'FERC Interest Rate'!$A:$B,2,TRUE)</f>
        <v>5.4199999999999998E-2</v>
      </c>
      <c r="G47" s="75">
        <f t="shared" si="9"/>
        <v>2326573.9510029927</v>
      </c>
      <c r="H47" s="75">
        <v>0</v>
      </c>
      <c r="I47" s="99">
        <f t="shared" si="14"/>
        <v>6688.9438753740887</v>
      </c>
      <c r="J47" s="76">
        <f t="shared" si="18"/>
        <v>31784.187258304995</v>
      </c>
      <c r="K47" s="116">
        <f t="shared" si="10"/>
        <v>38473.131133679082</v>
      </c>
      <c r="L47" s="76">
        <f t="shared" si="15"/>
        <v>284132.8</v>
      </c>
      <c r="M47" s="117">
        <f t="shared" si="11"/>
        <v>322605.93113367906</v>
      </c>
      <c r="N47" s="8">
        <f t="shared" si="12"/>
        <v>2358358.1382612977</v>
      </c>
      <c r="O47" s="75">
        <f t="shared" si="3"/>
        <v>2035752.2071276186</v>
      </c>
      <c r="Q47" s="73">
        <f t="shared" si="16"/>
        <v>43922</v>
      </c>
      <c r="R47" s="73">
        <f t="shared" si="17"/>
        <v>44012</v>
      </c>
      <c r="S47" s="76">
        <f t="shared" si="4"/>
        <v>115.96426895825992</v>
      </c>
      <c r="T47" s="76">
        <f t="shared" si="5"/>
        <v>137.52687547773351</v>
      </c>
      <c r="U47" s="76">
        <f t="shared" si="6"/>
        <v>253.49114443599342</v>
      </c>
      <c r="V47" s="76">
        <f t="shared" si="7"/>
        <v>1824.7</v>
      </c>
    </row>
    <row r="48" spans="1:22" x14ac:dyDescent="0.25">
      <c r="A48" s="17" t="s">
        <v>65</v>
      </c>
      <c r="B48" s="72" t="str">
        <f t="shared" si="1"/>
        <v>Q1/2020</v>
      </c>
      <c r="C48" s="73">
        <f t="shared" si="13"/>
        <v>43831</v>
      </c>
      <c r="D48" s="73">
        <f t="shared" si="19"/>
        <v>43921</v>
      </c>
      <c r="E48" s="72">
        <f t="shared" si="8"/>
        <v>91</v>
      </c>
      <c r="F48" s="74">
        <f>VLOOKUP(D48,'FERC Interest Rate'!$A:$B,2,TRUE)</f>
        <v>4.9599999999999998E-2</v>
      </c>
      <c r="G48" s="75">
        <f t="shared" si="9"/>
        <v>2035752.2071276186</v>
      </c>
      <c r="H48" s="75">
        <v>0</v>
      </c>
      <c r="I48" s="99">
        <f t="shared" si="14"/>
        <v>6688.9438753740887</v>
      </c>
      <c r="J48" s="76">
        <f t="shared" si="18"/>
        <v>25105.385688773822</v>
      </c>
      <c r="K48" s="116">
        <f t="shared" si="10"/>
        <v>31794.329564147913</v>
      </c>
      <c r="L48" s="76">
        <f t="shared" si="15"/>
        <v>284132.8</v>
      </c>
      <c r="M48" s="117">
        <f t="shared" si="11"/>
        <v>315927.12956414791</v>
      </c>
      <c r="N48" s="8">
        <f t="shared" si="12"/>
        <v>2060857.5928163924</v>
      </c>
      <c r="O48" s="75">
        <f t="shared" si="3"/>
        <v>1744930.4632522445</v>
      </c>
      <c r="Q48" s="73">
        <f t="shared" si="16"/>
        <v>44013</v>
      </c>
      <c r="R48" s="73">
        <f t="shared" si="17"/>
        <v>44104</v>
      </c>
      <c r="S48" s="76">
        <f t="shared" si="4"/>
        <v>115.96426895825992</v>
      </c>
      <c r="T48" s="76">
        <f t="shared" si="5"/>
        <v>115.87593833841062</v>
      </c>
      <c r="U48" s="76">
        <f t="shared" si="6"/>
        <v>231.84020729667051</v>
      </c>
      <c r="V48" s="76">
        <f t="shared" si="7"/>
        <v>1824.7</v>
      </c>
    </row>
    <row r="49" spans="1:22" x14ac:dyDescent="0.25">
      <c r="A49" s="17" t="s">
        <v>66</v>
      </c>
      <c r="B49" s="72" t="str">
        <f t="shared" si="1"/>
        <v>Q2/2020</v>
      </c>
      <c r="C49" s="73">
        <f t="shared" si="13"/>
        <v>43922</v>
      </c>
      <c r="D49" s="73">
        <f t="shared" si="19"/>
        <v>44012</v>
      </c>
      <c r="E49" s="72">
        <f t="shared" si="8"/>
        <v>91</v>
      </c>
      <c r="F49" s="74">
        <f>VLOOKUP(D49,'FERC Interest Rate'!$A:$B,2,TRUE)</f>
        <v>4.7503500000000004E-2</v>
      </c>
      <c r="G49" s="75">
        <f t="shared" si="9"/>
        <v>1744930.4632522445</v>
      </c>
      <c r="H49" s="75">
        <v>0</v>
      </c>
      <c r="I49" s="99">
        <f t="shared" si="14"/>
        <v>6688.9438753740887</v>
      </c>
      <c r="J49" s="76">
        <f t="shared" si="18"/>
        <v>20609.337944700474</v>
      </c>
      <c r="K49" s="116">
        <f t="shared" si="10"/>
        <v>27298.281820074561</v>
      </c>
      <c r="L49" s="76">
        <f t="shared" si="15"/>
        <v>284132.8</v>
      </c>
      <c r="M49" s="117">
        <f t="shared" si="11"/>
        <v>311431.08182007453</v>
      </c>
      <c r="N49" s="8">
        <f t="shared" si="12"/>
        <v>1765539.8011969449</v>
      </c>
      <c r="O49" s="75">
        <f t="shared" si="3"/>
        <v>1454108.7193768704</v>
      </c>
      <c r="Q49" s="73">
        <f t="shared" si="16"/>
        <v>44105</v>
      </c>
      <c r="R49" s="73">
        <f t="shared" si="17"/>
        <v>44196</v>
      </c>
      <c r="S49" s="76">
        <f t="shared" si="4"/>
        <v>115.96426895825992</v>
      </c>
      <c r="T49" s="76">
        <f t="shared" si="5"/>
        <v>93.509337028215441</v>
      </c>
      <c r="U49" s="76">
        <f t="shared" si="6"/>
        <v>209.47360598647535</v>
      </c>
      <c r="V49" s="76">
        <f t="shared" si="7"/>
        <v>1824.7</v>
      </c>
    </row>
    <row r="50" spans="1:22" x14ac:dyDescent="0.25">
      <c r="A50" s="17" t="s">
        <v>67</v>
      </c>
      <c r="B50" s="72" t="str">
        <f t="shared" si="1"/>
        <v>Q3/2020</v>
      </c>
      <c r="C50" s="73">
        <f t="shared" si="13"/>
        <v>44013</v>
      </c>
      <c r="D50" s="73">
        <f t="shared" si="19"/>
        <v>44104</v>
      </c>
      <c r="E50" s="72">
        <f t="shared" si="8"/>
        <v>92</v>
      </c>
      <c r="F50" s="74">
        <f>VLOOKUP(D50,'FERC Interest Rate'!$A:$B,2,TRUE)</f>
        <v>4.7507929999999997E-2</v>
      </c>
      <c r="G50" s="75">
        <f t="shared" si="9"/>
        <v>1454108.7193768704</v>
      </c>
      <c r="H50" s="75">
        <v>0</v>
      </c>
      <c r="I50" s="99">
        <f t="shared" si="14"/>
        <v>6688.9438753740887</v>
      </c>
      <c r="J50" s="76">
        <f t="shared" si="18"/>
        <v>17364.797713754731</v>
      </c>
      <c r="K50" s="116">
        <f t="shared" si="10"/>
        <v>24053.741589128818</v>
      </c>
      <c r="L50" s="76">
        <f t="shared" si="15"/>
        <v>284132.8</v>
      </c>
      <c r="M50" s="117">
        <f t="shared" si="11"/>
        <v>308186.54158912878</v>
      </c>
      <c r="N50" s="8">
        <f t="shared" si="12"/>
        <v>1471473.5170906251</v>
      </c>
      <c r="O50" s="75">
        <f t="shared" si="3"/>
        <v>1163286.9755014963</v>
      </c>
      <c r="Q50" s="73">
        <f t="shared" si="16"/>
        <v>44197</v>
      </c>
      <c r="R50" s="73">
        <f t="shared" si="17"/>
        <v>44286</v>
      </c>
      <c r="S50" s="76">
        <f t="shared" si="4"/>
        <v>115.96426895825992</v>
      </c>
      <c r="T50" s="76">
        <f t="shared" si="5"/>
        <v>71.811686099568433</v>
      </c>
      <c r="U50" s="76">
        <f t="shared" si="6"/>
        <v>187.77595505782833</v>
      </c>
      <c r="V50" s="76">
        <f t="shared" si="7"/>
        <v>1824.7</v>
      </c>
    </row>
    <row r="51" spans="1:22" x14ac:dyDescent="0.25">
      <c r="A51" s="17" t="s">
        <v>68</v>
      </c>
      <c r="B51" s="72" t="str">
        <f t="shared" si="1"/>
        <v>Q4/2020</v>
      </c>
      <c r="C51" s="73">
        <f t="shared" si="13"/>
        <v>44105</v>
      </c>
      <c r="D51" s="73">
        <f t="shared" si="19"/>
        <v>44196</v>
      </c>
      <c r="E51" s="72">
        <f t="shared" si="8"/>
        <v>92</v>
      </c>
      <c r="F51" s="74">
        <f>VLOOKUP(D51,'FERC Interest Rate'!$A:$B,2,TRUE)</f>
        <v>4.7922320000000004E-2</v>
      </c>
      <c r="G51" s="75">
        <f t="shared" si="9"/>
        <v>1163286.9755014963</v>
      </c>
      <c r="H51" s="75">
        <v>0</v>
      </c>
      <c r="I51" s="99">
        <f t="shared" si="14"/>
        <v>6688.9438753740887</v>
      </c>
      <c r="J51" s="76">
        <f t="shared" si="18"/>
        <v>14013.010337833248</v>
      </c>
      <c r="K51" s="116">
        <f t="shared" si="10"/>
        <v>20701.954213207337</v>
      </c>
      <c r="L51" s="76">
        <f t="shared" si="15"/>
        <v>284132.8</v>
      </c>
      <c r="M51" s="117">
        <f t="shared" si="11"/>
        <v>304834.75421320734</v>
      </c>
      <c r="N51" s="8">
        <f t="shared" si="12"/>
        <v>1177299.9858393297</v>
      </c>
      <c r="O51" s="75">
        <f t="shared" si="3"/>
        <v>872465.23162612226</v>
      </c>
      <c r="Q51" s="73">
        <f t="shared" si="16"/>
        <v>44287</v>
      </c>
      <c r="R51" s="73">
        <f t="shared" si="17"/>
        <v>44377</v>
      </c>
      <c r="S51" s="76">
        <f t="shared" si="4"/>
        <v>115.96426895825992</v>
      </c>
      <c r="T51" s="76">
        <f t="shared" si="5"/>
        <v>48.774363412728647</v>
      </c>
      <c r="U51" s="76">
        <f t="shared" si="6"/>
        <v>164.73863237098854</v>
      </c>
      <c r="V51" s="76">
        <f t="shared" si="7"/>
        <v>1824.7</v>
      </c>
    </row>
    <row r="52" spans="1:22" x14ac:dyDescent="0.25">
      <c r="A52" s="17" t="s">
        <v>69</v>
      </c>
      <c r="B52" s="72" t="str">
        <f t="shared" si="1"/>
        <v>Q1/2021</v>
      </c>
      <c r="C52" s="73">
        <f t="shared" si="13"/>
        <v>44197</v>
      </c>
      <c r="D52" s="73">
        <f t="shared" si="19"/>
        <v>44286</v>
      </c>
      <c r="E52" s="72">
        <f t="shared" si="8"/>
        <v>90</v>
      </c>
      <c r="F52" s="74">
        <f>VLOOKUP(D52,'FERC Interest Rate'!$A:$B,2,TRUE)</f>
        <v>5.0023470000000007E-2</v>
      </c>
      <c r="G52" s="75">
        <f t="shared" si="9"/>
        <v>872465.23162612226</v>
      </c>
      <c r="H52" s="75">
        <v>0</v>
      </c>
      <c r="I52" s="99">
        <f t="shared" si="14"/>
        <v>6688.9438753740887</v>
      </c>
      <c r="J52" s="76">
        <f t="shared" si="18"/>
        <v>10761.469727743328</v>
      </c>
      <c r="K52" s="116">
        <f t="shared" si="10"/>
        <v>17450.413603117417</v>
      </c>
      <c r="L52" s="76">
        <f t="shared" si="15"/>
        <v>284132.8</v>
      </c>
      <c r="M52" s="117">
        <f t="shared" si="11"/>
        <v>301583.21360311739</v>
      </c>
      <c r="N52" s="8">
        <f t="shared" si="12"/>
        <v>883226.70135386556</v>
      </c>
      <c r="O52" s="75">
        <f t="shared" si="3"/>
        <v>581643.48775074817</v>
      </c>
      <c r="Q52" s="73">
        <f t="shared" si="16"/>
        <v>44378</v>
      </c>
      <c r="R52" s="73">
        <f t="shared" si="17"/>
        <v>44469</v>
      </c>
      <c r="S52" s="76">
        <f t="shared" si="4"/>
        <v>115.96426895825992</v>
      </c>
      <c r="T52" s="76">
        <f t="shared" si="5"/>
        <v>25.690769866490729</v>
      </c>
      <c r="U52" s="76">
        <f t="shared" si="6"/>
        <v>141.65503882475068</v>
      </c>
      <c r="V52" s="76">
        <f t="shared" si="7"/>
        <v>1824.7</v>
      </c>
    </row>
    <row r="53" spans="1:22" x14ac:dyDescent="0.25">
      <c r="A53" s="17" t="s">
        <v>70</v>
      </c>
      <c r="B53" s="72" t="str">
        <f>+IF(MONTH(C53)&lt;4,"Q1",IF(MONTH(C53)&lt;7,"Q2",IF(MONTH(C53)&lt;10,"Q3","Q4")))&amp;"/"&amp;YEAR(C53)</f>
        <v>Q2/2021</v>
      </c>
      <c r="C53" s="73">
        <f>D52+1</f>
        <v>44287</v>
      </c>
      <c r="D53" s="73">
        <f t="shared" si="19"/>
        <v>44377</v>
      </c>
      <c r="E53" s="72">
        <f>D53-C53+1</f>
        <v>91</v>
      </c>
      <c r="F53" s="74">
        <f>VLOOKUP(D53,'FERC Interest Rate'!$A:$B,2,TRUE)</f>
        <v>5.0403730000000001E-2</v>
      </c>
      <c r="G53" s="75">
        <f>O52</f>
        <v>581643.48775074817</v>
      </c>
      <c r="H53" s="75">
        <v>0</v>
      </c>
      <c r="I53" s="99">
        <f t="shared" si="14"/>
        <v>6688.9438753740887</v>
      </c>
      <c r="J53" s="76">
        <f>G53*F53*(E53/(DATE(YEAR(D53),12,31)-DATE(YEAR(D53),1,1)+1))</f>
        <v>7309.1701903262438</v>
      </c>
      <c r="K53" s="116">
        <f>+SUM(I53:J53)</f>
        <v>13998.114065700333</v>
      </c>
      <c r="L53" s="76">
        <f t="shared" si="15"/>
        <v>284132.8</v>
      </c>
      <c r="M53" s="117">
        <f>+SUM(K53:L53)</f>
        <v>298130.91406570032</v>
      </c>
      <c r="N53" s="8">
        <f>+G53+H53+J53</f>
        <v>588952.65794107446</v>
      </c>
      <c r="O53" s="75">
        <f>G53+H53-L53-I53</f>
        <v>290821.74387537409</v>
      </c>
      <c r="Q53" s="111"/>
      <c r="R53" s="111"/>
      <c r="S53" s="76"/>
      <c r="U53" s="12"/>
      <c r="V53" s="76"/>
    </row>
    <row r="54" spans="1:22" ht="13.5" thickBot="1" x14ac:dyDescent="0.35">
      <c r="A54" s="17" t="s">
        <v>71</v>
      </c>
      <c r="B54" s="72" t="str">
        <f>+IF(MONTH(C54)&lt;4,"Q1",IF(MONTH(C54)&lt;7,"Q2",IF(MONTH(C54)&lt;10,"Q3","Q4")))&amp;"/"&amp;YEAR(C54)</f>
        <v>Q3/2021</v>
      </c>
      <c r="C54" s="73">
        <f>D53+1</f>
        <v>44378</v>
      </c>
      <c r="D54" s="73">
        <f>EOMONTH(D53,3)</f>
        <v>44469</v>
      </c>
      <c r="E54" s="72">
        <f>D54-C54+1</f>
        <v>92</v>
      </c>
      <c r="F54" s="74">
        <f>VLOOKUP(D54,'FERC Interest Rate'!$A:$B,2,TRUE)</f>
        <v>5.2520850000000001E-2</v>
      </c>
      <c r="G54" s="75">
        <f>O53</f>
        <v>290821.74387537409</v>
      </c>
      <c r="H54" s="75">
        <v>0</v>
      </c>
      <c r="I54" s="99">
        <f t="shared" si="14"/>
        <v>6688.9438753740887</v>
      </c>
      <c r="J54" s="76">
        <f>G54*F54*(E54/(DATE(YEAR(D54),12,31)-DATE(YEAR(D54),1,1)+1))</f>
        <v>3849.9366498278323</v>
      </c>
      <c r="K54" s="116">
        <f>+SUM(I54:J54)</f>
        <v>10538.880525201921</v>
      </c>
      <c r="L54" s="76">
        <f t="shared" si="15"/>
        <v>284132.8</v>
      </c>
      <c r="M54" s="117">
        <f>+SUM(K54:L54)</f>
        <v>294671.6805252019</v>
      </c>
      <c r="N54" s="8">
        <f>+G54+H54+J54</f>
        <v>294671.6805252019</v>
      </c>
      <c r="O54" s="75">
        <f>G54+H54-L54-I54</f>
        <v>9.0949470177292824E-12</v>
      </c>
      <c r="Q54" s="127"/>
      <c r="R54" s="127"/>
      <c r="S54" s="127">
        <f>+SUM(S33:S53)</f>
        <v>2319.2853791651978</v>
      </c>
      <c r="T54" s="127">
        <f>+SUM(T33:T53)</f>
        <v>4148.6352161446193</v>
      </c>
      <c r="U54" s="127">
        <f>+SUM(U33:U53)</f>
        <v>6467.9205953098162</v>
      </c>
      <c r="V54" s="127">
        <f>+SUM(V33:V53)</f>
        <v>36494</v>
      </c>
    </row>
    <row r="55" spans="1:22" ht="13" thickTop="1" x14ac:dyDescent="0.25">
      <c r="B55" s="11"/>
      <c r="C55" s="111"/>
      <c r="D55" s="111"/>
      <c r="E55" s="10"/>
      <c r="F55" s="11"/>
      <c r="G55" s="76"/>
      <c r="H55" s="12"/>
      <c r="I55" s="101"/>
      <c r="J55" s="76"/>
      <c r="K55" s="103"/>
      <c r="L55" s="58"/>
      <c r="M55" s="118"/>
      <c r="O55" s="76"/>
      <c r="S55" s="8">
        <f>+I89+I123+I156+I189+I221+I253+I285+I317+I348+I380+I411+I441+I471+I501+I530+I559+I586</f>
        <v>2319.2853791651983</v>
      </c>
      <c r="T55" s="8">
        <f>+J89+J123+J156+J189+J221+J253+J285+J317+J348+J380+J411+J441+J471+J501+J530+J559+J586</f>
        <v>4148.6352161446184</v>
      </c>
      <c r="U55" s="8">
        <f>+K89+K123+K156+K189+K221+K253+K285+K317+K348+K380+K411+K441+K471+K501+K530+K559+K586</f>
        <v>6467.9205953098162</v>
      </c>
      <c r="V55" s="8">
        <f>+L89+L123+L156+L189+L221+L253+L285+L317+L348+L380+L411+L441+L471+L501+L530+L559+L586</f>
        <v>36494</v>
      </c>
    </row>
    <row r="56" spans="1:22" ht="13.5" thickBot="1" x14ac:dyDescent="0.35">
      <c r="A56" s="142"/>
      <c r="B56" s="143"/>
      <c r="C56" s="146"/>
      <c r="D56" s="146"/>
      <c r="E56" s="145"/>
      <c r="F56" s="143"/>
      <c r="G56" s="127">
        <f>+SUM(G33:G55)</f>
        <v>72419922.558103174</v>
      </c>
      <c r="H56" s="127">
        <f t="shared" ref="H56:O56" si="20">+SUM(H33:H55)</f>
        <v>133778.87750748178</v>
      </c>
      <c r="I56" s="128">
        <f t="shared" si="20"/>
        <v>133778.87750748172</v>
      </c>
      <c r="J56" s="127">
        <f t="shared" si="20"/>
        <v>621701.21208529209</v>
      </c>
      <c r="K56" s="127">
        <f t="shared" si="20"/>
        <v>755480.0895927737</v>
      </c>
      <c r="L56" s="127">
        <f t="shared" si="20"/>
        <v>5682655.9999999981</v>
      </c>
      <c r="M56" s="129">
        <f t="shared" si="20"/>
        <v>6438136.0895927744</v>
      </c>
      <c r="N56" s="127">
        <f t="shared" si="20"/>
        <v>73175402.647695929</v>
      </c>
      <c r="O56" s="127">
        <f t="shared" si="20"/>
        <v>66737266.558103174</v>
      </c>
      <c r="S56" s="8">
        <f>+S54-S55</f>
        <v>0</v>
      </c>
      <c r="T56" s="8">
        <f>+T54-T55</f>
        <v>0</v>
      </c>
      <c r="U56" s="8">
        <f>+U54-U55</f>
        <v>0</v>
      </c>
      <c r="V56" s="8">
        <f>+V54-V55</f>
        <v>0</v>
      </c>
    </row>
    <row r="57" spans="1:22" ht="13" thickTop="1" x14ac:dyDescent="0.25">
      <c r="B57" s="103"/>
      <c r="C57" s="103"/>
      <c r="D57" s="103"/>
      <c r="E57" s="103"/>
      <c r="F57" s="103"/>
      <c r="G57" s="103"/>
      <c r="H57" s="103"/>
      <c r="I57" s="102"/>
      <c r="J57" s="103"/>
      <c r="K57" s="103"/>
      <c r="L57" s="103"/>
      <c r="M57" s="118"/>
      <c r="O57" s="103"/>
    </row>
    <row r="58" spans="1:22" ht="52" x14ac:dyDescent="0.3">
      <c r="A58" s="77" t="s">
        <v>51</v>
      </c>
      <c r="B58" s="77" t="s">
        <v>3</v>
      </c>
      <c r="C58" s="77" t="s">
        <v>4</v>
      </c>
      <c r="D58" s="77" t="s">
        <v>5</v>
      </c>
      <c r="E58" s="77" t="s">
        <v>6</v>
      </c>
      <c r="F58" s="77" t="s">
        <v>7</v>
      </c>
      <c r="G58" s="77" t="s">
        <v>92</v>
      </c>
      <c r="H58" s="77" t="s">
        <v>93</v>
      </c>
      <c r="I58" s="94" t="s">
        <v>94</v>
      </c>
      <c r="J58" s="95" t="s">
        <v>95</v>
      </c>
      <c r="K58" s="95" t="s">
        <v>96</v>
      </c>
      <c r="L58" s="95" t="s">
        <v>97</v>
      </c>
      <c r="M58" s="96" t="s">
        <v>98</v>
      </c>
      <c r="N58" s="77" t="s">
        <v>99</v>
      </c>
      <c r="O58" s="77" t="s">
        <v>100</v>
      </c>
    </row>
    <row r="59" spans="1:22" ht="13" x14ac:dyDescent="0.3">
      <c r="A59" s="347" t="s">
        <v>14</v>
      </c>
      <c r="B59" s="347"/>
      <c r="C59" s="73">
        <f>VLOOKUP(B60,A$1:F$25,2,FALSE)</f>
        <v>41835</v>
      </c>
      <c r="D59" s="73">
        <f>DATE(YEAR(C59),IF(MONTH(C59)&lt;=3,3,IF(MONTH(C59)&lt;=6,6,IF(MONTH(C59)&lt;=9,9,12))),IF(OR(MONTH(C59)&lt;=3,MONTH(C59)&gt;=10),31,30))</f>
        <v>41912</v>
      </c>
      <c r="E59" s="72">
        <f>D59-C59+1</f>
        <v>78</v>
      </c>
      <c r="F59" s="74">
        <f>VLOOKUP(D59,'FERC Interest Rate'!$A:$B,2,TRUE)</f>
        <v>3.2500000000000001E-2</v>
      </c>
      <c r="G59" s="75">
        <f>VLOOKUP(B60,$A$1:$F$25,5,FALSE)</f>
        <v>2430</v>
      </c>
      <c r="H59" s="75">
        <f t="shared" ref="H59:H68" si="21">G59*F59*(E59/(DATE(YEAR(D59),12,31)-DATE(YEAR(D59),1,1)+1))</f>
        <v>16.876849315068498</v>
      </c>
      <c r="I59" s="180">
        <v>0</v>
      </c>
      <c r="J59" s="76">
        <v>0</v>
      </c>
      <c r="K59" s="76">
        <f t="shared" ref="K59:K85" si="22">+SUM(I59:J59)</f>
        <v>0</v>
      </c>
      <c r="L59" s="76">
        <v>0</v>
      </c>
      <c r="M59" s="100">
        <f t="shared" ref="M59:M85" si="23">+SUM(K59:L59)</f>
        <v>0</v>
      </c>
      <c r="N59" s="76">
        <f t="shared" ref="N59:N85" si="24">+G59+H59+J59</f>
        <v>2446.8768493150683</v>
      </c>
      <c r="O59" s="75">
        <f t="shared" ref="O59:O85" si="25">G59+H59-L59-I59</f>
        <v>2446.8768493150683</v>
      </c>
    </row>
    <row r="60" spans="1:22" ht="13" x14ac:dyDescent="0.3">
      <c r="A60" s="110" t="s">
        <v>40</v>
      </c>
      <c r="B60" s="141" t="s">
        <v>52</v>
      </c>
      <c r="C60" s="73">
        <f>D59+1</f>
        <v>41913</v>
      </c>
      <c r="D60" s="73">
        <f>EOMONTH(D59,3)</f>
        <v>42004</v>
      </c>
      <c r="E60" s="72">
        <f t="shared" ref="E60:E85" si="26">D60-C60+1</f>
        <v>92</v>
      </c>
      <c r="F60" s="74">
        <f>VLOOKUP(D60,'FERC Interest Rate'!$A:$B,2,TRUE)</f>
        <v>3.2500000000000001E-2</v>
      </c>
      <c r="G60" s="75">
        <f t="shared" ref="G60:G85" si="27">O59</f>
        <v>2446.8768493150683</v>
      </c>
      <c r="H60" s="75">
        <f t="shared" si="21"/>
        <v>20.04427884781385</v>
      </c>
      <c r="I60" s="180">
        <v>0</v>
      </c>
      <c r="J60" s="76">
        <v>0</v>
      </c>
      <c r="K60" s="76">
        <f t="shared" si="22"/>
        <v>0</v>
      </c>
      <c r="L60" s="76">
        <v>0</v>
      </c>
      <c r="M60" s="100">
        <f t="shared" si="23"/>
        <v>0</v>
      </c>
      <c r="N60" s="76">
        <f t="shared" si="24"/>
        <v>2466.9211281628823</v>
      </c>
      <c r="O60" s="75">
        <f t="shared" si="25"/>
        <v>2466.9211281628823</v>
      </c>
    </row>
    <row r="61" spans="1:22" ht="13" x14ac:dyDescent="0.3">
      <c r="A61" s="321"/>
      <c r="B61" s="301"/>
      <c r="C61" s="73">
        <f t="shared" ref="C61:C85" si="28">D60+1</f>
        <v>42005</v>
      </c>
      <c r="D61" s="73">
        <f t="shared" ref="D61:D87" si="29">EOMONTH(D60,3)</f>
        <v>42094</v>
      </c>
      <c r="E61" s="72">
        <f t="shared" si="26"/>
        <v>90</v>
      </c>
      <c r="F61" s="74">
        <f>VLOOKUP(D61,'FERC Interest Rate'!$A:$B,2,TRUE)</f>
        <v>3.2500000000000001E-2</v>
      </c>
      <c r="G61" s="75">
        <f t="shared" si="27"/>
        <v>2466.9211281628823</v>
      </c>
      <c r="H61" s="75">
        <f t="shared" si="21"/>
        <v>19.769162465414876</v>
      </c>
      <c r="I61" s="180">
        <v>0</v>
      </c>
      <c r="J61" s="76">
        <v>0</v>
      </c>
      <c r="K61" s="76">
        <f t="shared" si="22"/>
        <v>0</v>
      </c>
      <c r="L61" s="76">
        <v>0</v>
      </c>
      <c r="M61" s="100">
        <f t="shared" si="23"/>
        <v>0</v>
      </c>
      <c r="N61" s="76">
        <f t="shared" si="24"/>
        <v>2486.6902906282971</v>
      </c>
      <c r="O61" s="75">
        <f t="shared" si="25"/>
        <v>2486.6902906282971</v>
      </c>
    </row>
    <row r="62" spans="1:22" ht="13" x14ac:dyDescent="0.3">
      <c r="A62" s="321"/>
      <c r="B62" s="301"/>
      <c r="C62" s="73">
        <f t="shared" si="28"/>
        <v>42095</v>
      </c>
      <c r="D62" s="73">
        <f t="shared" si="29"/>
        <v>42185</v>
      </c>
      <c r="E62" s="72">
        <f t="shared" si="26"/>
        <v>91</v>
      </c>
      <c r="F62" s="74">
        <f>VLOOKUP(D62,'FERC Interest Rate'!$A:$B,2,TRUE)</f>
        <v>3.2500000000000001E-2</v>
      </c>
      <c r="G62" s="75">
        <f t="shared" si="27"/>
        <v>2486.6902906282971</v>
      </c>
      <c r="H62" s="75">
        <f t="shared" si="21"/>
        <v>20.149004204200519</v>
      </c>
      <c r="I62" s="180">
        <v>0</v>
      </c>
      <c r="J62" s="76">
        <v>0</v>
      </c>
      <c r="K62" s="76">
        <f t="shared" si="22"/>
        <v>0</v>
      </c>
      <c r="L62" s="76">
        <v>0</v>
      </c>
      <c r="M62" s="100">
        <f t="shared" si="23"/>
        <v>0</v>
      </c>
      <c r="N62" s="76">
        <f t="shared" si="24"/>
        <v>2506.8392948324977</v>
      </c>
      <c r="O62" s="75">
        <f t="shared" si="25"/>
        <v>2506.8392948324977</v>
      </c>
    </row>
    <row r="63" spans="1:22" ht="13" x14ac:dyDescent="0.3">
      <c r="A63" s="321"/>
      <c r="B63" s="301"/>
      <c r="C63" s="73">
        <f t="shared" si="28"/>
        <v>42186</v>
      </c>
      <c r="D63" s="73">
        <f t="shared" si="29"/>
        <v>42277</v>
      </c>
      <c r="E63" s="72">
        <f t="shared" si="26"/>
        <v>92</v>
      </c>
      <c r="F63" s="74">
        <f>VLOOKUP(D63,'FERC Interest Rate'!$A:$B,2,TRUE)</f>
        <v>3.2500000000000001E-2</v>
      </c>
      <c r="G63" s="75">
        <f t="shared" si="27"/>
        <v>2506.8392948324977</v>
      </c>
      <c r="H63" s="75">
        <f t="shared" si="21"/>
        <v>20.53547805903882</v>
      </c>
      <c r="I63" s="180">
        <v>0</v>
      </c>
      <c r="J63" s="76">
        <v>0</v>
      </c>
      <c r="K63" s="76">
        <f t="shared" si="22"/>
        <v>0</v>
      </c>
      <c r="L63" s="76">
        <v>0</v>
      </c>
      <c r="M63" s="100">
        <f t="shared" si="23"/>
        <v>0</v>
      </c>
      <c r="N63" s="76">
        <f t="shared" si="24"/>
        <v>2527.3747728915364</v>
      </c>
      <c r="O63" s="75">
        <f t="shared" si="25"/>
        <v>2527.3747728915364</v>
      </c>
    </row>
    <row r="64" spans="1:22" ht="13" x14ac:dyDescent="0.3">
      <c r="A64" s="321"/>
      <c r="B64" s="301"/>
      <c r="C64" s="73">
        <f t="shared" si="28"/>
        <v>42278</v>
      </c>
      <c r="D64" s="73">
        <f t="shared" si="29"/>
        <v>42369</v>
      </c>
      <c r="E64" s="72">
        <f t="shared" si="26"/>
        <v>92</v>
      </c>
      <c r="F64" s="74">
        <f>VLOOKUP(D64,'FERC Interest Rate'!$A:$B,2,TRUE)</f>
        <v>3.2500000000000001E-2</v>
      </c>
      <c r="G64" s="75">
        <f t="shared" si="27"/>
        <v>2527.3747728915364</v>
      </c>
      <c r="H64" s="75">
        <f t="shared" si="21"/>
        <v>20.703700194371766</v>
      </c>
      <c r="I64" s="180">
        <v>0</v>
      </c>
      <c r="J64" s="76">
        <v>0</v>
      </c>
      <c r="K64" s="76">
        <f t="shared" si="22"/>
        <v>0</v>
      </c>
      <c r="L64" s="76">
        <v>0</v>
      </c>
      <c r="M64" s="100">
        <f t="shared" si="23"/>
        <v>0</v>
      </c>
      <c r="N64" s="76">
        <f t="shared" si="24"/>
        <v>2548.0784730859082</v>
      </c>
      <c r="O64" s="75">
        <f t="shared" si="25"/>
        <v>2548.0784730859082</v>
      </c>
    </row>
    <row r="65" spans="1:15" ht="13" x14ac:dyDescent="0.3">
      <c r="A65" s="321"/>
      <c r="B65" s="301"/>
      <c r="C65" s="73">
        <f t="shared" si="28"/>
        <v>42370</v>
      </c>
      <c r="D65" s="73">
        <f t="shared" si="29"/>
        <v>42460</v>
      </c>
      <c r="E65" s="72">
        <f t="shared" si="26"/>
        <v>91</v>
      </c>
      <c r="F65" s="74">
        <f>VLOOKUP(D65,'FERC Interest Rate'!$A:$B,2,TRUE)</f>
        <v>3.2500000000000001E-2</v>
      </c>
      <c r="G65" s="75">
        <f t="shared" si="27"/>
        <v>2548.0784730859082</v>
      </c>
      <c r="H65" s="75">
        <f t="shared" si="21"/>
        <v>20.590005694403207</v>
      </c>
      <c r="I65" s="180">
        <v>0</v>
      </c>
      <c r="J65" s="76">
        <v>0</v>
      </c>
      <c r="K65" s="76">
        <f t="shared" si="22"/>
        <v>0</v>
      </c>
      <c r="L65" s="76">
        <v>0</v>
      </c>
      <c r="M65" s="100">
        <f t="shared" si="23"/>
        <v>0</v>
      </c>
      <c r="N65" s="76">
        <f t="shared" si="24"/>
        <v>2568.6684787803115</v>
      </c>
      <c r="O65" s="75">
        <f t="shared" si="25"/>
        <v>2568.6684787803115</v>
      </c>
    </row>
    <row r="66" spans="1:15" x14ac:dyDescent="0.25">
      <c r="A66" s="78"/>
      <c r="B66" s="72"/>
      <c r="C66" s="73">
        <f t="shared" si="28"/>
        <v>42461</v>
      </c>
      <c r="D66" s="73">
        <f t="shared" si="29"/>
        <v>42551</v>
      </c>
      <c r="E66" s="72">
        <f t="shared" si="26"/>
        <v>91</v>
      </c>
      <c r="F66" s="74">
        <f>VLOOKUP(D66,'FERC Interest Rate'!$A:$B,2,TRUE)</f>
        <v>3.4599999999999999E-2</v>
      </c>
      <c r="G66" s="75">
        <f t="shared" si="27"/>
        <v>2568.6684787803115</v>
      </c>
      <c r="H66" s="75">
        <f t="shared" si="21"/>
        <v>22.097567137398055</v>
      </c>
      <c r="I66" s="180">
        <v>0</v>
      </c>
      <c r="J66" s="76">
        <v>0</v>
      </c>
      <c r="K66" s="76">
        <f t="shared" si="22"/>
        <v>0</v>
      </c>
      <c r="L66" s="76">
        <v>0</v>
      </c>
      <c r="M66" s="100">
        <f t="shared" si="23"/>
        <v>0</v>
      </c>
      <c r="N66" s="76">
        <f t="shared" si="24"/>
        <v>2590.7660459177096</v>
      </c>
      <c r="O66" s="75">
        <f t="shared" si="25"/>
        <v>2590.7660459177096</v>
      </c>
    </row>
    <row r="67" spans="1:15" x14ac:dyDescent="0.25">
      <c r="A67" s="78"/>
      <c r="B67" s="72"/>
      <c r="C67" s="73">
        <f t="shared" si="28"/>
        <v>42552</v>
      </c>
      <c r="D67" s="73">
        <f t="shared" si="29"/>
        <v>42643</v>
      </c>
      <c r="E67" s="72">
        <f t="shared" si="26"/>
        <v>92</v>
      </c>
      <c r="F67" s="74">
        <f>VLOOKUP(D67,'FERC Interest Rate'!$A:$B,2,TRUE)</f>
        <v>3.5000000000000003E-2</v>
      </c>
      <c r="G67" s="75">
        <f t="shared" si="27"/>
        <v>2590.7660459177096</v>
      </c>
      <c r="H67" s="75">
        <f t="shared" si="21"/>
        <v>22.793078327472749</v>
      </c>
      <c r="I67" s="99">
        <v>0</v>
      </c>
      <c r="J67" s="76">
        <v>0</v>
      </c>
      <c r="K67" s="76">
        <f t="shared" si="22"/>
        <v>0</v>
      </c>
      <c r="L67" s="76">
        <v>0</v>
      </c>
      <c r="M67" s="100">
        <f t="shared" si="23"/>
        <v>0</v>
      </c>
      <c r="N67" s="76">
        <f t="shared" si="24"/>
        <v>2613.5591242451824</v>
      </c>
      <c r="O67" s="75">
        <f t="shared" si="25"/>
        <v>2613.5591242451824</v>
      </c>
    </row>
    <row r="68" spans="1:15" x14ac:dyDescent="0.25">
      <c r="A68" s="17" t="s">
        <v>52</v>
      </c>
      <c r="B68" s="72" t="str">
        <f t="shared" ref="B68:B82" si="30">+IF(MONTH(C68)&lt;4,"Q1",IF(MONTH(C68)&lt;7,"Q2",IF(MONTH(C68)&lt;10,"Q3","Q4")))&amp;"/"&amp;YEAR(C68)</f>
        <v>Q4/2016</v>
      </c>
      <c r="C68" s="73">
        <f t="shared" si="28"/>
        <v>42644</v>
      </c>
      <c r="D68" s="73">
        <f t="shared" si="29"/>
        <v>42735</v>
      </c>
      <c r="E68" s="72">
        <f t="shared" si="26"/>
        <v>92</v>
      </c>
      <c r="F68" s="74">
        <f>VLOOKUP(D68,'FERC Interest Rate'!$A:$B,2,TRUE)</f>
        <v>3.5000000000000003E-2</v>
      </c>
      <c r="G68" s="75">
        <f t="shared" si="27"/>
        <v>2613.5591242451824</v>
      </c>
      <c r="H68" s="75">
        <f t="shared" si="21"/>
        <v>22.993607595818276</v>
      </c>
      <c r="I68" s="99">
        <f t="shared" ref="I68:I87" si="31">(SUM($H$59:$H$88)/20)</f>
        <v>10.32763659205003</v>
      </c>
      <c r="J68" s="76">
        <v>0</v>
      </c>
      <c r="K68" s="76">
        <f t="shared" si="22"/>
        <v>10.32763659205003</v>
      </c>
      <c r="L68" s="76">
        <f>VLOOKUP($B$60,A$1:F$25,5,FALSE)/20</f>
        <v>121.5</v>
      </c>
      <c r="M68" s="100">
        <f t="shared" si="23"/>
        <v>131.82763659205003</v>
      </c>
      <c r="N68" s="76">
        <f t="shared" si="24"/>
        <v>2636.5527318410004</v>
      </c>
      <c r="O68" s="75">
        <f t="shared" si="25"/>
        <v>2504.7250952489503</v>
      </c>
    </row>
    <row r="69" spans="1:15" x14ac:dyDescent="0.25">
      <c r="A69" s="17" t="s">
        <v>53</v>
      </c>
      <c r="B69" s="72" t="str">
        <f t="shared" si="30"/>
        <v>Q1/2017</v>
      </c>
      <c r="C69" s="73">
        <f t="shared" si="28"/>
        <v>42736</v>
      </c>
      <c r="D69" s="73">
        <f t="shared" si="29"/>
        <v>42825</v>
      </c>
      <c r="E69" s="72">
        <f t="shared" si="26"/>
        <v>90</v>
      </c>
      <c r="F69" s="74">
        <f>VLOOKUP(D69,'FERC Interest Rate'!$A:$B,2,TRUE)</f>
        <v>3.5000000000000003E-2</v>
      </c>
      <c r="G69" s="75">
        <f t="shared" si="27"/>
        <v>2504.7250952489503</v>
      </c>
      <c r="H69" s="75">
        <v>0</v>
      </c>
      <c r="I69" s="99">
        <f t="shared" si="31"/>
        <v>10.32763659205003</v>
      </c>
      <c r="J69" s="76">
        <f>G69*F69*(E69/(DATE(YEAR(D69),12,31)-DATE(YEAR(D69),1,1)+1))</f>
        <v>21.616120685025187</v>
      </c>
      <c r="K69" s="76">
        <f t="shared" si="22"/>
        <v>31.943757277075218</v>
      </c>
      <c r="L69" s="76">
        <f t="shared" ref="L69:L87" si="32">VLOOKUP($B$60,A$1:F$25,5,FALSE)/20</f>
        <v>121.5</v>
      </c>
      <c r="M69" s="100">
        <f t="shared" si="23"/>
        <v>153.44375727707521</v>
      </c>
      <c r="N69" s="76">
        <f t="shared" si="24"/>
        <v>2526.3412159339755</v>
      </c>
      <c r="O69" s="75">
        <f t="shared" si="25"/>
        <v>2372.8974586569002</v>
      </c>
    </row>
    <row r="70" spans="1:15" x14ac:dyDescent="0.25">
      <c r="A70" s="17" t="s">
        <v>54</v>
      </c>
      <c r="B70" s="72" t="str">
        <f t="shared" si="30"/>
        <v>Q2/2017</v>
      </c>
      <c r="C70" s="73">
        <f t="shared" si="28"/>
        <v>42826</v>
      </c>
      <c r="D70" s="73">
        <f t="shared" si="29"/>
        <v>42916</v>
      </c>
      <c r="E70" s="72">
        <f t="shared" si="26"/>
        <v>91</v>
      </c>
      <c r="F70" s="74">
        <f>VLOOKUP(D70,'FERC Interest Rate'!$A:$B,2,TRUE)</f>
        <v>3.7100000000000001E-2</v>
      </c>
      <c r="G70" s="75">
        <f t="shared" si="27"/>
        <v>2372.8974586569002</v>
      </c>
      <c r="H70" s="75">
        <v>0</v>
      </c>
      <c r="I70" s="99">
        <f t="shared" si="31"/>
        <v>10.32763659205003</v>
      </c>
      <c r="J70" s="76">
        <f t="shared" ref="J70:J85" si="33">G70*F70*(E70/(DATE(YEAR(D70),12,31)-DATE(YEAR(D70),1,1)+1))</f>
        <v>21.948326329237151</v>
      </c>
      <c r="K70" s="116">
        <f t="shared" si="22"/>
        <v>32.275962921287181</v>
      </c>
      <c r="L70" s="76">
        <f t="shared" si="32"/>
        <v>121.5</v>
      </c>
      <c r="M70" s="117">
        <f t="shared" si="23"/>
        <v>153.77596292128717</v>
      </c>
      <c r="N70" s="8">
        <f t="shared" si="24"/>
        <v>2394.8457849861375</v>
      </c>
      <c r="O70" s="75">
        <f t="shared" si="25"/>
        <v>2241.0698220648501</v>
      </c>
    </row>
    <row r="71" spans="1:15" x14ac:dyDescent="0.25">
      <c r="A71" s="17" t="s">
        <v>55</v>
      </c>
      <c r="B71" s="72" t="str">
        <f t="shared" si="30"/>
        <v>Q3/2017</v>
      </c>
      <c r="C71" s="73">
        <f t="shared" si="28"/>
        <v>42917</v>
      </c>
      <c r="D71" s="73">
        <f t="shared" si="29"/>
        <v>43008</v>
      </c>
      <c r="E71" s="72">
        <f t="shared" si="26"/>
        <v>92</v>
      </c>
      <c r="F71" s="74">
        <f>VLOOKUP(D71,'FERC Interest Rate'!$A:$B,2,TRUE)</f>
        <v>3.9600000000000003E-2</v>
      </c>
      <c r="G71" s="75">
        <f t="shared" si="27"/>
        <v>2241.0698220648501</v>
      </c>
      <c r="H71" s="75">
        <v>0</v>
      </c>
      <c r="I71" s="99">
        <f t="shared" si="31"/>
        <v>10.32763659205003</v>
      </c>
      <c r="J71" s="76">
        <f t="shared" si="33"/>
        <v>22.368946782867567</v>
      </c>
      <c r="K71" s="116">
        <f t="shared" si="22"/>
        <v>32.696583374917594</v>
      </c>
      <c r="L71" s="76">
        <f t="shared" si="32"/>
        <v>121.5</v>
      </c>
      <c r="M71" s="117">
        <f t="shared" si="23"/>
        <v>154.19658337491759</v>
      </c>
      <c r="N71" s="8">
        <f t="shared" si="24"/>
        <v>2263.4387688477177</v>
      </c>
      <c r="O71" s="75">
        <f t="shared" si="25"/>
        <v>2109.2421854728</v>
      </c>
    </row>
    <row r="72" spans="1:15" x14ac:dyDescent="0.25">
      <c r="A72" s="17" t="s">
        <v>56</v>
      </c>
      <c r="B72" s="72" t="str">
        <f t="shared" si="30"/>
        <v>Q4/2017</v>
      </c>
      <c r="C72" s="73">
        <f t="shared" si="28"/>
        <v>43009</v>
      </c>
      <c r="D72" s="73">
        <f t="shared" si="29"/>
        <v>43100</v>
      </c>
      <c r="E72" s="72">
        <f t="shared" si="26"/>
        <v>92</v>
      </c>
      <c r="F72" s="74">
        <f>VLOOKUP(D72,'FERC Interest Rate'!$A:$B,2,TRUE)</f>
        <v>4.2099999999999999E-2</v>
      </c>
      <c r="G72" s="75">
        <f t="shared" si="27"/>
        <v>2109.2421854728</v>
      </c>
      <c r="H72" s="75">
        <v>0</v>
      </c>
      <c r="I72" s="99">
        <f t="shared" si="31"/>
        <v>10.32763659205003</v>
      </c>
      <c r="J72" s="76">
        <f t="shared" si="33"/>
        <v>22.382237898008903</v>
      </c>
      <c r="K72" s="116">
        <f t="shared" si="22"/>
        <v>32.709874490058937</v>
      </c>
      <c r="L72" s="76">
        <f t="shared" si="32"/>
        <v>121.5</v>
      </c>
      <c r="M72" s="117">
        <f t="shared" si="23"/>
        <v>154.20987449005895</v>
      </c>
      <c r="N72" s="8">
        <f t="shared" si="24"/>
        <v>2131.6244233708089</v>
      </c>
      <c r="O72" s="75">
        <f t="shared" si="25"/>
        <v>1977.4145488807499</v>
      </c>
    </row>
    <row r="73" spans="1:15" x14ac:dyDescent="0.25">
      <c r="A73" s="17" t="s">
        <v>57</v>
      </c>
      <c r="B73" s="72" t="str">
        <f t="shared" si="30"/>
        <v>Q1/2018</v>
      </c>
      <c r="C73" s="73">
        <f t="shared" si="28"/>
        <v>43101</v>
      </c>
      <c r="D73" s="73">
        <f t="shared" si="29"/>
        <v>43190</v>
      </c>
      <c r="E73" s="72">
        <f t="shared" si="26"/>
        <v>90</v>
      </c>
      <c r="F73" s="74">
        <f>VLOOKUP(D73,'FERC Interest Rate'!$A:$B,2,TRUE)</f>
        <v>4.2500000000000003E-2</v>
      </c>
      <c r="G73" s="75">
        <f t="shared" si="27"/>
        <v>1977.4145488807499</v>
      </c>
      <c r="H73" s="75">
        <v>0</v>
      </c>
      <c r="I73" s="99">
        <f t="shared" si="31"/>
        <v>10.32763659205003</v>
      </c>
      <c r="J73" s="76">
        <f t="shared" si="33"/>
        <v>20.722220957448954</v>
      </c>
      <c r="K73" s="116">
        <f t="shared" si="22"/>
        <v>31.049857549498984</v>
      </c>
      <c r="L73" s="76">
        <f t="shared" si="32"/>
        <v>121.5</v>
      </c>
      <c r="M73" s="117">
        <f t="shared" si="23"/>
        <v>152.549857549499</v>
      </c>
      <c r="N73" s="8">
        <f t="shared" si="24"/>
        <v>1998.1367698381989</v>
      </c>
      <c r="O73" s="75">
        <f t="shared" si="25"/>
        <v>1845.5869122886998</v>
      </c>
    </row>
    <row r="74" spans="1:15" x14ac:dyDescent="0.25">
      <c r="A74" s="17" t="s">
        <v>58</v>
      </c>
      <c r="B74" s="72" t="str">
        <f t="shared" si="30"/>
        <v>Q2/2018</v>
      </c>
      <c r="C74" s="73">
        <f t="shared" si="28"/>
        <v>43191</v>
      </c>
      <c r="D74" s="73">
        <f t="shared" si="29"/>
        <v>43281</v>
      </c>
      <c r="E74" s="72">
        <f t="shared" si="26"/>
        <v>91</v>
      </c>
      <c r="F74" s="74">
        <f>VLOOKUP(D74,'FERC Interest Rate'!$A:$B,2,TRUE)</f>
        <v>4.4699999999999997E-2</v>
      </c>
      <c r="G74" s="75">
        <f t="shared" si="27"/>
        <v>1845.5869122886998</v>
      </c>
      <c r="H74" s="75">
        <v>0</v>
      </c>
      <c r="I74" s="99">
        <f t="shared" si="31"/>
        <v>10.32763659205003</v>
      </c>
      <c r="J74" s="76">
        <f t="shared" si="33"/>
        <v>20.567928446895188</v>
      </c>
      <c r="K74" s="116">
        <f t="shared" si="22"/>
        <v>30.895565038945218</v>
      </c>
      <c r="L74" s="76">
        <f t="shared" si="32"/>
        <v>121.5</v>
      </c>
      <c r="M74" s="117">
        <f t="shared" si="23"/>
        <v>152.39556503894522</v>
      </c>
      <c r="N74" s="8">
        <f t="shared" si="24"/>
        <v>1866.1548407355949</v>
      </c>
      <c r="O74" s="75">
        <f t="shared" si="25"/>
        <v>1713.7592756966496</v>
      </c>
    </row>
    <row r="75" spans="1:15" x14ac:dyDescent="0.25">
      <c r="A75" s="17" t="s">
        <v>59</v>
      </c>
      <c r="B75" s="72" t="str">
        <f t="shared" si="30"/>
        <v>Q3/2018</v>
      </c>
      <c r="C75" s="73">
        <f t="shared" si="28"/>
        <v>43282</v>
      </c>
      <c r="D75" s="73">
        <f t="shared" si="29"/>
        <v>43373</v>
      </c>
      <c r="E75" s="72">
        <f t="shared" si="26"/>
        <v>92</v>
      </c>
      <c r="F75" s="74">
        <f>VLOOKUP(D75,'FERC Interest Rate'!$A:$B,2,TRUE)</f>
        <v>4.6899999999999997E-2</v>
      </c>
      <c r="G75" s="75">
        <f t="shared" si="27"/>
        <v>1713.7592756966496</v>
      </c>
      <c r="H75" s="75">
        <v>0</v>
      </c>
      <c r="I75" s="99">
        <f t="shared" si="31"/>
        <v>10.32763659205003</v>
      </c>
      <c r="J75" s="76">
        <f t="shared" si="33"/>
        <v>20.258982254180559</v>
      </c>
      <c r="K75" s="116">
        <f t="shared" si="22"/>
        <v>30.586618846230589</v>
      </c>
      <c r="L75" s="76">
        <f t="shared" si="32"/>
        <v>121.5</v>
      </c>
      <c r="M75" s="117">
        <f t="shared" si="23"/>
        <v>152.08661884623058</v>
      </c>
      <c r="N75" s="8">
        <f t="shared" si="24"/>
        <v>1734.0182579508303</v>
      </c>
      <c r="O75" s="75">
        <f t="shared" si="25"/>
        <v>1581.9316391045995</v>
      </c>
    </row>
    <row r="76" spans="1:15" x14ac:dyDescent="0.25">
      <c r="A76" s="17" t="s">
        <v>60</v>
      </c>
      <c r="B76" s="72" t="str">
        <f t="shared" si="30"/>
        <v>Q4/2018</v>
      </c>
      <c r="C76" s="73">
        <f t="shared" si="28"/>
        <v>43374</v>
      </c>
      <c r="D76" s="73">
        <f t="shared" si="29"/>
        <v>43465</v>
      </c>
      <c r="E76" s="72">
        <f t="shared" si="26"/>
        <v>92</v>
      </c>
      <c r="F76" s="74">
        <f>VLOOKUP(D76,'FERC Interest Rate'!$A:$B,2,TRUE)</f>
        <v>4.9599999999999998E-2</v>
      </c>
      <c r="G76" s="75">
        <f t="shared" si="27"/>
        <v>1581.9316391045995</v>
      </c>
      <c r="H76" s="75">
        <v>0</v>
      </c>
      <c r="I76" s="99">
        <f t="shared" si="31"/>
        <v>10.32763659205003</v>
      </c>
      <c r="J76" s="76">
        <f t="shared" si="33"/>
        <v>19.777179330307149</v>
      </c>
      <c r="K76" s="116">
        <f t="shared" si="22"/>
        <v>30.104815922357179</v>
      </c>
      <c r="L76" s="76">
        <f t="shared" si="32"/>
        <v>121.5</v>
      </c>
      <c r="M76" s="117">
        <f t="shared" si="23"/>
        <v>151.60481592235718</v>
      </c>
      <c r="N76" s="8">
        <f t="shared" si="24"/>
        <v>1601.7088184349068</v>
      </c>
      <c r="O76" s="75">
        <f t="shared" si="25"/>
        <v>1450.1040025125494</v>
      </c>
    </row>
    <row r="77" spans="1:15" x14ac:dyDescent="0.25">
      <c r="A77" s="17" t="s">
        <v>61</v>
      </c>
      <c r="B77" s="72" t="str">
        <f t="shared" si="30"/>
        <v>Q1/2019</v>
      </c>
      <c r="C77" s="73">
        <f t="shared" si="28"/>
        <v>43466</v>
      </c>
      <c r="D77" s="73">
        <f t="shared" si="29"/>
        <v>43555</v>
      </c>
      <c r="E77" s="72">
        <f t="shared" si="26"/>
        <v>90</v>
      </c>
      <c r="F77" s="74">
        <f>VLOOKUP(D77,'FERC Interest Rate'!$A:$B,2,TRUE)</f>
        <v>5.1799999999999999E-2</v>
      </c>
      <c r="G77" s="75">
        <f t="shared" si="27"/>
        <v>1450.1040025125494</v>
      </c>
      <c r="H77" s="75">
        <v>0</v>
      </c>
      <c r="I77" s="99">
        <f t="shared" si="31"/>
        <v>10.32763659205003</v>
      </c>
      <c r="J77" s="76">
        <f t="shared" si="33"/>
        <v>18.521602355379464</v>
      </c>
      <c r="K77" s="116">
        <f t="shared" si="22"/>
        <v>28.849238947429495</v>
      </c>
      <c r="L77" s="76">
        <f t="shared" si="32"/>
        <v>121.5</v>
      </c>
      <c r="M77" s="117">
        <f t="shared" si="23"/>
        <v>150.34923894742948</v>
      </c>
      <c r="N77" s="8">
        <f t="shared" si="24"/>
        <v>1468.6256048679288</v>
      </c>
      <c r="O77" s="75">
        <f t="shared" si="25"/>
        <v>1318.2763659204993</v>
      </c>
    </row>
    <row r="78" spans="1:15" x14ac:dyDescent="0.25">
      <c r="A78" s="17" t="s">
        <v>62</v>
      </c>
      <c r="B78" s="72" t="str">
        <f t="shared" si="30"/>
        <v>Q2/2019</v>
      </c>
      <c r="C78" s="73">
        <f t="shared" si="28"/>
        <v>43556</v>
      </c>
      <c r="D78" s="73">
        <f t="shared" si="29"/>
        <v>43646</v>
      </c>
      <c r="E78" s="72">
        <f t="shared" si="26"/>
        <v>91</v>
      </c>
      <c r="F78" s="74">
        <f>VLOOKUP(D78,'FERC Interest Rate'!$A:$B,2,TRUE)</f>
        <v>5.45E-2</v>
      </c>
      <c r="G78" s="75">
        <f t="shared" si="27"/>
        <v>1318.2763659204993</v>
      </c>
      <c r="H78" s="75">
        <v>0</v>
      </c>
      <c r="I78" s="99">
        <f t="shared" si="31"/>
        <v>10.32763659205003</v>
      </c>
      <c r="J78" s="76">
        <f t="shared" si="33"/>
        <v>17.912305854199221</v>
      </c>
      <c r="K78" s="116">
        <f t="shared" si="22"/>
        <v>28.239942446249252</v>
      </c>
      <c r="L78" s="76">
        <f t="shared" si="32"/>
        <v>121.5</v>
      </c>
      <c r="M78" s="117">
        <f t="shared" si="23"/>
        <v>149.73994244624924</v>
      </c>
      <c r="N78" s="8">
        <f t="shared" si="24"/>
        <v>1336.1886717746986</v>
      </c>
      <c r="O78" s="75">
        <f t="shared" si="25"/>
        <v>1186.4487293284492</v>
      </c>
    </row>
    <row r="79" spans="1:15" x14ac:dyDescent="0.25">
      <c r="A79" s="17" t="s">
        <v>63</v>
      </c>
      <c r="B79" s="72" t="str">
        <f t="shared" si="30"/>
        <v>Q3/2019</v>
      </c>
      <c r="C79" s="73">
        <f t="shared" si="28"/>
        <v>43647</v>
      </c>
      <c r="D79" s="73">
        <f t="shared" si="29"/>
        <v>43738</v>
      </c>
      <c r="E79" s="72">
        <f t="shared" si="26"/>
        <v>92</v>
      </c>
      <c r="F79" s="74">
        <f>VLOOKUP(D79,'FERC Interest Rate'!$A:$B,2,TRUE)</f>
        <v>5.5E-2</v>
      </c>
      <c r="G79" s="75">
        <f t="shared" si="27"/>
        <v>1186.4487293284492</v>
      </c>
      <c r="H79" s="75">
        <v>0</v>
      </c>
      <c r="I79" s="99">
        <f t="shared" si="31"/>
        <v>10.32763659205003</v>
      </c>
      <c r="J79" s="76">
        <f t="shared" si="33"/>
        <v>16.447754987402611</v>
      </c>
      <c r="K79" s="116">
        <f t="shared" si="22"/>
        <v>26.775391579452641</v>
      </c>
      <c r="L79" s="76">
        <f t="shared" si="32"/>
        <v>121.5</v>
      </c>
      <c r="M79" s="117">
        <f t="shared" si="23"/>
        <v>148.27539157945264</v>
      </c>
      <c r="N79" s="8">
        <f t="shared" si="24"/>
        <v>1202.8964843158517</v>
      </c>
      <c r="O79" s="75">
        <f t="shared" si="25"/>
        <v>1054.6210927363991</v>
      </c>
    </row>
    <row r="80" spans="1:15" x14ac:dyDescent="0.25">
      <c r="A80" s="17" t="s">
        <v>64</v>
      </c>
      <c r="B80" s="72" t="str">
        <f t="shared" si="30"/>
        <v>Q4/2019</v>
      </c>
      <c r="C80" s="73">
        <f t="shared" si="28"/>
        <v>43739</v>
      </c>
      <c r="D80" s="73">
        <f t="shared" si="29"/>
        <v>43830</v>
      </c>
      <c r="E80" s="72">
        <f t="shared" si="26"/>
        <v>92</v>
      </c>
      <c r="F80" s="74">
        <f>VLOOKUP(D80,'FERC Interest Rate'!$A:$B,2,TRUE)</f>
        <v>5.4199999999999998E-2</v>
      </c>
      <c r="G80" s="75">
        <f t="shared" si="27"/>
        <v>1054.6210927363991</v>
      </c>
      <c r="H80" s="75">
        <v>0</v>
      </c>
      <c r="I80" s="99">
        <f t="shared" si="31"/>
        <v>10.32763659205003</v>
      </c>
      <c r="J80" s="76">
        <f t="shared" si="33"/>
        <v>14.407568813207618</v>
      </c>
      <c r="K80" s="116">
        <f t="shared" si="22"/>
        <v>24.735205405257648</v>
      </c>
      <c r="L80" s="76">
        <f t="shared" si="32"/>
        <v>121.5</v>
      </c>
      <c r="M80" s="117">
        <f t="shared" si="23"/>
        <v>146.23520540525766</v>
      </c>
      <c r="N80" s="8">
        <f t="shared" si="24"/>
        <v>1069.0286615496068</v>
      </c>
      <c r="O80" s="75">
        <f t="shared" si="25"/>
        <v>922.79345614434908</v>
      </c>
    </row>
    <row r="81" spans="1:15" x14ac:dyDescent="0.25">
      <c r="A81" s="17" t="s">
        <v>65</v>
      </c>
      <c r="B81" s="72" t="str">
        <f t="shared" si="30"/>
        <v>Q1/2020</v>
      </c>
      <c r="C81" s="73">
        <f t="shared" si="28"/>
        <v>43831</v>
      </c>
      <c r="D81" s="73">
        <f t="shared" si="29"/>
        <v>43921</v>
      </c>
      <c r="E81" s="72">
        <f t="shared" si="26"/>
        <v>91</v>
      </c>
      <c r="F81" s="74">
        <f>VLOOKUP(D81,'FERC Interest Rate'!$A:$B,2,TRUE)</f>
        <v>4.9599999999999998E-2</v>
      </c>
      <c r="G81" s="75">
        <f t="shared" si="27"/>
        <v>922.79345614434908</v>
      </c>
      <c r="H81" s="75">
        <v>0</v>
      </c>
      <c r="I81" s="99">
        <f t="shared" si="31"/>
        <v>10.32763659205003</v>
      </c>
      <c r="J81" s="76">
        <f t="shared" si="33"/>
        <v>11.380110775008562</v>
      </c>
      <c r="K81" s="116">
        <f t="shared" si="22"/>
        <v>21.707747367058595</v>
      </c>
      <c r="L81" s="76">
        <f t="shared" si="32"/>
        <v>121.5</v>
      </c>
      <c r="M81" s="117">
        <f t="shared" si="23"/>
        <v>143.2077473670586</v>
      </c>
      <c r="N81" s="8">
        <f t="shared" si="24"/>
        <v>934.17356691935765</v>
      </c>
      <c r="O81" s="75">
        <f t="shared" si="25"/>
        <v>790.96581955229908</v>
      </c>
    </row>
    <row r="82" spans="1:15" x14ac:dyDescent="0.25">
      <c r="A82" s="17" t="s">
        <v>66</v>
      </c>
      <c r="B82" s="72" t="str">
        <f t="shared" si="30"/>
        <v>Q2/2020</v>
      </c>
      <c r="C82" s="73">
        <f t="shared" si="28"/>
        <v>43922</v>
      </c>
      <c r="D82" s="73">
        <f t="shared" si="29"/>
        <v>44012</v>
      </c>
      <c r="E82" s="72">
        <f t="shared" si="26"/>
        <v>91</v>
      </c>
      <c r="F82" s="74">
        <f>VLOOKUP(D82,'FERC Interest Rate'!$A:$B,2,TRUE)</f>
        <v>4.7503500000000004E-2</v>
      </c>
      <c r="G82" s="75">
        <f t="shared" si="27"/>
        <v>790.96581955229908</v>
      </c>
      <c r="H82" s="75">
        <v>0</v>
      </c>
      <c r="I82" s="99">
        <f t="shared" si="31"/>
        <v>10.32763659205003</v>
      </c>
      <c r="J82" s="76">
        <f t="shared" si="33"/>
        <v>9.3420810864162309</v>
      </c>
      <c r="K82" s="116">
        <f t="shared" si="22"/>
        <v>19.669717678466263</v>
      </c>
      <c r="L82" s="76">
        <f t="shared" si="32"/>
        <v>121.5</v>
      </c>
      <c r="M82" s="117">
        <f t="shared" si="23"/>
        <v>141.16971767846627</v>
      </c>
      <c r="N82" s="8">
        <f t="shared" si="24"/>
        <v>800.3079006387153</v>
      </c>
      <c r="O82" s="75">
        <f t="shared" si="25"/>
        <v>659.13818296024908</v>
      </c>
    </row>
    <row r="83" spans="1:15" x14ac:dyDescent="0.25">
      <c r="A83" s="17" t="s">
        <v>67</v>
      </c>
      <c r="B83" s="72" t="str">
        <f>+IF(MONTH(C83)&lt;4,"Q1",IF(MONTH(C83)&lt;7,"Q2",IF(MONTH(C83)&lt;10,"Q3","Q4")))&amp;"/"&amp;YEAR(C83)</f>
        <v>Q3/2020</v>
      </c>
      <c r="C83" s="73">
        <f t="shared" si="28"/>
        <v>44013</v>
      </c>
      <c r="D83" s="73">
        <f t="shared" si="29"/>
        <v>44104</v>
      </c>
      <c r="E83" s="72">
        <f t="shared" si="26"/>
        <v>92</v>
      </c>
      <c r="F83" s="74">
        <f>VLOOKUP(D83,'FERC Interest Rate'!$A:$B,2,TRUE)</f>
        <v>4.7507929999999997E-2</v>
      </c>
      <c r="G83" s="75">
        <f t="shared" si="27"/>
        <v>659.13818296024908</v>
      </c>
      <c r="H83" s="75">
        <v>0</v>
      </c>
      <c r="I83" s="99">
        <f t="shared" si="31"/>
        <v>10.32763659205003</v>
      </c>
      <c r="J83" s="76">
        <f t="shared" si="33"/>
        <v>7.8713517496968546</v>
      </c>
      <c r="K83" s="116">
        <f t="shared" si="22"/>
        <v>18.198988341746883</v>
      </c>
      <c r="L83" s="76">
        <f t="shared" si="32"/>
        <v>121.5</v>
      </c>
      <c r="M83" s="117">
        <f t="shared" si="23"/>
        <v>139.69898834174688</v>
      </c>
      <c r="N83" s="8">
        <f t="shared" si="24"/>
        <v>667.00953470994591</v>
      </c>
      <c r="O83" s="75">
        <f t="shared" si="25"/>
        <v>527.31054636819908</v>
      </c>
    </row>
    <row r="84" spans="1:15" x14ac:dyDescent="0.25">
      <c r="A84" s="17" t="s">
        <v>68</v>
      </c>
      <c r="B84" s="72" t="str">
        <f>+IF(MONTH(C84)&lt;4,"Q1",IF(MONTH(C84)&lt;7,"Q2",IF(MONTH(C84)&lt;10,"Q3","Q4")))&amp;"/"&amp;YEAR(C84)</f>
        <v>Q4/2020</v>
      </c>
      <c r="C84" s="73">
        <f t="shared" si="28"/>
        <v>44105</v>
      </c>
      <c r="D84" s="73">
        <f t="shared" si="29"/>
        <v>44196</v>
      </c>
      <c r="E84" s="72">
        <f t="shared" si="26"/>
        <v>92</v>
      </c>
      <c r="F84" s="74">
        <f>VLOOKUP(D84,'FERC Interest Rate'!$A:$B,2,TRUE)</f>
        <v>4.7922320000000004E-2</v>
      </c>
      <c r="G84" s="75">
        <f t="shared" si="27"/>
        <v>527.31054636819908</v>
      </c>
      <c r="H84" s="75">
        <v>0</v>
      </c>
      <c r="I84" s="99">
        <f t="shared" si="31"/>
        <v>10.32763659205003</v>
      </c>
      <c r="J84" s="76">
        <f t="shared" si="33"/>
        <v>6.3520079680429351</v>
      </c>
      <c r="K84" s="116">
        <f t="shared" si="22"/>
        <v>16.679644560092967</v>
      </c>
      <c r="L84" s="76">
        <f t="shared" si="32"/>
        <v>121.5</v>
      </c>
      <c r="M84" s="117">
        <f t="shared" si="23"/>
        <v>138.17964456009298</v>
      </c>
      <c r="N84" s="8">
        <f t="shared" si="24"/>
        <v>533.66255433624201</v>
      </c>
      <c r="O84" s="75">
        <f t="shared" si="25"/>
        <v>395.48290977614903</v>
      </c>
    </row>
    <row r="85" spans="1:15" x14ac:dyDescent="0.25">
      <c r="A85" s="17" t="s">
        <v>69</v>
      </c>
      <c r="B85" s="72" t="str">
        <f>+IF(MONTH(C85)&lt;4,"Q1",IF(MONTH(C85)&lt;7,"Q2",IF(MONTH(C85)&lt;10,"Q3","Q4")))&amp;"/"&amp;YEAR(C85)</f>
        <v>Q1/2021</v>
      </c>
      <c r="C85" s="73">
        <f t="shared" si="28"/>
        <v>44197</v>
      </c>
      <c r="D85" s="73">
        <f t="shared" si="29"/>
        <v>44286</v>
      </c>
      <c r="E85" s="72">
        <f t="shared" si="26"/>
        <v>90</v>
      </c>
      <c r="F85" s="74">
        <f>VLOOKUP(D85,'FERC Interest Rate'!$A:$B,2,TRUE)</f>
        <v>5.0023470000000007E-2</v>
      </c>
      <c r="G85" s="75">
        <f t="shared" si="27"/>
        <v>395.48290977614903</v>
      </c>
      <c r="H85" s="75">
        <v>0</v>
      </c>
      <c r="I85" s="99">
        <f t="shared" si="31"/>
        <v>10.32763659205003</v>
      </c>
      <c r="J85" s="76">
        <f t="shared" si="33"/>
        <v>4.878105404227373</v>
      </c>
      <c r="K85" s="116">
        <f t="shared" si="22"/>
        <v>15.205741996277403</v>
      </c>
      <c r="L85" s="76">
        <f t="shared" si="32"/>
        <v>121.5</v>
      </c>
      <c r="M85" s="117">
        <f t="shared" si="23"/>
        <v>136.7057419962774</v>
      </c>
      <c r="N85" s="8">
        <f t="shared" si="24"/>
        <v>400.3610151803764</v>
      </c>
      <c r="O85" s="75">
        <f t="shared" si="25"/>
        <v>263.65527318409897</v>
      </c>
    </row>
    <row r="86" spans="1:15" x14ac:dyDescent="0.25">
      <c r="A86" s="17" t="s">
        <v>70</v>
      </c>
      <c r="B86" s="72" t="str">
        <f>+IF(MONTH(C86)&lt;4,"Q1",IF(MONTH(C86)&lt;7,"Q2",IF(MONTH(C86)&lt;10,"Q3","Q4")))&amp;"/"&amp;YEAR(C86)</f>
        <v>Q2/2021</v>
      </c>
      <c r="C86" s="73">
        <f>D85+1</f>
        <v>44287</v>
      </c>
      <c r="D86" s="73">
        <f t="shared" si="29"/>
        <v>44377</v>
      </c>
      <c r="E86" s="72">
        <f>D86-C86+1</f>
        <v>91</v>
      </c>
      <c r="F86" s="74">
        <f>VLOOKUP(D86,'FERC Interest Rate'!$A:$B,2,TRUE)</f>
        <v>5.0403730000000001E-2</v>
      </c>
      <c r="G86" s="75">
        <f>O85</f>
        <v>263.65527318409897</v>
      </c>
      <c r="H86" s="75">
        <v>0</v>
      </c>
      <c r="I86" s="99">
        <f t="shared" si="31"/>
        <v>10.32763659205003</v>
      </c>
      <c r="J86" s="76">
        <f>G86*F86*(E86/(DATE(YEAR(D86),12,31)-DATE(YEAR(D86),1,1)+1))</f>
        <v>3.3132001025778863</v>
      </c>
      <c r="K86" s="116">
        <f>+SUM(I86:J86)</f>
        <v>13.640836694627916</v>
      </c>
      <c r="L86" s="76">
        <f t="shared" si="32"/>
        <v>121.5</v>
      </c>
      <c r="M86" s="117">
        <f>+SUM(K86:L86)</f>
        <v>135.14083669462792</v>
      </c>
      <c r="N86" s="8">
        <f>+G86+H86+J86</f>
        <v>266.96847328667684</v>
      </c>
      <c r="O86" s="75">
        <f>G86+H86-L86-I86</f>
        <v>131.82763659204895</v>
      </c>
    </row>
    <row r="87" spans="1:15" x14ac:dyDescent="0.25">
      <c r="A87" s="17" t="s">
        <v>71</v>
      </c>
      <c r="B87" s="72" t="str">
        <f>+IF(MONTH(C87)&lt;4,"Q1",IF(MONTH(C87)&lt;7,"Q2",IF(MONTH(C87)&lt;10,"Q3","Q4")))&amp;"/"&amp;YEAR(C87)</f>
        <v>Q3/2021</v>
      </c>
      <c r="C87" s="73">
        <f>D86+1</f>
        <v>44378</v>
      </c>
      <c r="D87" s="73">
        <f t="shared" si="29"/>
        <v>44469</v>
      </c>
      <c r="E87" s="72">
        <f>D87-C87+1</f>
        <v>92</v>
      </c>
      <c r="F87" s="74">
        <f>VLOOKUP(D87,'FERC Interest Rate'!$A:$B,2,TRUE)</f>
        <v>5.2520850000000001E-2</v>
      </c>
      <c r="G87" s="75">
        <f>O86</f>
        <v>131.82763659204895</v>
      </c>
      <c r="H87" s="75">
        <v>0</v>
      </c>
      <c r="I87" s="99">
        <f t="shared" si="31"/>
        <v>10.32763659205003</v>
      </c>
      <c r="J87" s="76">
        <f>G87*F87*(E87/(DATE(YEAR(D87),12,31)-DATE(YEAR(D87),1,1)+1))</f>
        <v>1.7451516616770064</v>
      </c>
      <c r="K87" s="116">
        <f>+SUM(I87:J87)</f>
        <v>12.072788253727037</v>
      </c>
      <c r="L87" s="76">
        <f t="shared" si="32"/>
        <v>121.5</v>
      </c>
      <c r="M87" s="117">
        <f>+SUM(K87:L87)</f>
        <v>133.57278825372703</v>
      </c>
      <c r="N87" s="8">
        <f>+G87+H87+J87</f>
        <v>133.57278825372595</v>
      </c>
      <c r="O87" s="75">
        <f>G87+H87-L87-I87</f>
        <v>-1.0835776720341528E-12</v>
      </c>
    </row>
    <row r="88" spans="1:15" x14ac:dyDescent="0.25">
      <c r="B88" s="72"/>
      <c r="C88" s="73"/>
      <c r="D88" s="73"/>
      <c r="E88" s="72"/>
      <c r="F88" s="74"/>
      <c r="G88" s="75"/>
      <c r="H88" s="75"/>
      <c r="I88" s="99"/>
      <c r="J88" s="76"/>
      <c r="K88" s="116"/>
      <c r="L88" s="76"/>
      <c r="M88" s="117"/>
      <c r="N88" s="8"/>
      <c r="O88" s="75"/>
    </row>
    <row r="89" spans="1:15" ht="13.5" thickBot="1" x14ac:dyDescent="0.35">
      <c r="A89" s="142"/>
      <c r="B89" s="143"/>
      <c r="C89" s="144"/>
      <c r="D89" s="144"/>
      <c r="E89" s="145"/>
      <c r="F89" s="143"/>
      <c r="G89" s="131">
        <f t="shared" ref="G89:O89" si="34">+SUM(G59:G88)</f>
        <v>50233.025410348877</v>
      </c>
      <c r="H89" s="131">
        <f t="shared" si="34"/>
        <v>206.55273184100062</v>
      </c>
      <c r="I89" s="125">
        <f t="shared" si="34"/>
        <v>206.55273184100056</v>
      </c>
      <c r="J89" s="124">
        <f t="shared" si="34"/>
        <v>281.81318344180636</v>
      </c>
      <c r="K89" s="124">
        <f t="shared" si="34"/>
        <v>488.36591528280707</v>
      </c>
      <c r="L89" s="124">
        <f t="shared" si="34"/>
        <v>2430</v>
      </c>
      <c r="M89" s="126">
        <f t="shared" si="34"/>
        <v>2918.3659152828077</v>
      </c>
      <c r="N89" s="124">
        <f t="shared" si="34"/>
        <v>50721.391325631681</v>
      </c>
      <c r="O89" s="124">
        <f t="shared" si="34"/>
        <v>47803.025410348877</v>
      </c>
    </row>
    <row r="90" spans="1:15" ht="13" thickTop="1" x14ac:dyDescent="0.25">
      <c r="B90" s="11"/>
      <c r="C90" s="79"/>
      <c r="D90" s="79"/>
      <c r="E90" s="10"/>
      <c r="F90" s="11"/>
      <c r="G90" s="76"/>
      <c r="H90" s="76"/>
      <c r="I90" s="119"/>
      <c r="J90" s="58"/>
      <c r="K90" s="116"/>
      <c r="L90" s="58"/>
      <c r="M90" s="117"/>
      <c r="N90" s="8"/>
    </row>
    <row r="91" spans="1:15" x14ac:dyDescent="0.25">
      <c r="B91" s="11"/>
      <c r="C91" s="79"/>
      <c r="D91" s="79"/>
      <c r="E91" s="10"/>
      <c r="F91" s="11"/>
      <c r="G91" s="76"/>
      <c r="H91" s="76"/>
      <c r="I91" s="119"/>
      <c r="J91" s="58"/>
      <c r="K91" s="116"/>
      <c r="L91" s="58"/>
      <c r="M91" s="117"/>
      <c r="N91" s="8"/>
    </row>
    <row r="92" spans="1:15" ht="52" x14ac:dyDescent="0.3">
      <c r="A92" s="77" t="s">
        <v>51</v>
      </c>
      <c r="B92" s="77" t="s">
        <v>3</v>
      </c>
      <c r="C92" s="77" t="s">
        <v>4</v>
      </c>
      <c r="D92" s="77" t="s">
        <v>5</v>
      </c>
      <c r="E92" s="77" t="s">
        <v>6</v>
      </c>
      <c r="F92" s="77" t="s">
        <v>7</v>
      </c>
      <c r="G92" s="77" t="s">
        <v>92</v>
      </c>
      <c r="H92" s="77" t="s">
        <v>93</v>
      </c>
      <c r="I92" s="94" t="s">
        <v>94</v>
      </c>
      <c r="J92" s="95" t="s">
        <v>95</v>
      </c>
      <c r="K92" s="95" t="s">
        <v>96</v>
      </c>
      <c r="L92" s="95" t="s">
        <v>97</v>
      </c>
      <c r="M92" s="96" t="s">
        <v>98</v>
      </c>
      <c r="N92" s="77" t="s">
        <v>99</v>
      </c>
      <c r="O92" s="77" t="s">
        <v>100</v>
      </c>
    </row>
    <row r="93" spans="1:15" ht="13" x14ac:dyDescent="0.3">
      <c r="A93" s="347" t="s">
        <v>14</v>
      </c>
      <c r="B93" s="347"/>
      <c r="C93" s="73">
        <f>VLOOKUP(B94,A$1:F$25,2,FALSE)</f>
        <v>41835</v>
      </c>
      <c r="D93" s="73">
        <f>DATE(YEAR(C93),IF(MONTH(C93)&lt;=3,3,IF(MONTH(C93)&lt;=6,6,IF(MONTH(C93)&lt;=9,9,12))),IF(OR(MONTH(C93)&lt;=3,MONTH(C93)&gt;=10),31,30))</f>
        <v>41912</v>
      </c>
      <c r="E93" s="72">
        <f>D93-C93+1</f>
        <v>78</v>
      </c>
      <c r="F93" s="74">
        <f>VLOOKUP(D93,'FERC Interest Rate'!$A:$B,2,TRUE)</f>
        <v>3.2500000000000001E-2</v>
      </c>
      <c r="G93" s="75">
        <f>VLOOKUP(B94,$A$1:$F$29,5,FALSE)</f>
        <v>1109</v>
      </c>
      <c r="H93" s="75">
        <f t="shared" ref="H93:H102" si="35">G93*F93*(E93/(DATE(YEAR(D93),12,31)-DATE(YEAR(D93),1,1)+1))</f>
        <v>7.7022328767123298</v>
      </c>
      <c r="I93" s="180">
        <v>0</v>
      </c>
      <c r="J93" s="76">
        <v>0</v>
      </c>
      <c r="K93" s="116">
        <f>+SUM(I93:J93)</f>
        <v>0</v>
      </c>
      <c r="L93" s="76">
        <v>0</v>
      </c>
      <c r="M93" s="117">
        <f>+SUM(K93:L93)</f>
        <v>0</v>
      </c>
      <c r="N93" s="8">
        <f>+G93+H93+J93</f>
        <v>1116.7022328767123</v>
      </c>
      <c r="O93" s="75">
        <f t="shared" ref="O93:O119" si="36">G93+H93-L93-I93</f>
        <v>1116.7022328767123</v>
      </c>
    </row>
    <row r="94" spans="1:15" ht="13" x14ac:dyDescent="0.3">
      <c r="A94" s="110" t="s">
        <v>40</v>
      </c>
      <c r="B94" s="141" t="s">
        <v>53</v>
      </c>
      <c r="C94" s="73">
        <f>D93+1</f>
        <v>41913</v>
      </c>
      <c r="D94" s="73">
        <f>EOMONTH(D93,3)</f>
        <v>42004</v>
      </c>
      <c r="E94" s="72">
        <f t="shared" ref="E94:E119" si="37">D94-C94+1</f>
        <v>92</v>
      </c>
      <c r="F94" s="74">
        <f>VLOOKUP(D94,'FERC Interest Rate'!$A:$B,2,TRUE)</f>
        <v>3.2500000000000001E-2</v>
      </c>
      <c r="G94" s="75">
        <f t="shared" ref="G94:G119" si="38">O93</f>
        <v>1116.7022328767123</v>
      </c>
      <c r="H94" s="75">
        <f t="shared" si="35"/>
        <v>9.1477799350722471</v>
      </c>
      <c r="I94" s="180">
        <v>0</v>
      </c>
      <c r="J94" s="76">
        <v>0</v>
      </c>
      <c r="K94" s="116">
        <f t="shared" ref="K94:K119" si="39">+SUM(I94:J94)</f>
        <v>0</v>
      </c>
      <c r="L94" s="76">
        <v>0</v>
      </c>
      <c r="M94" s="117">
        <f t="shared" ref="M94:M119" si="40">+SUM(K94:L94)</f>
        <v>0</v>
      </c>
      <c r="N94" s="8">
        <f t="shared" ref="N94:N119" si="41">+G94+H94+J94</f>
        <v>1125.8500128117846</v>
      </c>
      <c r="O94" s="75">
        <f t="shared" si="36"/>
        <v>1125.8500128117846</v>
      </c>
    </row>
    <row r="95" spans="1:15" ht="13" x14ac:dyDescent="0.3">
      <c r="B95" s="301"/>
      <c r="C95" s="73">
        <f t="shared" ref="C95:C119" si="42">D94+1</f>
        <v>42005</v>
      </c>
      <c r="D95" s="73">
        <f t="shared" ref="D95:D121" si="43">EOMONTH(D94,3)</f>
        <v>42094</v>
      </c>
      <c r="E95" s="72">
        <f t="shared" si="37"/>
        <v>90</v>
      </c>
      <c r="F95" s="74">
        <f>VLOOKUP(D95,'FERC Interest Rate'!$A:$B,2,TRUE)</f>
        <v>3.2500000000000001E-2</v>
      </c>
      <c r="G95" s="75">
        <f t="shared" si="38"/>
        <v>1125.8500128117846</v>
      </c>
      <c r="H95" s="75">
        <f t="shared" si="35"/>
        <v>9.0222227054095079</v>
      </c>
      <c r="I95" s="180">
        <v>0</v>
      </c>
      <c r="J95" s="76">
        <v>0</v>
      </c>
      <c r="K95" s="116">
        <f t="shared" si="39"/>
        <v>0</v>
      </c>
      <c r="L95" s="76">
        <v>0</v>
      </c>
      <c r="M95" s="117">
        <f t="shared" si="40"/>
        <v>0</v>
      </c>
      <c r="N95" s="8">
        <f t="shared" si="41"/>
        <v>1134.8722355171942</v>
      </c>
      <c r="O95" s="75">
        <f t="shared" si="36"/>
        <v>1134.8722355171942</v>
      </c>
    </row>
    <row r="96" spans="1:15" ht="13" x14ac:dyDescent="0.3">
      <c r="B96" s="301"/>
      <c r="C96" s="73">
        <f t="shared" si="42"/>
        <v>42095</v>
      </c>
      <c r="D96" s="73">
        <f t="shared" si="43"/>
        <v>42185</v>
      </c>
      <c r="E96" s="72">
        <f t="shared" si="37"/>
        <v>91</v>
      </c>
      <c r="F96" s="74">
        <f>VLOOKUP(D96,'FERC Interest Rate'!$A:$B,2,TRUE)</f>
        <v>3.2500000000000001E-2</v>
      </c>
      <c r="G96" s="75">
        <f t="shared" si="38"/>
        <v>1134.8722355171942</v>
      </c>
      <c r="H96" s="75">
        <f t="shared" si="35"/>
        <v>9.195574346690691</v>
      </c>
      <c r="I96" s="180">
        <v>0</v>
      </c>
      <c r="J96" s="76">
        <v>0</v>
      </c>
      <c r="K96" s="116">
        <f t="shared" si="39"/>
        <v>0</v>
      </c>
      <c r="L96" s="76">
        <v>0</v>
      </c>
      <c r="M96" s="117">
        <f t="shared" si="40"/>
        <v>0</v>
      </c>
      <c r="N96" s="8">
        <f t="shared" si="41"/>
        <v>1144.0678098638848</v>
      </c>
      <c r="O96" s="75">
        <f t="shared" si="36"/>
        <v>1144.0678098638848</v>
      </c>
    </row>
    <row r="97" spans="1:15" ht="13" x14ac:dyDescent="0.3">
      <c r="B97" s="301"/>
      <c r="C97" s="73">
        <f t="shared" si="42"/>
        <v>42186</v>
      </c>
      <c r="D97" s="73">
        <f t="shared" si="43"/>
        <v>42277</v>
      </c>
      <c r="E97" s="72">
        <f t="shared" si="37"/>
        <v>92</v>
      </c>
      <c r="F97" s="74">
        <f>VLOOKUP(D97,'FERC Interest Rate'!$A:$B,2,TRUE)</f>
        <v>3.2500000000000001E-2</v>
      </c>
      <c r="G97" s="75">
        <f t="shared" si="38"/>
        <v>1144.0678098638848</v>
      </c>
      <c r="H97" s="75">
        <f t="shared" si="35"/>
        <v>9.3719527438164807</v>
      </c>
      <c r="I97" s="180">
        <v>0</v>
      </c>
      <c r="J97" s="76">
        <v>0</v>
      </c>
      <c r="K97" s="116">
        <f t="shared" si="39"/>
        <v>0</v>
      </c>
      <c r="L97" s="76">
        <v>0</v>
      </c>
      <c r="M97" s="117">
        <f t="shared" si="40"/>
        <v>0</v>
      </c>
      <c r="N97" s="8">
        <f t="shared" si="41"/>
        <v>1153.4397626077014</v>
      </c>
      <c r="O97" s="75">
        <f t="shared" si="36"/>
        <v>1153.4397626077014</v>
      </c>
    </row>
    <row r="98" spans="1:15" ht="13" x14ac:dyDescent="0.3">
      <c r="B98" s="301"/>
      <c r="C98" s="73">
        <f t="shared" si="42"/>
        <v>42278</v>
      </c>
      <c r="D98" s="73">
        <f t="shared" si="43"/>
        <v>42369</v>
      </c>
      <c r="E98" s="72">
        <f t="shared" si="37"/>
        <v>92</v>
      </c>
      <c r="F98" s="74">
        <f>VLOOKUP(D98,'FERC Interest Rate'!$A:$B,2,TRUE)</f>
        <v>3.2500000000000001E-2</v>
      </c>
      <c r="G98" s="75">
        <f t="shared" si="38"/>
        <v>1153.4397626077014</v>
      </c>
      <c r="H98" s="75">
        <f t="shared" si="35"/>
        <v>9.4487257265671989</v>
      </c>
      <c r="I98" s="180">
        <v>0</v>
      </c>
      <c r="J98" s="76">
        <v>0</v>
      </c>
      <c r="K98" s="116">
        <f t="shared" si="39"/>
        <v>0</v>
      </c>
      <c r="L98" s="76">
        <v>0</v>
      </c>
      <c r="M98" s="117">
        <f t="shared" si="40"/>
        <v>0</v>
      </c>
      <c r="N98" s="8">
        <f t="shared" si="41"/>
        <v>1162.8884883342685</v>
      </c>
      <c r="O98" s="75">
        <f t="shared" si="36"/>
        <v>1162.8884883342685</v>
      </c>
    </row>
    <row r="99" spans="1:15" ht="13" x14ac:dyDescent="0.3">
      <c r="B99" s="301"/>
      <c r="C99" s="73">
        <f t="shared" si="42"/>
        <v>42370</v>
      </c>
      <c r="D99" s="73">
        <f t="shared" si="43"/>
        <v>42460</v>
      </c>
      <c r="E99" s="72">
        <f t="shared" si="37"/>
        <v>91</v>
      </c>
      <c r="F99" s="74">
        <f>VLOOKUP(D99,'FERC Interest Rate'!$A:$B,2,TRUE)</f>
        <v>3.2500000000000001E-2</v>
      </c>
      <c r="G99" s="75">
        <f t="shared" si="38"/>
        <v>1162.8884883342685</v>
      </c>
      <c r="H99" s="75">
        <f t="shared" si="35"/>
        <v>9.3968379897502707</v>
      </c>
      <c r="I99" s="180">
        <v>0</v>
      </c>
      <c r="J99" s="76">
        <v>0</v>
      </c>
      <c r="K99" s="116">
        <f t="shared" si="39"/>
        <v>0</v>
      </c>
      <c r="L99" s="76">
        <v>0</v>
      </c>
      <c r="M99" s="117">
        <f t="shared" si="40"/>
        <v>0</v>
      </c>
      <c r="N99" s="8">
        <f t="shared" si="41"/>
        <v>1172.2853263240188</v>
      </c>
      <c r="O99" s="75">
        <f t="shared" si="36"/>
        <v>1172.2853263240188</v>
      </c>
    </row>
    <row r="100" spans="1:15" x14ac:dyDescent="0.25">
      <c r="A100" s="78"/>
      <c r="B100" s="72"/>
      <c r="C100" s="73">
        <f t="shared" si="42"/>
        <v>42461</v>
      </c>
      <c r="D100" s="73">
        <f t="shared" si="43"/>
        <v>42551</v>
      </c>
      <c r="E100" s="72">
        <f t="shared" si="37"/>
        <v>91</v>
      </c>
      <c r="F100" s="74">
        <f>VLOOKUP(D100,'FERC Interest Rate'!$A:$B,2,TRUE)</f>
        <v>3.4599999999999999E-2</v>
      </c>
      <c r="G100" s="75">
        <f t="shared" si="38"/>
        <v>1172.2853263240188</v>
      </c>
      <c r="H100" s="75">
        <f t="shared" si="35"/>
        <v>10.08485677175903</v>
      </c>
      <c r="I100" s="180">
        <v>0</v>
      </c>
      <c r="J100" s="76">
        <v>0</v>
      </c>
      <c r="K100" s="116">
        <f t="shared" si="39"/>
        <v>0</v>
      </c>
      <c r="L100" s="76">
        <v>0</v>
      </c>
      <c r="M100" s="117">
        <f t="shared" si="40"/>
        <v>0</v>
      </c>
      <c r="N100" s="8">
        <f t="shared" si="41"/>
        <v>1182.3701830957777</v>
      </c>
      <c r="O100" s="75">
        <f t="shared" si="36"/>
        <v>1182.3701830957777</v>
      </c>
    </row>
    <row r="101" spans="1:15" x14ac:dyDescent="0.25">
      <c r="A101" s="78"/>
      <c r="B101" s="72"/>
      <c r="C101" s="73">
        <f t="shared" si="42"/>
        <v>42552</v>
      </c>
      <c r="D101" s="73">
        <f t="shared" si="43"/>
        <v>42643</v>
      </c>
      <c r="E101" s="72">
        <f t="shared" si="37"/>
        <v>92</v>
      </c>
      <c r="F101" s="74">
        <f>VLOOKUP(D101,'FERC Interest Rate'!$A:$B,2,TRUE)</f>
        <v>3.5000000000000003E-2</v>
      </c>
      <c r="G101" s="75">
        <f t="shared" si="38"/>
        <v>1182.3701830957777</v>
      </c>
      <c r="H101" s="75">
        <f t="shared" si="35"/>
        <v>10.40227319554209</v>
      </c>
      <c r="I101" s="180">
        <v>0</v>
      </c>
      <c r="J101" s="76">
        <v>0</v>
      </c>
      <c r="K101" s="116">
        <f t="shared" si="39"/>
        <v>0</v>
      </c>
      <c r="L101" s="76">
        <v>0</v>
      </c>
      <c r="M101" s="117">
        <f t="shared" si="40"/>
        <v>0</v>
      </c>
      <c r="N101" s="8">
        <f t="shared" si="41"/>
        <v>1192.7724562913199</v>
      </c>
      <c r="O101" s="75">
        <f t="shared" si="36"/>
        <v>1192.7724562913199</v>
      </c>
    </row>
    <row r="102" spans="1:15" x14ac:dyDescent="0.25">
      <c r="A102" s="17" t="s">
        <v>52</v>
      </c>
      <c r="B102" s="72" t="str">
        <f t="shared" ref="B102:B116" si="44">+IF(MONTH(C102)&lt;4,"Q1",IF(MONTH(C102)&lt;7,"Q2",IF(MONTH(C102)&lt;10,"Q3","Q4")))&amp;"/"&amp;YEAR(C102)</f>
        <v>Q4/2016</v>
      </c>
      <c r="C102" s="73">
        <f t="shared" si="42"/>
        <v>42644</v>
      </c>
      <c r="D102" s="73">
        <f t="shared" si="43"/>
        <v>42735</v>
      </c>
      <c r="E102" s="72">
        <f t="shared" si="37"/>
        <v>92</v>
      </c>
      <c r="F102" s="74">
        <f>VLOOKUP(D102,'FERC Interest Rate'!$A:$B,2,TRUE)</f>
        <v>3.5000000000000003E-2</v>
      </c>
      <c r="G102" s="75">
        <f t="shared" si="38"/>
        <v>1192.7724562913199</v>
      </c>
      <c r="H102" s="75">
        <f t="shared" si="35"/>
        <v>10.49379046245369</v>
      </c>
      <c r="I102" s="180">
        <f t="shared" ref="I102:I121" si="45">(SUM($H$93:$H$122)/20)</f>
        <v>4.7133123376886772</v>
      </c>
      <c r="J102" s="76">
        <v>0</v>
      </c>
      <c r="K102" s="116">
        <f t="shared" si="39"/>
        <v>4.7133123376886772</v>
      </c>
      <c r="L102" s="76">
        <f>VLOOKUP($B$94,A$1:F$25,5,FALSE)/20</f>
        <v>55.45</v>
      </c>
      <c r="M102" s="117">
        <f t="shared" si="40"/>
        <v>60.16331233768868</v>
      </c>
      <c r="N102" s="8">
        <f t="shared" si="41"/>
        <v>1203.2662467537737</v>
      </c>
      <c r="O102" s="75">
        <f t="shared" si="36"/>
        <v>1143.102934416085</v>
      </c>
    </row>
    <row r="103" spans="1:15" x14ac:dyDescent="0.25">
      <c r="A103" s="17" t="s">
        <v>53</v>
      </c>
      <c r="B103" s="72" t="str">
        <f t="shared" si="44"/>
        <v>Q1/2017</v>
      </c>
      <c r="C103" s="73">
        <f t="shared" si="42"/>
        <v>42736</v>
      </c>
      <c r="D103" s="73">
        <f t="shared" si="43"/>
        <v>42825</v>
      </c>
      <c r="E103" s="72">
        <f t="shared" si="37"/>
        <v>90</v>
      </c>
      <c r="F103" s="74">
        <f>VLOOKUP(D103,'FERC Interest Rate'!$A:$B,2,TRUE)</f>
        <v>3.5000000000000003E-2</v>
      </c>
      <c r="G103" s="75">
        <f t="shared" si="38"/>
        <v>1143.102934416085</v>
      </c>
      <c r="H103" s="75">
        <v>0</v>
      </c>
      <c r="I103" s="99">
        <f t="shared" si="45"/>
        <v>4.7133123376886772</v>
      </c>
      <c r="J103" s="76">
        <f>G103*F103*(E103/(DATE(YEAR(D103),12,31)-DATE(YEAR(D103),1,1)+1))</f>
        <v>9.8651349134538844</v>
      </c>
      <c r="K103" s="116">
        <f t="shared" si="39"/>
        <v>14.578447251142562</v>
      </c>
      <c r="L103" s="76">
        <f>VLOOKUP($B$94,A$1:F$25,5,FALSE)/20</f>
        <v>55.45</v>
      </c>
      <c r="M103" s="117">
        <f t="shared" si="40"/>
        <v>70.028447251142566</v>
      </c>
      <c r="N103" s="8">
        <f t="shared" si="41"/>
        <v>1152.9680693295388</v>
      </c>
      <c r="O103" s="75">
        <f t="shared" si="36"/>
        <v>1082.9396220783963</v>
      </c>
    </row>
    <row r="104" spans="1:15" x14ac:dyDescent="0.25">
      <c r="A104" s="17" t="s">
        <v>54</v>
      </c>
      <c r="B104" s="72" t="str">
        <f t="shared" si="44"/>
        <v>Q2/2017</v>
      </c>
      <c r="C104" s="73">
        <f t="shared" si="42"/>
        <v>42826</v>
      </c>
      <c r="D104" s="73">
        <f t="shared" si="43"/>
        <v>42916</v>
      </c>
      <c r="E104" s="72">
        <f t="shared" si="37"/>
        <v>91</v>
      </c>
      <c r="F104" s="74">
        <f>VLOOKUP(D104,'FERC Interest Rate'!$A:$B,2,TRUE)</f>
        <v>3.7100000000000001E-2</v>
      </c>
      <c r="G104" s="75">
        <f t="shared" si="38"/>
        <v>1082.9396220783963</v>
      </c>
      <c r="H104" s="75">
        <v>0</v>
      </c>
      <c r="I104" s="99">
        <f t="shared" si="45"/>
        <v>4.7133123376886772</v>
      </c>
      <c r="J104" s="76">
        <f t="shared" ref="J104:J119" si="46">G104*F104*(E104/(DATE(YEAR(D104),12,31)-DATE(YEAR(D104),1,1)+1))</f>
        <v>10.01674646054486</v>
      </c>
      <c r="K104" s="116">
        <f t="shared" si="39"/>
        <v>14.730058798233538</v>
      </c>
      <c r="L104" s="76">
        <f t="shared" ref="L104:L119" si="47">VLOOKUP($B$94,A$1:F$25,5,FALSE)/20</f>
        <v>55.45</v>
      </c>
      <c r="M104" s="117">
        <f t="shared" si="40"/>
        <v>70.180058798233546</v>
      </c>
      <c r="N104" s="8">
        <f t="shared" si="41"/>
        <v>1092.9563685389412</v>
      </c>
      <c r="O104" s="75">
        <f t="shared" si="36"/>
        <v>1022.7763097407076</v>
      </c>
    </row>
    <row r="105" spans="1:15" x14ac:dyDescent="0.25">
      <c r="A105" s="17" t="s">
        <v>55</v>
      </c>
      <c r="B105" s="72" t="str">
        <f t="shared" si="44"/>
        <v>Q3/2017</v>
      </c>
      <c r="C105" s="73">
        <f t="shared" si="42"/>
        <v>42917</v>
      </c>
      <c r="D105" s="73">
        <f t="shared" si="43"/>
        <v>43008</v>
      </c>
      <c r="E105" s="72">
        <f t="shared" si="37"/>
        <v>92</v>
      </c>
      <c r="F105" s="74">
        <f>VLOOKUP(D105,'FERC Interest Rate'!$A:$B,2,TRUE)</f>
        <v>3.9600000000000003E-2</v>
      </c>
      <c r="G105" s="75">
        <f t="shared" si="38"/>
        <v>1022.7763097407076</v>
      </c>
      <c r="H105" s="75">
        <v>0</v>
      </c>
      <c r="I105" s="99">
        <f t="shared" si="45"/>
        <v>4.7133123376886772</v>
      </c>
      <c r="J105" s="76">
        <f t="shared" si="46"/>
        <v>10.208708634650264</v>
      </c>
      <c r="K105" s="116">
        <f t="shared" si="39"/>
        <v>14.922020972338942</v>
      </c>
      <c r="L105" s="76">
        <f t="shared" si="47"/>
        <v>55.45</v>
      </c>
      <c r="M105" s="117">
        <f t="shared" si="40"/>
        <v>70.372020972338944</v>
      </c>
      <c r="N105" s="8">
        <f t="shared" si="41"/>
        <v>1032.9850183753579</v>
      </c>
      <c r="O105" s="75">
        <f t="shared" si="36"/>
        <v>962.61299740301888</v>
      </c>
    </row>
    <row r="106" spans="1:15" x14ac:dyDescent="0.25">
      <c r="A106" s="17" t="s">
        <v>56</v>
      </c>
      <c r="B106" s="72" t="str">
        <f t="shared" si="44"/>
        <v>Q4/2017</v>
      </c>
      <c r="C106" s="73">
        <f t="shared" si="42"/>
        <v>43009</v>
      </c>
      <c r="D106" s="73">
        <f t="shared" si="43"/>
        <v>43100</v>
      </c>
      <c r="E106" s="72">
        <f t="shared" si="37"/>
        <v>92</v>
      </c>
      <c r="F106" s="74">
        <f>VLOOKUP(D106,'FERC Interest Rate'!$A:$B,2,TRUE)</f>
        <v>4.2099999999999999E-2</v>
      </c>
      <c r="G106" s="75">
        <f t="shared" si="38"/>
        <v>962.61299740301888</v>
      </c>
      <c r="H106" s="75">
        <v>0</v>
      </c>
      <c r="I106" s="99">
        <f t="shared" si="45"/>
        <v>4.7133123376886772</v>
      </c>
      <c r="J106" s="76">
        <f t="shared" si="46"/>
        <v>10.214774415181843</v>
      </c>
      <c r="K106" s="116">
        <f t="shared" si="39"/>
        <v>14.92808675287052</v>
      </c>
      <c r="L106" s="76">
        <f t="shared" si="47"/>
        <v>55.45</v>
      </c>
      <c r="M106" s="117">
        <f t="shared" si="40"/>
        <v>70.37808675287053</v>
      </c>
      <c r="N106" s="8">
        <f t="shared" si="41"/>
        <v>972.82777181820074</v>
      </c>
      <c r="O106" s="75">
        <f t="shared" si="36"/>
        <v>902.44968506533019</v>
      </c>
    </row>
    <row r="107" spans="1:15" x14ac:dyDescent="0.25">
      <c r="A107" s="17" t="s">
        <v>57</v>
      </c>
      <c r="B107" s="72" t="str">
        <f t="shared" si="44"/>
        <v>Q1/2018</v>
      </c>
      <c r="C107" s="73">
        <f t="shared" si="42"/>
        <v>43101</v>
      </c>
      <c r="D107" s="73">
        <f t="shared" si="43"/>
        <v>43190</v>
      </c>
      <c r="E107" s="72">
        <f t="shared" si="37"/>
        <v>90</v>
      </c>
      <c r="F107" s="74">
        <f>VLOOKUP(D107,'FERC Interest Rate'!$A:$B,2,TRUE)</f>
        <v>4.2500000000000003E-2</v>
      </c>
      <c r="G107" s="75">
        <f t="shared" si="38"/>
        <v>902.44968506533019</v>
      </c>
      <c r="H107" s="75">
        <v>0</v>
      </c>
      <c r="I107" s="99">
        <f t="shared" si="45"/>
        <v>4.7133123376886772</v>
      </c>
      <c r="J107" s="76">
        <f t="shared" si="46"/>
        <v>9.4571782065065424</v>
      </c>
      <c r="K107" s="116">
        <f t="shared" si="39"/>
        <v>14.17049054419522</v>
      </c>
      <c r="L107" s="76">
        <f t="shared" si="47"/>
        <v>55.45</v>
      </c>
      <c r="M107" s="117">
        <f t="shared" si="40"/>
        <v>69.620490544195221</v>
      </c>
      <c r="N107" s="8">
        <f t="shared" si="41"/>
        <v>911.90686327183676</v>
      </c>
      <c r="O107" s="75">
        <f t="shared" si="36"/>
        <v>842.28637272764149</v>
      </c>
    </row>
    <row r="108" spans="1:15" x14ac:dyDescent="0.25">
      <c r="A108" s="17" t="s">
        <v>58</v>
      </c>
      <c r="B108" s="72" t="str">
        <f t="shared" si="44"/>
        <v>Q2/2018</v>
      </c>
      <c r="C108" s="73">
        <f t="shared" si="42"/>
        <v>43191</v>
      </c>
      <c r="D108" s="73">
        <f t="shared" si="43"/>
        <v>43281</v>
      </c>
      <c r="E108" s="72">
        <f t="shared" si="37"/>
        <v>91</v>
      </c>
      <c r="F108" s="74">
        <f>VLOOKUP(D108,'FERC Interest Rate'!$A:$B,2,TRUE)</f>
        <v>4.4699999999999997E-2</v>
      </c>
      <c r="G108" s="75">
        <f t="shared" si="38"/>
        <v>842.28637272764149</v>
      </c>
      <c r="H108" s="75">
        <v>0</v>
      </c>
      <c r="I108" s="99">
        <f t="shared" si="45"/>
        <v>4.7133123376886772</v>
      </c>
      <c r="J108" s="76">
        <f t="shared" si="46"/>
        <v>9.3867624064225392</v>
      </c>
      <c r="K108" s="116">
        <f t="shared" si="39"/>
        <v>14.100074744111216</v>
      </c>
      <c r="L108" s="76">
        <f t="shared" si="47"/>
        <v>55.45</v>
      </c>
      <c r="M108" s="117">
        <f t="shared" si="40"/>
        <v>69.550074744111214</v>
      </c>
      <c r="N108" s="8">
        <f t="shared" si="41"/>
        <v>851.67313513406407</v>
      </c>
      <c r="O108" s="75">
        <f t="shared" si="36"/>
        <v>782.1230603899528</v>
      </c>
    </row>
    <row r="109" spans="1:15" x14ac:dyDescent="0.25">
      <c r="A109" s="17" t="s">
        <v>59</v>
      </c>
      <c r="B109" s="72" t="str">
        <f t="shared" si="44"/>
        <v>Q3/2018</v>
      </c>
      <c r="C109" s="73">
        <f t="shared" si="42"/>
        <v>43282</v>
      </c>
      <c r="D109" s="73">
        <f t="shared" si="43"/>
        <v>43373</v>
      </c>
      <c r="E109" s="72">
        <f t="shared" si="37"/>
        <v>92</v>
      </c>
      <c r="F109" s="74">
        <f>VLOOKUP(D109,'FERC Interest Rate'!$A:$B,2,TRUE)</f>
        <v>4.6899999999999997E-2</v>
      </c>
      <c r="G109" s="75">
        <f t="shared" si="38"/>
        <v>782.1230603899528</v>
      </c>
      <c r="H109" s="75">
        <v>0</v>
      </c>
      <c r="I109" s="99">
        <f t="shared" si="45"/>
        <v>4.7133123376886772</v>
      </c>
      <c r="J109" s="76">
        <f t="shared" si="46"/>
        <v>9.2457659752618309</v>
      </c>
      <c r="K109" s="116">
        <f t="shared" si="39"/>
        <v>13.959078312950508</v>
      </c>
      <c r="L109" s="76">
        <f t="shared" si="47"/>
        <v>55.45</v>
      </c>
      <c r="M109" s="117">
        <f t="shared" si="40"/>
        <v>69.409078312950513</v>
      </c>
      <c r="N109" s="8">
        <f t="shared" si="41"/>
        <v>791.36882636521466</v>
      </c>
      <c r="O109" s="75">
        <f t="shared" si="36"/>
        <v>721.9597480522641</v>
      </c>
    </row>
    <row r="110" spans="1:15" x14ac:dyDescent="0.25">
      <c r="A110" s="17" t="s">
        <v>60</v>
      </c>
      <c r="B110" s="72" t="str">
        <f t="shared" si="44"/>
        <v>Q4/2018</v>
      </c>
      <c r="C110" s="73">
        <f t="shared" si="42"/>
        <v>43374</v>
      </c>
      <c r="D110" s="73">
        <f t="shared" si="43"/>
        <v>43465</v>
      </c>
      <c r="E110" s="72">
        <f t="shared" si="37"/>
        <v>92</v>
      </c>
      <c r="F110" s="74">
        <f>VLOOKUP(D110,'FERC Interest Rate'!$A:$B,2,TRUE)</f>
        <v>4.9599999999999998E-2</v>
      </c>
      <c r="G110" s="75">
        <f t="shared" si="38"/>
        <v>721.9597480522641</v>
      </c>
      <c r="H110" s="75">
        <v>0</v>
      </c>
      <c r="I110" s="99">
        <f t="shared" si="45"/>
        <v>4.7133123376886772</v>
      </c>
      <c r="J110" s="76">
        <f t="shared" si="46"/>
        <v>9.0258814309920314</v>
      </c>
      <c r="K110" s="116">
        <f t="shared" si="39"/>
        <v>13.739193768680709</v>
      </c>
      <c r="L110" s="76">
        <f t="shared" si="47"/>
        <v>55.45</v>
      </c>
      <c r="M110" s="117">
        <f t="shared" si="40"/>
        <v>69.18919376868071</v>
      </c>
      <c r="N110" s="8">
        <f t="shared" si="41"/>
        <v>730.98562948325616</v>
      </c>
      <c r="O110" s="75">
        <f t="shared" si="36"/>
        <v>661.79643571457541</v>
      </c>
    </row>
    <row r="111" spans="1:15" x14ac:dyDescent="0.25">
      <c r="A111" s="17" t="s">
        <v>61</v>
      </c>
      <c r="B111" s="72" t="str">
        <f t="shared" si="44"/>
        <v>Q1/2019</v>
      </c>
      <c r="C111" s="73">
        <f t="shared" si="42"/>
        <v>43466</v>
      </c>
      <c r="D111" s="73">
        <f t="shared" si="43"/>
        <v>43555</v>
      </c>
      <c r="E111" s="72">
        <f t="shared" si="37"/>
        <v>90</v>
      </c>
      <c r="F111" s="74">
        <f>VLOOKUP(D111,'FERC Interest Rate'!$A:$B,2,TRUE)</f>
        <v>5.1799999999999999E-2</v>
      </c>
      <c r="G111" s="75">
        <f t="shared" si="38"/>
        <v>661.79643571457541</v>
      </c>
      <c r="H111" s="75">
        <v>0</v>
      </c>
      <c r="I111" s="99">
        <f t="shared" si="45"/>
        <v>4.7133123376886772</v>
      </c>
      <c r="J111" s="76">
        <f t="shared" si="46"/>
        <v>8.4528629679489047</v>
      </c>
      <c r="K111" s="116">
        <f t="shared" si="39"/>
        <v>13.166175305637582</v>
      </c>
      <c r="L111" s="76">
        <f t="shared" si="47"/>
        <v>55.45</v>
      </c>
      <c r="M111" s="117">
        <f t="shared" si="40"/>
        <v>68.616175305637583</v>
      </c>
      <c r="N111" s="8">
        <f t="shared" si="41"/>
        <v>670.24929868252434</v>
      </c>
      <c r="O111" s="75">
        <f t="shared" si="36"/>
        <v>601.63312337688672</v>
      </c>
    </row>
    <row r="112" spans="1:15" x14ac:dyDescent="0.25">
      <c r="A112" s="17" t="s">
        <v>62</v>
      </c>
      <c r="B112" s="72" t="str">
        <f t="shared" si="44"/>
        <v>Q2/2019</v>
      </c>
      <c r="C112" s="73">
        <f t="shared" si="42"/>
        <v>43556</v>
      </c>
      <c r="D112" s="73">
        <f t="shared" si="43"/>
        <v>43646</v>
      </c>
      <c r="E112" s="72">
        <f t="shared" si="37"/>
        <v>91</v>
      </c>
      <c r="F112" s="74">
        <f>VLOOKUP(D112,'FERC Interest Rate'!$A:$B,2,TRUE)</f>
        <v>5.45E-2</v>
      </c>
      <c r="G112" s="75">
        <f t="shared" si="38"/>
        <v>601.63312337688672</v>
      </c>
      <c r="H112" s="75">
        <v>0</v>
      </c>
      <c r="I112" s="99">
        <f t="shared" si="45"/>
        <v>4.7133123376886772</v>
      </c>
      <c r="J112" s="76">
        <f t="shared" si="46"/>
        <v>8.1747930832538884</v>
      </c>
      <c r="K112" s="116">
        <f t="shared" si="39"/>
        <v>12.888105420942566</v>
      </c>
      <c r="L112" s="76">
        <f t="shared" si="47"/>
        <v>55.45</v>
      </c>
      <c r="M112" s="117">
        <f t="shared" si="40"/>
        <v>68.338105420942568</v>
      </c>
      <c r="N112" s="8">
        <f t="shared" si="41"/>
        <v>609.80791646014063</v>
      </c>
      <c r="O112" s="75">
        <f t="shared" si="36"/>
        <v>541.46981103919802</v>
      </c>
    </row>
    <row r="113" spans="1:15" x14ac:dyDescent="0.25">
      <c r="A113" s="17" t="s">
        <v>63</v>
      </c>
      <c r="B113" s="72" t="str">
        <f t="shared" si="44"/>
        <v>Q3/2019</v>
      </c>
      <c r="C113" s="73">
        <f t="shared" si="42"/>
        <v>43647</v>
      </c>
      <c r="D113" s="73">
        <f t="shared" si="43"/>
        <v>43738</v>
      </c>
      <c r="E113" s="72">
        <f t="shared" si="37"/>
        <v>92</v>
      </c>
      <c r="F113" s="74">
        <f>VLOOKUP(D113,'FERC Interest Rate'!$A:$B,2,TRUE)</f>
        <v>5.5E-2</v>
      </c>
      <c r="G113" s="75">
        <f t="shared" si="38"/>
        <v>541.46981103919802</v>
      </c>
      <c r="H113" s="75">
        <v>0</v>
      </c>
      <c r="I113" s="99">
        <f t="shared" si="45"/>
        <v>4.7133123376886772</v>
      </c>
      <c r="J113" s="76">
        <f t="shared" si="46"/>
        <v>7.5064034078310744</v>
      </c>
      <c r="K113" s="116">
        <f t="shared" si="39"/>
        <v>12.219715745519752</v>
      </c>
      <c r="L113" s="76">
        <f t="shared" si="47"/>
        <v>55.45</v>
      </c>
      <c r="M113" s="117">
        <f t="shared" si="40"/>
        <v>67.669715745519753</v>
      </c>
      <c r="N113" s="8">
        <f t="shared" si="41"/>
        <v>548.97621444702907</v>
      </c>
      <c r="O113" s="75">
        <f t="shared" si="36"/>
        <v>481.30649870150933</v>
      </c>
    </row>
    <row r="114" spans="1:15" x14ac:dyDescent="0.25">
      <c r="A114" s="17" t="s">
        <v>64</v>
      </c>
      <c r="B114" s="72" t="str">
        <f t="shared" si="44"/>
        <v>Q4/2019</v>
      </c>
      <c r="C114" s="73">
        <f t="shared" si="42"/>
        <v>43739</v>
      </c>
      <c r="D114" s="73">
        <f t="shared" si="43"/>
        <v>43830</v>
      </c>
      <c r="E114" s="72">
        <f t="shared" si="37"/>
        <v>92</v>
      </c>
      <c r="F114" s="74">
        <f>VLOOKUP(D114,'FERC Interest Rate'!$A:$B,2,TRUE)</f>
        <v>5.4199999999999998E-2</v>
      </c>
      <c r="G114" s="75">
        <f t="shared" si="38"/>
        <v>481.30649870150933</v>
      </c>
      <c r="H114" s="75">
        <v>0</v>
      </c>
      <c r="I114" s="99">
        <f t="shared" si="45"/>
        <v>4.7133123376886772</v>
      </c>
      <c r="J114" s="76">
        <f t="shared" si="46"/>
        <v>6.575306096233442</v>
      </c>
      <c r="K114" s="116">
        <f t="shared" si="39"/>
        <v>11.288618433922119</v>
      </c>
      <c r="L114" s="76">
        <f t="shared" si="47"/>
        <v>55.45</v>
      </c>
      <c r="M114" s="117">
        <f t="shared" si="40"/>
        <v>66.738618433922127</v>
      </c>
      <c r="N114" s="8">
        <f t="shared" si="41"/>
        <v>487.88180479774275</v>
      </c>
      <c r="O114" s="75">
        <f t="shared" si="36"/>
        <v>421.14318636382063</v>
      </c>
    </row>
    <row r="115" spans="1:15" x14ac:dyDescent="0.25">
      <c r="A115" s="17" t="s">
        <v>65</v>
      </c>
      <c r="B115" s="72" t="str">
        <f t="shared" si="44"/>
        <v>Q1/2020</v>
      </c>
      <c r="C115" s="73">
        <f t="shared" si="42"/>
        <v>43831</v>
      </c>
      <c r="D115" s="73">
        <f t="shared" si="43"/>
        <v>43921</v>
      </c>
      <c r="E115" s="72">
        <f t="shared" si="37"/>
        <v>91</v>
      </c>
      <c r="F115" s="74">
        <f>VLOOKUP(D115,'FERC Interest Rate'!$A:$B,2,TRUE)</f>
        <v>4.9599999999999998E-2</v>
      </c>
      <c r="G115" s="75">
        <f t="shared" si="38"/>
        <v>421.14318636382063</v>
      </c>
      <c r="H115" s="75">
        <v>0</v>
      </c>
      <c r="I115" s="99">
        <f t="shared" si="45"/>
        <v>4.7133123376886772</v>
      </c>
      <c r="J115" s="76">
        <f t="shared" si="46"/>
        <v>5.1936390327096742</v>
      </c>
      <c r="K115" s="116">
        <f t="shared" si="39"/>
        <v>9.9069513703983514</v>
      </c>
      <c r="L115" s="76">
        <f t="shared" si="47"/>
        <v>55.45</v>
      </c>
      <c r="M115" s="117">
        <f t="shared" si="40"/>
        <v>65.356951370398349</v>
      </c>
      <c r="N115" s="8">
        <f t="shared" si="41"/>
        <v>426.33682539653029</v>
      </c>
      <c r="O115" s="75">
        <f t="shared" si="36"/>
        <v>360.97987402613194</v>
      </c>
    </row>
    <row r="116" spans="1:15" x14ac:dyDescent="0.25">
      <c r="A116" s="17" t="s">
        <v>66</v>
      </c>
      <c r="B116" s="72" t="str">
        <f t="shared" si="44"/>
        <v>Q2/2020</v>
      </c>
      <c r="C116" s="73">
        <f t="shared" si="42"/>
        <v>43922</v>
      </c>
      <c r="D116" s="73">
        <f t="shared" si="43"/>
        <v>44012</v>
      </c>
      <c r="E116" s="72">
        <f t="shared" si="37"/>
        <v>91</v>
      </c>
      <c r="F116" s="74">
        <f>VLOOKUP(D116,'FERC Interest Rate'!$A:$B,2,TRUE)</f>
        <v>4.7503500000000004E-2</v>
      </c>
      <c r="G116" s="75">
        <f t="shared" si="38"/>
        <v>360.97987402613194</v>
      </c>
      <c r="H116" s="75">
        <v>0</v>
      </c>
      <c r="I116" s="99">
        <f t="shared" si="45"/>
        <v>4.7133123376886772</v>
      </c>
      <c r="J116" s="76">
        <f t="shared" si="46"/>
        <v>4.2635258949940784</v>
      </c>
      <c r="K116" s="116">
        <f t="shared" si="39"/>
        <v>8.9768382326827556</v>
      </c>
      <c r="L116" s="76">
        <f t="shared" si="47"/>
        <v>55.45</v>
      </c>
      <c r="M116" s="117">
        <f t="shared" si="40"/>
        <v>64.426838232682755</v>
      </c>
      <c r="N116" s="8">
        <f t="shared" si="41"/>
        <v>365.24339992112601</v>
      </c>
      <c r="O116" s="75">
        <f t="shared" si="36"/>
        <v>300.81656168844324</v>
      </c>
    </row>
    <row r="117" spans="1:15" x14ac:dyDescent="0.25">
      <c r="A117" s="17" t="s">
        <v>67</v>
      </c>
      <c r="B117" s="72" t="str">
        <f>+IF(MONTH(C117)&lt;4,"Q1",IF(MONTH(C117)&lt;7,"Q2",IF(MONTH(C117)&lt;10,"Q3","Q4")))&amp;"/"&amp;YEAR(C117)</f>
        <v>Q3/2020</v>
      </c>
      <c r="C117" s="73">
        <f t="shared" si="42"/>
        <v>44013</v>
      </c>
      <c r="D117" s="73">
        <f t="shared" si="43"/>
        <v>44104</v>
      </c>
      <c r="E117" s="72">
        <f t="shared" si="37"/>
        <v>92</v>
      </c>
      <c r="F117" s="74">
        <f>VLOOKUP(D117,'FERC Interest Rate'!$A:$B,2,TRUE)</f>
        <v>4.7507929999999997E-2</v>
      </c>
      <c r="G117" s="75">
        <f t="shared" si="38"/>
        <v>300.81656168844324</v>
      </c>
      <c r="H117" s="75">
        <v>0</v>
      </c>
      <c r="I117" s="99">
        <f t="shared" si="45"/>
        <v>4.7133123376886772</v>
      </c>
      <c r="J117" s="76">
        <f t="shared" si="46"/>
        <v>3.5923164981126838</v>
      </c>
      <c r="K117" s="116">
        <f t="shared" si="39"/>
        <v>8.305628835801361</v>
      </c>
      <c r="L117" s="76">
        <f t="shared" si="47"/>
        <v>55.45</v>
      </c>
      <c r="M117" s="117">
        <f t="shared" si="40"/>
        <v>63.75562883580136</v>
      </c>
      <c r="N117" s="8">
        <f t="shared" si="41"/>
        <v>304.40887818655591</v>
      </c>
      <c r="O117" s="75">
        <f t="shared" si="36"/>
        <v>240.65324935075458</v>
      </c>
    </row>
    <row r="118" spans="1:15" x14ac:dyDescent="0.25">
      <c r="A118" s="17" t="s">
        <v>68</v>
      </c>
      <c r="B118" s="72" t="str">
        <f>+IF(MONTH(C118)&lt;4,"Q1",IF(MONTH(C118)&lt;7,"Q2",IF(MONTH(C118)&lt;10,"Q3","Q4")))&amp;"/"&amp;YEAR(C118)</f>
        <v>Q4/2020</v>
      </c>
      <c r="C118" s="73">
        <f t="shared" si="42"/>
        <v>44105</v>
      </c>
      <c r="D118" s="73">
        <f t="shared" si="43"/>
        <v>44196</v>
      </c>
      <c r="E118" s="72">
        <f t="shared" si="37"/>
        <v>92</v>
      </c>
      <c r="F118" s="74">
        <f>VLOOKUP(D118,'FERC Interest Rate'!$A:$B,2,TRUE)</f>
        <v>4.7922320000000004E-2</v>
      </c>
      <c r="G118" s="75">
        <f t="shared" si="38"/>
        <v>240.65324935075458</v>
      </c>
      <c r="H118" s="75">
        <v>0</v>
      </c>
      <c r="I118" s="99">
        <f t="shared" si="45"/>
        <v>4.7133123376886772</v>
      </c>
      <c r="J118" s="76">
        <f t="shared" si="46"/>
        <v>2.898920508872274</v>
      </c>
      <c r="K118" s="116">
        <f t="shared" si="39"/>
        <v>7.6122328465609517</v>
      </c>
      <c r="L118" s="76">
        <f t="shared" si="47"/>
        <v>55.45</v>
      </c>
      <c r="M118" s="117">
        <f t="shared" si="40"/>
        <v>63.062232846560953</v>
      </c>
      <c r="N118" s="8">
        <f t="shared" si="41"/>
        <v>243.55216985962684</v>
      </c>
      <c r="O118" s="75">
        <f t="shared" si="36"/>
        <v>180.48993701306588</v>
      </c>
    </row>
    <row r="119" spans="1:15" x14ac:dyDescent="0.25">
      <c r="A119" s="17" t="s">
        <v>69</v>
      </c>
      <c r="B119" s="72" t="str">
        <f>+IF(MONTH(C119)&lt;4,"Q1",IF(MONTH(C119)&lt;7,"Q2",IF(MONTH(C119)&lt;10,"Q3","Q4")))&amp;"/"&amp;YEAR(C119)</f>
        <v>Q1/2021</v>
      </c>
      <c r="C119" s="73">
        <f t="shared" si="42"/>
        <v>44197</v>
      </c>
      <c r="D119" s="73">
        <f t="shared" si="43"/>
        <v>44286</v>
      </c>
      <c r="E119" s="72">
        <f t="shared" si="37"/>
        <v>90</v>
      </c>
      <c r="F119" s="74">
        <f>VLOOKUP(D119,'FERC Interest Rate'!$A:$B,2,TRUE)</f>
        <v>5.0023470000000007E-2</v>
      </c>
      <c r="G119" s="75">
        <f t="shared" si="38"/>
        <v>180.48993701306588</v>
      </c>
      <c r="H119" s="75">
        <v>0</v>
      </c>
      <c r="I119" s="99">
        <f t="shared" si="45"/>
        <v>4.7133123376886772</v>
      </c>
      <c r="J119" s="76">
        <f t="shared" si="46"/>
        <v>2.2262629190486281</v>
      </c>
      <c r="K119" s="116">
        <f t="shared" si="39"/>
        <v>6.9395752567373048</v>
      </c>
      <c r="L119" s="76">
        <f t="shared" si="47"/>
        <v>55.45</v>
      </c>
      <c r="M119" s="117">
        <f t="shared" si="40"/>
        <v>62.389575256737309</v>
      </c>
      <c r="N119" s="8">
        <f t="shared" si="41"/>
        <v>182.71619993211451</v>
      </c>
      <c r="O119" s="75">
        <f t="shared" si="36"/>
        <v>120.3266246753772</v>
      </c>
    </row>
    <row r="120" spans="1:15" x14ac:dyDescent="0.25">
      <c r="A120" s="17" t="s">
        <v>70</v>
      </c>
      <c r="B120" s="72" t="str">
        <f>+IF(MONTH(C120)&lt;4,"Q1",IF(MONTH(C120)&lt;7,"Q2",IF(MONTH(C120)&lt;10,"Q3","Q4")))&amp;"/"&amp;YEAR(C120)</f>
        <v>Q2/2021</v>
      </c>
      <c r="C120" s="73">
        <f>D119+1</f>
        <v>44287</v>
      </c>
      <c r="D120" s="73">
        <f t="shared" si="43"/>
        <v>44377</v>
      </c>
      <c r="E120" s="72">
        <f>D120-C120+1</f>
        <v>91</v>
      </c>
      <c r="F120" s="74">
        <f>VLOOKUP(D120,'FERC Interest Rate'!$A:$B,2,TRUE)</f>
        <v>5.0403730000000001E-2</v>
      </c>
      <c r="G120" s="75">
        <f>O119</f>
        <v>120.3266246753772</v>
      </c>
      <c r="H120" s="75">
        <v>0</v>
      </c>
      <c r="I120" s="99">
        <f t="shared" si="45"/>
        <v>4.7133123376886772</v>
      </c>
      <c r="J120" s="76">
        <f>G120*F120*(E120/(DATE(YEAR(D120),12,31)-DATE(YEAR(D120),1,1)+1))</f>
        <v>1.51207362706127</v>
      </c>
      <c r="K120" s="116">
        <f>+SUM(I120:J120)</f>
        <v>6.2253859647499468</v>
      </c>
      <c r="L120" s="76">
        <f>VLOOKUP($B$94,A$1:F$25,5,FALSE)/20</f>
        <v>55.45</v>
      </c>
      <c r="M120" s="117">
        <f>+SUM(K120:L120)</f>
        <v>61.67538596474995</v>
      </c>
      <c r="N120" s="8">
        <f>+G120+H120+J120</f>
        <v>121.83869830243847</v>
      </c>
      <c r="O120" s="75">
        <f>G120+H120-L120-I120</f>
        <v>60.163312337688524</v>
      </c>
    </row>
    <row r="121" spans="1:15" x14ac:dyDescent="0.25">
      <c r="A121" s="17" t="s">
        <v>71</v>
      </c>
      <c r="B121" s="72" t="str">
        <f>+IF(MONTH(C121)&lt;4,"Q1",IF(MONTH(C121)&lt;7,"Q2",IF(MONTH(C121)&lt;10,"Q3","Q4")))&amp;"/"&amp;YEAR(C121)</f>
        <v>Q3/2021</v>
      </c>
      <c r="C121" s="73">
        <f>D120+1</f>
        <v>44378</v>
      </c>
      <c r="D121" s="73">
        <f t="shared" si="43"/>
        <v>44469</v>
      </c>
      <c r="E121" s="72">
        <f>D121-C121+1</f>
        <v>92</v>
      </c>
      <c r="F121" s="74">
        <f>VLOOKUP(D121,'FERC Interest Rate'!$A:$B,2,TRUE)</f>
        <v>5.2520850000000001E-2</v>
      </c>
      <c r="G121" s="75">
        <f>O120</f>
        <v>60.163312337688524</v>
      </c>
      <c r="H121" s="75">
        <v>0</v>
      </c>
      <c r="I121" s="99">
        <f t="shared" si="45"/>
        <v>4.7133123376886772</v>
      </c>
      <c r="J121" s="76">
        <f>G121*F121*(E121/(DATE(YEAR(D121),12,31)-DATE(YEAR(D121),1,1)+1))</f>
        <v>0.79644987358016917</v>
      </c>
      <c r="K121" s="116">
        <f>+SUM(I121:J121)</f>
        <v>5.5097622112688462</v>
      </c>
      <c r="L121" s="76">
        <f>VLOOKUP($B$94,A$1:F$25,5,FALSE)/20</f>
        <v>55.45</v>
      </c>
      <c r="M121" s="117">
        <f>+SUM(K121:L121)</f>
        <v>60.959762211268853</v>
      </c>
      <c r="N121" s="8">
        <f>+G121+H121+J121</f>
        <v>60.959762211268696</v>
      </c>
      <c r="O121" s="75">
        <f>G121+H121-L121-I121</f>
        <v>-1.5631940186722204E-13</v>
      </c>
    </row>
    <row r="122" spans="1:15" x14ac:dyDescent="0.25">
      <c r="A122" s="78"/>
      <c r="B122" s="72"/>
      <c r="C122" s="73"/>
      <c r="D122" s="73"/>
      <c r="E122" s="72"/>
      <c r="F122" s="74"/>
      <c r="G122" s="75"/>
      <c r="H122" s="75"/>
      <c r="I122" s="99"/>
      <c r="J122" s="76"/>
      <c r="K122" s="116"/>
      <c r="L122" s="76"/>
      <c r="M122" s="117"/>
      <c r="N122" s="8"/>
      <c r="O122" s="75"/>
    </row>
    <row r="123" spans="1:15" ht="13.5" thickBot="1" x14ac:dyDescent="0.35">
      <c r="A123" s="142"/>
      <c r="B123" s="143"/>
      <c r="C123" s="144"/>
      <c r="D123" s="144"/>
      <c r="E123" s="145"/>
      <c r="F123" s="143"/>
      <c r="G123" s="124">
        <f t="shared" ref="G123:O123" si="48">SUM(G93:G122)</f>
        <v>22925.277851883515</v>
      </c>
      <c r="H123" s="124">
        <f t="shared" si="48"/>
        <v>94.266246753773544</v>
      </c>
      <c r="I123" s="125">
        <f t="shared" si="48"/>
        <v>94.266246753773544</v>
      </c>
      <c r="J123" s="124">
        <f t="shared" si="48"/>
        <v>128.61350635265987</v>
      </c>
      <c r="K123" s="124">
        <f t="shared" si="48"/>
        <v>222.87975310643341</v>
      </c>
      <c r="L123" s="124">
        <f t="shared" si="48"/>
        <v>1109.0000000000005</v>
      </c>
      <c r="M123" s="126">
        <f t="shared" si="48"/>
        <v>1331.8797531064336</v>
      </c>
      <c r="N123" s="124">
        <f t="shared" si="48"/>
        <v>23148.157604989949</v>
      </c>
      <c r="O123" s="124">
        <f t="shared" si="48"/>
        <v>21816.277851883515</v>
      </c>
    </row>
    <row r="124" spans="1:15" ht="13" thickTop="1" x14ac:dyDescent="0.25">
      <c r="B124" s="103"/>
      <c r="C124" s="103"/>
      <c r="D124" s="103"/>
      <c r="E124" s="103"/>
      <c r="F124" s="103"/>
      <c r="G124" s="103"/>
      <c r="H124" s="103"/>
      <c r="I124" s="102"/>
      <c r="J124" s="103"/>
      <c r="K124" s="103"/>
      <c r="L124" s="103"/>
      <c r="M124" s="118"/>
      <c r="O124" s="103"/>
    </row>
    <row r="125" spans="1:15" ht="52" x14ac:dyDescent="0.3">
      <c r="A125" s="77" t="s">
        <v>51</v>
      </c>
      <c r="B125" s="77" t="s">
        <v>3</v>
      </c>
      <c r="C125" s="77" t="s">
        <v>4</v>
      </c>
      <c r="D125" s="77" t="s">
        <v>5</v>
      </c>
      <c r="E125" s="77" t="s">
        <v>6</v>
      </c>
      <c r="F125" s="77" t="s">
        <v>7</v>
      </c>
      <c r="G125" s="77" t="s">
        <v>92</v>
      </c>
      <c r="H125" s="77" t="s">
        <v>93</v>
      </c>
      <c r="I125" s="94" t="s">
        <v>94</v>
      </c>
      <c r="J125" s="95" t="s">
        <v>95</v>
      </c>
      <c r="K125" s="95" t="s">
        <v>96</v>
      </c>
      <c r="L125" s="95" t="s">
        <v>97</v>
      </c>
      <c r="M125" s="96" t="s">
        <v>98</v>
      </c>
      <c r="N125" s="77" t="s">
        <v>99</v>
      </c>
      <c r="O125" s="77" t="s">
        <v>100</v>
      </c>
    </row>
    <row r="126" spans="1:15" ht="13" x14ac:dyDescent="0.3">
      <c r="A126" s="347" t="s">
        <v>14</v>
      </c>
      <c r="B126" s="347"/>
      <c r="C126" s="73">
        <f>VLOOKUP(B127,A$1:F$25,2,FALSE)</f>
        <v>41857</v>
      </c>
      <c r="D126" s="73">
        <f>DATE(YEAR(C126),IF(MONTH(C126)&lt;=3,3,IF(MONTH(C126)&lt;=6,6,IF(MONTH(C126)&lt;=9,9,12))),IF(OR(MONTH(C126)&lt;=3,MONTH(C126)&gt;=10),31,30))</f>
        <v>41912</v>
      </c>
      <c r="E126" s="72">
        <f>D126-C126+1</f>
        <v>56</v>
      </c>
      <c r="F126" s="74">
        <f>VLOOKUP(D126,'FERC Interest Rate'!$A:$B,2,TRUE)</f>
        <v>3.2500000000000001E-2</v>
      </c>
      <c r="G126" s="75">
        <f>VLOOKUP(B127,$A$1:$F$25,5,FALSE)</f>
        <v>1383</v>
      </c>
      <c r="H126" s="75">
        <f t="shared" ref="H126:H135" si="49">G126*F126*(E126/(DATE(YEAR(D126),12,31)-DATE(YEAR(D126),1,1)+1))</f>
        <v>6.8960547945205484</v>
      </c>
      <c r="I126" s="180">
        <v>0</v>
      </c>
      <c r="J126" s="76">
        <v>0</v>
      </c>
      <c r="K126" s="116">
        <f t="shared" ref="K126:K151" si="50">+SUM(I126:J126)</f>
        <v>0</v>
      </c>
      <c r="L126" s="76">
        <v>0</v>
      </c>
      <c r="M126" s="117">
        <f t="shared" ref="M126:M151" si="51">+SUM(K126:L126)</f>
        <v>0</v>
      </c>
      <c r="N126" s="8">
        <f t="shared" ref="N126:N151" si="52">+G126+H126+J126</f>
        <v>1389.8960547945205</v>
      </c>
      <c r="O126" s="75">
        <f t="shared" ref="O126:O151" si="53">G126+H126-L126-I126</f>
        <v>1389.8960547945205</v>
      </c>
    </row>
    <row r="127" spans="1:15" ht="13" x14ac:dyDescent="0.3">
      <c r="A127" s="110" t="s">
        <v>40</v>
      </c>
      <c r="B127" s="141" t="s">
        <v>54</v>
      </c>
      <c r="C127" s="73">
        <f>D126+1</f>
        <v>41913</v>
      </c>
      <c r="D127" s="73">
        <f>EOMONTH(D126,3)</f>
        <v>42004</v>
      </c>
      <c r="E127" s="72">
        <f t="shared" ref="E127:E151" si="54">D127-C127+1</f>
        <v>92</v>
      </c>
      <c r="F127" s="74">
        <f>VLOOKUP(D127,'FERC Interest Rate'!$A:$B,2,TRUE)</f>
        <v>3.2500000000000001E-2</v>
      </c>
      <c r="G127" s="75">
        <f t="shared" ref="G127:G151" si="55">O126</f>
        <v>1389.8960547945205</v>
      </c>
      <c r="H127" s="75">
        <f t="shared" si="49"/>
        <v>11.385723846124977</v>
      </c>
      <c r="I127" s="180">
        <v>0</v>
      </c>
      <c r="J127" s="76">
        <v>0</v>
      </c>
      <c r="K127" s="116">
        <f t="shared" si="50"/>
        <v>0</v>
      </c>
      <c r="L127" s="76">
        <v>0</v>
      </c>
      <c r="M127" s="117">
        <f t="shared" si="51"/>
        <v>0</v>
      </c>
      <c r="N127" s="8">
        <f t="shared" si="52"/>
        <v>1401.2817786406456</v>
      </c>
      <c r="O127" s="75">
        <f t="shared" si="53"/>
        <v>1401.2817786406456</v>
      </c>
    </row>
    <row r="128" spans="1:15" ht="13" x14ac:dyDescent="0.3">
      <c r="B128" s="301"/>
      <c r="C128" s="73">
        <f t="shared" ref="C128:C151" si="56">D127+1</f>
        <v>42005</v>
      </c>
      <c r="D128" s="73">
        <f t="shared" ref="D128:D154" si="57">EOMONTH(D127,3)</f>
        <v>42094</v>
      </c>
      <c r="E128" s="72">
        <f t="shared" si="54"/>
        <v>90</v>
      </c>
      <c r="F128" s="74">
        <f>VLOOKUP(D128,'FERC Interest Rate'!$A:$B,2,TRUE)</f>
        <v>3.2500000000000001E-2</v>
      </c>
      <c r="G128" s="75">
        <f t="shared" si="55"/>
        <v>1401.2817786406456</v>
      </c>
      <c r="H128" s="75">
        <f t="shared" si="49"/>
        <v>11.229449869928461</v>
      </c>
      <c r="I128" s="180">
        <v>0</v>
      </c>
      <c r="J128" s="76">
        <v>0</v>
      </c>
      <c r="K128" s="116">
        <f t="shared" si="50"/>
        <v>0</v>
      </c>
      <c r="L128" s="76">
        <v>0</v>
      </c>
      <c r="M128" s="117">
        <f t="shared" si="51"/>
        <v>0</v>
      </c>
      <c r="N128" s="8">
        <f t="shared" si="52"/>
        <v>1412.511228510574</v>
      </c>
      <c r="O128" s="75">
        <f t="shared" si="53"/>
        <v>1412.511228510574</v>
      </c>
    </row>
    <row r="129" spans="1:15" ht="13" x14ac:dyDescent="0.3">
      <c r="B129" s="301"/>
      <c r="C129" s="73">
        <f t="shared" si="56"/>
        <v>42095</v>
      </c>
      <c r="D129" s="73">
        <f t="shared" si="57"/>
        <v>42185</v>
      </c>
      <c r="E129" s="72">
        <f t="shared" si="54"/>
        <v>91</v>
      </c>
      <c r="F129" s="74">
        <f>VLOOKUP(D129,'FERC Interest Rate'!$A:$B,2,TRUE)</f>
        <v>3.2500000000000001E-2</v>
      </c>
      <c r="G129" s="75">
        <f t="shared" si="55"/>
        <v>1412.511228510574</v>
      </c>
      <c r="H129" s="75">
        <f t="shared" si="49"/>
        <v>11.44521084471239</v>
      </c>
      <c r="I129" s="180">
        <v>0</v>
      </c>
      <c r="J129" s="76">
        <v>0</v>
      </c>
      <c r="K129" s="116">
        <f t="shared" si="50"/>
        <v>0</v>
      </c>
      <c r="L129" s="76">
        <v>0</v>
      </c>
      <c r="M129" s="117">
        <f t="shared" si="51"/>
        <v>0</v>
      </c>
      <c r="N129" s="8">
        <f t="shared" si="52"/>
        <v>1423.9564393552864</v>
      </c>
      <c r="O129" s="75">
        <f t="shared" si="53"/>
        <v>1423.9564393552864</v>
      </c>
    </row>
    <row r="130" spans="1:15" ht="13" x14ac:dyDescent="0.3">
      <c r="B130" s="301"/>
      <c r="C130" s="73">
        <f t="shared" si="56"/>
        <v>42186</v>
      </c>
      <c r="D130" s="73">
        <f t="shared" si="57"/>
        <v>42277</v>
      </c>
      <c r="E130" s="72">
        <f t="shared" si="54"/>
        <v>92</v>
      </c>
      <c r="F130" s="74">
        <f>VLOOKUP(D130,'FERC Interest Rate'!$A:$B,2,TRUE)</f>
        <v>3.2500000000000001E-2</v>
      </c>
      <c r="G130" s="75">
        <f t="shared" si="55"/>
        <v>1423.9564393552864</v>
      </c>
      <c r="H130" s="75">
        <f t="shared" si="49"/>
        <v>11.664739051157005</v>
      </c>
      <c r="I130" s="180">
        <v>0</v>
      </c>
      <c r="J130" s="76">
        <v>0</v>
      </c>
      <c r="K130" s="116">
        <f t="shared" si="50"/>
        <v>0</v>
      </c>
      <c r="L130" s="76">
        <v>0</v>
      </c>
      <c r="M130" s="117">
        <f t="shared" si="51"/>
        <v>0</v>
      </c>
      <c r="N130" s="8">
        <f t="shared" si="52"/>
        <v>1435.6211784064435</v>
      </c>
      <c r="O130" s="75">
        <f t="shared" si="53"/>
        <v>1435.6211784064435</v>
      </c>
    </row>
    <row r="131" spans="1:15" ht="13" x14ac:dyDescent="0.3">
      <c r="B131" s="301"/>
      <c r="C131" s="300">
        <f t="shared" si="56"/>
        <v>42278</v>
      </c>
      <c r="D131" s="300">
        <f t="shared" si="57"/>
        <v>42369</v>
      </c>
      <c r="E131" s="301">
        <f t="shared" si="54"/>
        <v>92</v>
      </c>
      <c r="F131" s="302">
        <f>VLOOKUP(D131,'FERC Interest Rate'!$A:$B,2,TRUE)</f>
        <v>3.2500000000000001E-2</v>
      </c>
      <c r="G131" s="167">
        <f t="shared" si="55"/>
        <v>1435.6211784064435</v>
      </c>
      <c r="H131" s="167">
        <f t="shared" si="49"/>
        <v>11.760294036808949</v>
      </c>
      <c r="I131" s="319">
        <v>0</v>
      </c>
      <c r="J131" s="304">
        <v>0</v>
      </c>
      <c r="K131" s="305">
        <f t="shared" si="50"/>
        <v>0</v>
      </c>
      <c r="L131" s="304">
        <v>0</v>
      </c>
      <c r="M131" s="306">
        <f t="shared" si="51"/>
        <v>0</v>
      </c>
      <c r="N131" s="307">
        <f t="shared" si="52"/>
        <v>1447.3814724432525</v>
      </c>
      <c r="O131" s="167">
        <f t="shared" si="53"/>
        <v>1447.3814724432525</v>
      </c>
    </row>
    <row r="132" spans="1:15" ht="13" x14ac:dyDescent="0.3">
      <c r="B132" s="72"/>
      <c r="C132" s="300">
        <f t="shared" si="56"/>
        <v>42370</v>
      </c>
      <c r="D132" s="300">
        <f t="shared" si="57"/>
        <v>42460</v>
      </c>
      <c r="E132" s="301">
        <f t="shared" si="54"/>
        <v>91</v>
      </c>
      <c r="F132" s="302">
        <f>VLOOKUP(D132,'FERC Interest Rate'!$A:$B,2,TRUE)</f>
        <v>3.2500000000000001E-2</v>
      </c>
      <c r="G132" s="167">
        <f t="shared" si="55"/>
        <v>1447.3814724432525</v>
      </c>
      <c r="H132" s="167">
        <f t="shared" si="49"/>
        <v>11.695712308062621</v>
      </c>
      <c r="I132" s="319">
        <v>0</v>
      </c>
      <c r="J132" s="304">
        <v>0</v>
      </c>
      <c r="K132" s="305">
        <f t="shared" si="50"/>
        <v>0</v>
      </c>
      <c r="L132" s="304">
        <v>0</v>
      </c>
      <c r="M132" s="306">
        <f t="shared" si="51"/>
        <v>0</v>
      </c>
      <c r="N132" s="307">
        <f t="shared" si="52"/>
        <v>1459.0771847513151</v>
      </c>
      <c r="O132" s="167">
        <f t="shared" si="53"/>
        <v>1459.0771847513151</v>
      </c>
    </row>
    <row r="133" spans="1:15" ht="13" x14ac:dyDescent="0.3">
      <c r="A133" s="78"/>
      <c r="B133" s="72"/>
      <c r="C133" s="73">
        <f t="shared" si="56"/>
        <v>42461</v>
      </c>
      <c r="D133" s="73">
        <f t="shared" si="57"/>
        <v>42551</v>
      </c>
      <c r="E133" s="72">
        <f t="shared" si="54"/>
        <v>91</v>
      </c>
      <c r="F133" s="74">
        <f>VLOOKUP(D133,'FERC Interest Rate'!$A:$B,2,TRUE)</f>
        <v>3.4599999999999999E-2</v>
      </c>
      <c r="G133" s="75">
        <f t="shared" si="55"/>
        <v>1459.0771847513151</v>
      </c>
      <c r="H133" s="167">
        <f t="shared" si="49"/>
        <v>12.552050338546422</v>
      </c>
      <c r="I133" s="99">
        <v>0</v>
      </c>
      <c r="J133" s="304">
        <v>0</v>
      </c>
      <c r="K133" s="116">
        <f t="shared" si="50"/>
        <v>0</v>
      </c>
      <c r="L133" s="76">
        <v>0</v>
      </c>
      <c r="M133" s="117">
        <f t="shared" si="51"/>
        <v>0</v>
      </c>
      <c r="N133" s="8">
        <f t="shared" si="52"/>
        <v>1471.6292350898616</v>
      </c>
      <c r="O133" s="75">
        <f t="shared" si="53"/>
        <v>1471.6292350898616</v>
      </c>
    </row>
    <row r="134" spans="1:15" x14ac:dyDescent="0.25">
      <c r="A134" s="78"/>
      <c r="B134" s="72"/>
      <c r="C134" s="73">
        <f t="shared" si="56"/>
        <v>42552</v>
      </c>
      <c r="D134" s="73">
        <f t="shared" si="57"/>
        <v>42643</v>
      </c>
      <c r="E134" s="72">
        <f t="shared" si="54"/>
        <v>92</v>
      </c>
      <c r="F134" s="74">
        <f>VLOOKUP(D134,'FERC Interest Rate'!$A:$B,2,TRUE)</f>
        <v>3.5000000000000003E-2</v>
      </c>
      <c r="G134" s="75">
        <f t="shared" si="55"/>
        <v>1471.6292350898616</v>
      </c>
      <c r="H134" s="75">
        <f t="shared" si="49"/>
        <v>12.947120592867089</v>
      </c>
      <c r="I134" s="99">
        <v>0</v>
      </c>
      <c r="J134" s="76">
        <v>0</v>
      </c>
      <c r="K134" s="116">
        <f t="shared" si="50"/>
        <v>0</v>
      </c>
      <c r="L134" s="76">
        <v>0</v>
      </c>
      <c r="M134" s="117">
        <f t="shared" si="51"/>
        <v>0</v>
      </c>
      <c r="N134" s="8">
        <f t="shared" si="52"/>
        <v>1484.5763556827287</v>
      </c>
      <c r="O134" s="75">
        <f t="shared" si="53"/>
        <v>1484.5763556827287</v>
      </c>
    </row>
    <row r="135" spans="1:15" x14ac:dyDescent="0.25">
      <c r="A135" s="17" t="s">
        <v>52</v>
      </c>
      <c r="B135" s="72" t="str">
        <f t="shared" ref="B135:B149" si="58">+IF(MONTH(C135)&lt;4,"Q1",IF(MONTH(C135)&lt;7,"Q2",IF(MONTH(C135)&lt;10,"Q3","Q4")))&amp;"/"&amp;YEAR(C135)</f>
        <v>Q4/2016</v>
      </c>
      <c r="C135" s="73">
        <f t="shared" si="56"/>
        <v>42644</v>
      </c>
      <c r="D135" s="73">
        <f t="shared" si="57"/>
        <v>42735</v>
      </c>
      <c r="E135" s="72">
        <f t="shared" si="54"/>
        <v>92</v>
      </c>
      <c r="F135" s="74">
        <f>VLOOKUP(D135,'FERC Interest Rate'!$A:$B,2,TRUE)</f>
        <v>3.5000000000000003E-2</v>
      </c>
      <c r="G135" s="75">
        <f t="shared" si="55"/>
        <v>1484.5763556827287</v>
      </c>
      <c r="H135" s="75">
        <f t="shared" si="49"/>
        <v>13.061026954367177</v>
      </c>
      <c r="I135" s="99">
        <f>SUM($H$126:$H$155)/20</f>
        <v>5.7318691318547828</v>
      </c>
      <c r="J135" s="76">
        <v>0</v>
      </c>
      <c r="K135" s="116">
        <f t="shared" si="50"/>
        <v>5.7318691318547828</v>
      </c>
      <c r="L135" s="76">
        <f>VLOOKUP($B$127,A$1:F$25,5,FALSE)/20</f>
        <v>69.150000000000006</v>
      </c>
      <c r="M135" s="117">
        <f t="shared" si="51"/>
        <v>74.881869131854785</v>
      </c>
      <c r="N135" s="8">
        <f t="shared" si="52"/>
        <v>1497.6373826370959</v>
      </c>
      <c r="O135" s="75">
        <f t="shared" si="53"/>
        <v>1422.755513505241</v>
      </c>
    </row>
    <row r="136" spans="1:15" x14ac:dyDescent="0.25">
      <c r="A136" s="17" t="s">
        <v>53</v>
      </c>
      <c r="B136" s="72" t="str">
        <f t="shared" si="58"/>
        <v>Q1/2017</v>
      </c>
      <c r="C136" s="73">
        <f t="shared" si="56"/>
        <v>42736</v>
      </c>
      <c r="D136" s="73">
        <f t="shared" si="57"/>
        <v>42825</v>
      </c>
      <c r="E136" s="72">
        <f t="shared" si="54"/>
        <v>90</v>
      </c>
      <c r="F136" s="74">
        <f>VLOOKUP(D136,'FERC Interest Rate'!$A:$B,2,TRUE)</f>
        <v>3.5000000000000003E-2</v>
      </c>
      <c r="G136" s="75">
        <f t="shared" si="55"/>
        <v>1422.755513505241</v>
      </c>
      <c r="H136" s="75">
        <v>0</v>
      </c>
      <c r="I136" s="99">
        <f>SUM($H$126:$H$155)/20</f>
        <v>5.7318691318547828</v>
      </c>
      <c r="J136" s="76">
        <f t="shared" ref="J136:J152" si="59">G136*F136*(E136/(DATE(YEAR(D136),12,31)-DATE(YEAR(D136),1,1)+1))</f>
        <v>12.278574979565779</v>
      </c>
      <c r="K136" s="116">
        <f t="shared" si="50"/>
        <v>18.010444111420561</v>
      </c>
      <c r="L136" s="76">
        <f>VLOOKUP($B$127,A$1:F$25,5,FALSE)/20</f>
        <v>69.150000000000006</v>
      </c>
      <c r="M136" s="117">
        <f t="shared" si="51"/>
        <v>87.16044411142056</v>
      </c>
      <c r="N136" s="8">
        <f t="shared" si="52"/>
        <v>1435.0340884848067</v>
      </c>
      <c r="O136" s="75">
        <f t="shared" si="53"/>
        <v>1347.873644373386</v>
      </c>
    </row>
    <row r="137" spans="1:15" x14ac:dyDescent="0.25">
      <c r="A137" s="17" t="s">
        <v>54</v>
      </c>
      <c r="B137" s="72" t="str">
        <f t="shared" si="58"/>
        <v>Q2/2017</v>
      </c>
      <c r="C137" s="73">
        <f t="shared" si="56"/>
        <v>42826</v>
      </c>
      <c r="D137" s="73">
        <f t="shared" si="57"/>
        <v>42916</v>
      </c>
      <c r="E137" s="72">
        <f t="shared" si="54"/>
        <v>91</v>
      </c>
      <c r="F137" s="74">
        <f>VLOOKUP(D137,'FERC Interest Rate'!$A:$B,2,TRUE)</f>
        <v>3.7100000000000001E-2</v>
      </c>
      <c r="G137" s="75">
        <f t="shared" si="55"/>
        <v>1347.873644373386</v>
      </c>
      <c r="H137" s="75">
        <v>0</v>
      </c>
      <c r="I137" s="99">
        <f t="shared" ref="I137:I154" si="60">SUM($H$126:$H$155)/20</f>
        <v>5.7318691318547828</v>
      </c>
      <c r="J137" s="76">
        <f t="shared" si="59"/>
        <v>12.467277289778051</v>
      </c>
      <c r="K137" s="116">
        <f t="shared" si="50"/>
        <v>18.199146421632832</v>
      </c>
      <c r="L137" s="76">
        <f>VLOOKUP($B$127,A$1:F$25,5,FALSE)/20</f>
        <v>69.150000000000006</v>
      </c>
      <c r="M137" s="117">
        <f t="shared" si="51"/>
        <v>87.349146421632838</v>
      </c>
      <c r="N137" s="8">
        <f t="shared" si="52"/>
        <v>1360.340921663164</v>
      </c>
      <c r="O137" s="75">
        <f t="shared" si="53"/>
        <v>1272.9917752415311</v>
      </c>
    </row>
    <row r="138" spans="1:15" x14ac:dyDescent="0.25">
      <c r="A138" s="17" t="s">
        <v>55</v>
      </c>
      <c r="B138" s="72" t="str">
        <f t="shared" si="58"/>
        <v>Q3/2017</v>
      </c>
      <c r="C138" s="73">
        <f t="shared" si="56"/>
        <v>42917</v>
      </c>
      <c r="D138" s="73">
        <f t="shared" si="57"/>
        <v>43008</v>
      </c>
      <c r="E138" s="72">
        <f t="shared" si="54"/>
        <v>92</v>
      </c>
      <c r="F138" s="74">
        <f>VLOOKUP(D138,'FERC Interest Rate'!$A:$B,2,TRUE)</f>
        <v>3.9600000000000003E-2</v>
      </c>
      <c r="G138" s="75">
        <f t="shared" si="55"/>
        <v>1272.9917752415311</v>
      </c>
      <c r="H138" s="75">
        <v>0</v>
      </c>
      <c r="I138" s="99">
        <f t="shared" si="60"/>
        <v>5.7318691318547828</v>
      </c>
      <c r="J138" s="76">
        <f t="shared" si="59"/>
        <v>12.706201741260127</v>
      </c>
      <c r="K138" s="116">
        <f t="shared" si="50"/>
        <v>18.43807087311491</v>
      </c>
      <c r="L138" s="76">
        <f t="shared" ref="L138:L152" si="61">VLOOKUP($B$127,A$1:F$25,5,FALSE)/20</f>
        <v>69.150000000000006</v>
      </c>
      <c r="M138" s="117">
        <f t="shared" si="51"/>
        <v>87.588070873114916</v>
      </c>
      <c r="N138" s="8">
        <f t="shared" si="52"/>
        <v>1285.6979769827913</v>
      </c>
      <c r="O138" s="75">
        <f t="shared" si="53"/>
        <v>1198.1099061096761</v>
      </c>
    </row>
    <row r="139" spans="1:15" x14ac:dyDescent="0.25">
      <c r="A139" s="17" t="s">
        <v>56</v>
      </c>
      <c r="B139" s="72" t="str">
        <f t="shared" si="58"/>
        <v>Q4/2017</v>
      </c>
      <c r="C139" s="73">
        <f t="shared" si="56"/>
        <v>43009</v>
      </c>
      <c r="D139" s="73">
        <f t="shared" si="57"/>
        <v>43100</v>
      </c>
      <c r="E139" s="72">
        <f t="shared" si="54"/>
        <v>92</v>
      </c>
      <c r="F139" s="74">
        <f>VLOOKUP(D139,'FERC Interest Rate'!$A:$B,2,TRUE)</f>
        <v>4.2099999999999999E-2</v>
      </c>
      <c r="G139" s="75">
        <f t="shared" si="55"/>
        <v>1198.1099061096761</v>
      </c>
      <c r="H139" s="75">
        <v>0</v>
      </c>
      <c r="I139" s="99">
        <f t="shared" si="60"/>
        <v>5.7318691318547828</v>
      </c>
      <c r="J139" s="76">
        <f t="shared" si="59"/>
        <v>12.713751474915062</v>
      </c>
      <c r="K139" s="116">
        <f t="shared" si="50"/>
        <v>18.445620606769843</v>
      </c>
      <c r="L139" s="76">
        <f t="shared" si="61"/>
        <v>69.150000000000006</v>
      </c>
      <c r="M139" s="117">
        <f t="shared" si="51"/>
        <v>87.595620606769842</v>
      </c>
      <c r="N139" s="8">
        <f t="shared" si="52"/>
        <v>1210.8236575845913</v>
      </c>
      <c r="O139" s="75">
        <f t="shared" si="53"/>
        <v>1123.2280369778211</v>
      </c>
    </row>
    <row r="140" spans="1:15" x14ac:dyDescent="0.25">
      <c r="A140" s="17" t="s">
        <v>57</v>
      </c>
      <c r="B140" s="72" t="str">
        <f t="shared" si="58"/>
        <v>Q1/2018</v>
      </c>
      <c r="C140" s="73">
        <f t="shared" si="56"/>
        <v>43101</v>
      </c>
      <c r="D140" s="73">
        <f t="shared" si="57"/>
        <v>43190</v>
      </c>
      <c r="E140" s="72">
        <f t="shared" si="54"/>
        <v>90</v>
      </c>
      <c r="F140" s="74">
        <f>VLOOKUP(D140,'FERC Interest Rate'!$A:$B,2,TRUE)</f>
        <v>4.2500000000000003E-2</v>
      </c>
      <c r="G140" s="75">
        <f t="shared" si="55"/>
        <v>1123.2280369778211</v>
      </c>
      <c r="H140" s="75">
        <v>0</v>
      </c>
      <c r="I140" s="99">
        <f t="shared" si="60"/>
        <v>5.7318691318547828</v>
      </c>
      <c r="J140" s="76">
        <f t="shared" si="59"/>
        <v>11.770814360110045</v>
      </c>
      <c r="K140" s="116">
        <f t="shared" si="50"/>
        <v>17.502683491964827</v>
      </c>
      <c r="L140" s="76">
        <f t="shared" si="61"/>
        <v>69.150000000000006</v>
      </c>
      <c r="M140" s="117">
        <f t="shared" si="51"/>
        <v>86.652683491964837</v>
      </c>
      <c r="N140" s="8">
        <f t="shared" si="52"/>
        <v>1134.9988513379312</v>
      </c>
      <c r="O140" s="75">
        <f t="shared" si="53"/>
        <v>1048.3461678459662</v>
      </c>
    </row>
    <row r="141" spans="1:15" x14ac:dyDescent="0.25">
      <c r="A141" s="17" t="s">
        <v>58</v>
      </c>
      <c r="B141" s="72" t="str">
        <f t="shared" si="58"/>
        <v>Q2/2018</v>
      </c>
      <c r="C141" s="73">
        <f t="shared" si="56"/>
        <v>43191</v>
      </c>
      <c r="D141" s="73">
        <f t="shared" si="57"/>
        <v>43281</v>
      </c>
      <c r="E141" s="72">
        <f t="shared" si="54"/>
        <v>91</v>
      </c>
      <c r="F141" s="74">
        <f>VLOOKUP(D141,'FERC Interest Rate'!$A:$B,2,TRUE)</f>
        <v>4.4699999999999997E-2</v>
      </c>
      <c r="G141" s="75">
        <f t="shared" si="55"/>
        <v>1048.3461678459662</v>
      </c>
      <c r="H141" s="75">
        <v>0</v>
      </c>
      <c r="I141" s="99">
        <f t="shared" si="60"/>
        <v>5.7318691318547828</v>
      </c>
      <c r="J141" s="76">
        <f t="shared" si="59"/>
        <v>11.683171799854893</v>
      </c>
      <c r="K141" s="116">
        <f t="shared" si="50"/>
        <v>17.415040931709676</v>
      </c>
      <c r="L141" s="76">
        <f t="shared" si="61"/>
        <v>69.150000000000006</v>
      </c>
      <c r="M141" s="117">
        <f t="shared" si="51"/>
        <v>86.565040931709689</v>
      </c>
      <c r="N141" s="8">
        <f t="shared" si="52"/>
        <v>1060.029339645821</v>
      </c>
      <c r="O141" s="75">
        <f t="shared" si="53"/>
        <v>973.46429871411146</v>
      </c>
    </row>
    <row r="142" spans="1:15" x14ac:dyDescent="0.25">
      <c r="A142" s="17" t="s">
        <v>59</v>
      </c>
      <c r="B142" s="72" t="str">
        <f t="shared" si="58"/>
        <v>Q3/2018</v>
      </c>
      <c r="C142" s="73">
        <f t="shared" si="56"/>
        <v>43282</v>
      </c>
      <c r="D142" s="73">
        <f t="shared" si="57"/>
        <v>43373</v>
      </c>
      <c r="E142" s="72">
        <f t="shared" si="54"/>
        <v>92</v>
      </c>
      <c r="F142" s="74">
        <f>VLOOKUP(D142,'FERC Interest Rate'!$A:$B,2,TRUE)</f>
        <v>4.6899999999999997E-2</v>
      </c>
      <c r="G142" s="75">
        <f t="shared" si="55"/>
        <v>973.46429871411146</v>
      </c>
      <c r="H142" s="75">
        <v>0</v>
      </c>
      <c r="I142" s="99">
        <f t="shared" si="60"/>
        <v>5.7318691318547828</v>
      </c>
      <c r="J142" s="76">
        <f t="shared" si="59"/>
        <v>11.507681523538762</v>
      </c>
      <c r="K142" s="116">
        <f t="shared" si="50"/>
        <v>17.239550655393543</v>
      </c>
      <c r="L142" s="76">
        <f t="shared" si="61"/>
        <v>69.150000000000006</v>
      </c>
      <c r="M142" s="117">
        <f t="shared" si="51"/>
        <v>86.389550655393549</v>
      </c>
      <c r="N142" s="8">
        <f t="shared" si="52"/>
        <v>984.9719802376502</v>
      </c>
      <c r="O142" s="75">
        <f t="shared" si="53"/>
        <v>898.58242958225674</v>
      </c>
    </row>
    <row r="143" spans="1:15" x14ac:dyDescent="0.25">
      <c r="A143" s="17" t="s">
        <v>60</v>
      </c>
      <c r="B143" s="72" t="str">
        <f t="shared" si="58"/>
        <v>Q4/2018</v>
      </c>
      <c r="C143" s="73">
        <f t="shared" si="56"/>
        <v>43374</v>
      </c>
      <c r="D143" s="73">
        <f t="shared" si="57"/>
        <v>43465</v>
      </c>
      <c r="E143" s="72">
        <f t="shared" si="54"/>
        <v>92</v>
      </c>
      <c r="F143" s="74">
        <f>VLOOKUP(D143,'FERC Interest Rate'!$A:$B,2,TRUE)</f>
        <v>4.9599999999999998E-2</v>
      </c>
      <c r="G143" s="75">
        <f t="shared" si="55"/>
        <v>898.58242958225674</v>
      </c>
      <c r="H143" s="75">
        <v>0</v>
      </c>
      <c r="I143" s="99">
        <f t="shared" si="60"/>
        <v>5.7318691318547828</v>
      </c>
      <c r="J143" s="76">
        <f t="shared" si="59"/>
        <v>11.234003678547271</v>
      </c>
      <c r="K143" s="116">
        <f t="shared" si="50"/>
        <v>16.965872810402054</v>
      </c>
      <c r="L143" s="76">
        <f t="shared" si="61"/>
        <v>69.150000000000006</v>
      </c>
      <c r="M143" s="117">
        <f t="shared" si="51"/>
        <v>86.115872810402067</v>
      </c>
      <c r="N143" s="8">
        <f t="shared" si="52"/>
        <v>909.81643326080405</v>
      </c>
      <c r="O143" s="75">
        <f t="shared" si="53"/>
        <v>823.70056045040201</v>
      </c>
    </row>
    <row r="144" spans="1:15" x14ac:dyDescent="0.25">
      <c r="A144" s="17" t="s">
        <v>61</v>
      </c>
      <c r="B144" s="72" t="str">
        <f t="shared" si="58"/>
        <v>Q1/2019</v>
      </c>
      <c r="C144" s="73">
        <f t="shared" si="56"/>
        <v>43466</v>
      </c>
      <c r="D144" s="73">
        <f t="shared" si="57"/>
        <v>43555</v>
      </c>
      <c r="E144" s="72">
        <f t="shared" si="54"/>
        <v>90</v>
      </c>
      <c r="F144" s="74">
        <f>VLOOKUP(D144,'FERC Interest Rate'!$A:$B,2,TRUE)</f>
        <v>5.1799999999999999E-2</v>
      </c>
      <c r="G144" s="75">
        <f t="shared" si="55"/>
        <v>823.70056045040201</v>
      </c>
      <c r="H144" s="75">
        <v>0</v>
      </c>
      <c r="I144" s="99">
        <f t="shared" si="60"/>
        <v>5.7318691318547828</v>
      </c>
      <c r="J144" s="76">
        <f t="shared" si="59"/>
        <v>10.520800035122669</v>
      </c>
      <c r="K144" s="116">
        <f t="shared" si="50"/>
        <v>16.252669166977451</v>
      </c>
      <c r="L144" s="76">
        <f t="shared" si="61"/>
        <v>69.150000000000006</v>
      </c>
      <c r="M144" s="117">
        <f t="shared" si="51"/>
        <v>85.402669166977461</v>
      </c>
      <c r="N144" s="8">
        <f t="shared" si="52"/>
        <v>834.22136048552466</v>
      </c>
      <c r="O144" s="75">
        <f t="shared" si="53"/>
        <v>748.81869131854728</v>
      </c>
    </row>
    <row r="145" spans="1:15" x14ac:dyDescent="0.25">
      <c r="A145" s="17" t="s">
        <v>62</v>
      </c>
      <c r="B145" s="72" t="str">
        <f t="shared" si="58"/>
        <v>Q2/2019</v>
      </c>
      <c r="C145" s="73">
        <f t="shared" si="56"/>
        <v>43556</v>
      </c>
      <c r="D145" s="73">
        <f t="shared" si="57"/>
        <v>43646</v>
      </c>
      <c r="E145" s="72">
        <f t="shared" si="54"/>
        <v>91</v>
      </c>
      <c r="F145" s="74">
        <f>VLOOKUP(D145,'FERC Interest Rate'!$A:$B,2,TRUE)</f>
        <v>5.45E-2</v>
      </c>
      <c r="G145" s="75">
        <f t="shared" si="55"/>
        <v>748.81869131854728</v>
      </c>
      <c r="H145" s="75">
        <v>0</v>
      </c>
      <c r="I145" s="99">
        <f t="shared" si="60"/>
        <v>5.7318691318547828</v>
      </c>
      <c r="J145" s="76">
        <f t="shared" si="59"/>
        <v>10.174702190669411</v>
      </c>
      <c r="K145" s="116">
        <f t="shared" si="50"/>
        <v>15.906571322524194</v>
      </c>
      <c r="L145" s="76">
        <f t="shared" si="61"/>
        <v>69.150000000000006</v>
      </c>
      <c r="M145" s="117">
        <f t="shared" si="51"/>
        <v>85.056571322524206</v>
      </c>
      <c r="N145" s="8">
        <f t="shared" si="52"/>
        <v>758.99339350921673</v>
      </c>
      <c r="O145" s="75">
        <f t="shared" si="53"/>
        <v>673.93682218669255</v>
      </c>
    </row>
    <row r="146" spans="1:15" x14ac:dyDescent="0.25">
      <c r="A146" s="17" t="s">
        <v>63</v>
      </c>
      <c r="B146" s="72" t="str">
        <f t="shared" si="58"/>
        <v>Q3/2019</v>
      </c>
      <c r="C146" s="73">
        <f t="shared" si="56"/>
        <v>43647</v>
      </c>
      <c r="D146" s="73">
        <f t="shared" si="57"/>
        <v>43738</v>
      </c>
      <c r="E146" s="72">
        <f t="shared" si="54"/>
        <v>92</v>
      </c>
      <c r="F146" s="74">
        <f>VLOOKUP(D146,'FERC Interest Rate'!$A:$B,2,TRUE)</f>
        <v>5.5E-2</v>
      </c>
      <c r="G146" s="75">
        <f t="shared" si="55"/>
        <v>673.93682218669255</v>
      </c>
      <c r="H146" s="75">
        <v>0</v>
      </c>
      <c r="I146" s="99">
        <f t="shared" si="60"/>
        <v>5.7318691318547828</v>
      </c>
      <c r="J146" s="76">
        <f t="shared" si="59"/>
        <v>9.3427953979853822</v>
      </c>
      <c r="K146" s="116">
        <f t="shared" si="50"/>
        <v>15.074664529840165</v>
      </c>
      <c r="L146" s="76">
        <f t="shared" si="61"/>
        <v>69.150000000000006</v>
      </c>
      <c r="M146" s="117">
        <f t="shared" si="51"/>
        <v>84.224664529840169</v>
      </c>
      <c r="N146" s="8">
        <f t="shared" si="52"/>
        <v>683.27961758467791</v>
      </c>
      <c r="O146" s="75">
        <f t="shared" si="53"/>
        <v>599.05495305483782</v>
      </c>
    </row>
    <row r="147" spans="1:15" x14ac:dyDescent="0.25">
      <c r="A147" s="17" t="s">
        <v>64</v>
      </c>
      <c r="B147" s="72" t="str">
        <f t="shared" si="58"/>
        <v>Q4/2019</v>
      </c>
      <c r="C147" s="73">
        <f t="shared" si="56"/>
        <v>43739</v>
      </c>
      <c r="D147" s="73">
        <f t="shared" si="57"/>
        <v>43830</v>
      </c>
      <c r="E147" s="72">
        <f t="shared" si="54"/>
        <v>92</v>
      </c>
      <c r="F147" s="74">
        <f>VLOOKUP(D147,'FERC Interest Rate'!$A:$B,2,TRUE)</f>
        <v>5.4199999999999998E-2</v>
      </c>
      <c r="G147" s="75">
        <f t="shared" si="55"/>
        <v>599.05495305483782</v>
      </c>
      <c r="H147" s="75">
        <v>0</v>
      </c>
      <c r="I147" s="99">
        <f t="shared" si="60"/>
        <v>5.7318691318547828</v>
      </c>
      <c r="J147" s="76">
        <f t="shared" si="59"/>
        <v>8.1839112819524473</v>
      </c>
      <c r="K147" s="116">
        <f t="shared" si="50"/>
        <v>13.91578041380723</v>
      </c>
      <c r="L147" s="76">
        <f t="shared" si="61"/>
        <v>69.150000000000006</v>
      </c>
      <c r="M147" s="117">
        <f t="shared" si="51"/>
        <v>83.065780413807232</v>
      </c>
      <c r="N147" s="8">
        <f t="shared" si="52"/>
        <v>607.23886433679024</v>
      </c>
      <c r="O147" s="75">
        <f t="shared" si="53"/>
        <v>524.1730839229831</v>
      </c>
    </row>
    <row r="148" spans="1:15" x14ac:dyDescent="0.25">
      <c r="A148" s="17" t="s">
        <v>65</v>
      </c>
      <c r="B148" s="72" t="str">
        <f t="shared" si="58"/>
        <v>Q1/2020</v>
      </c>
      <c r="C148" s="73">
        <f t="shared" si="56"/>
        <v>43831</v>
      </c>
      <c r="D148" s="73">
        <f t="shared" si="57"/>
        <v>43921</v>
      </c>
      <c r="E148" s="72">
        <f t="shared" si="54"/>
        <v>91</v>
      </c>
      <c r="F148" s="74">
        <f>VLOOKUP(D148,'FERC Interest Rate'!$A:$B,2,TRUE)</f>
        <v>4.9599999999999998E-2</v>
      </c>
      <c r="G148" s="75">
        <f t="shared" si="55"/>
        <v>524.1730839229831</v>
      </c>
      <c r="H148" s="75">
        <v>0</v>
      </c>
      <c r="I148" s="99">
        <f t="shared" si="60"/>
        <v>5.7318691318547828</v>
      </c>
      <c r="J148" s="76">
        <f t="shared" si="59"/>
        <v>6.4642285016250725</v>
      </c>
      <c r="K148" s="116">
        <f t="shared" si="50"/>
        <v>12.196097633479855</v>
      </c>
      <c r="L148" s="76">
        <f t="shared" si="61"/>
        <v>69.150000000000006</v>
      </c>
      <c r="M148" s="117">
        <f t="shared" si="51"/>
        <v>81.346097633479857</v>
      </c>
      <c r="N148" s="8">
        <f t="shared" si="52"/>
        <v>530.63731242460813</v>
      </c>
      <c r="O148" s="75">
        <f t="shared" si="53"/>
        <v>449.29121479112831</v>
      </c>
    </row>
    <row r="149" spans="1:15" x14ac:dyDescent="0.25">
      <c r="A149" s="17" t="s">
        <v>66</v>
      </c>
      <c r="B149" s="72" t="str">
        <f t="shared" si="58"/>
        <v>Q2/2020</v>
      </c>
      <c r="C149" s="73">
        <f t="shared" si="56"/>
        <v>43922</v>
      </c>
      <c r="D149" s="73">
        <f t="shared" si="57"/>
        <v>44012</v>
      </c>
      <c r="E149" s="72">
        <f t="shared" si="54"/>
        <v>91</v>
      </c>
      <c r="F149" s="74">
        <f>VLOOKUP(D149,'FERC Interest Rate'!$A:$B,2,TRUE)</f>
        <v>4.7503500000000004E-2</v>
      </c>
      <c r="G149" s="75">
        <f t="shared" si="55"/>
        <v>449.29121479112831</v>
      </c>
      <c r="H149" s="75">
        <v>0</v>
      </c>
      <c r="I149" s="99">
        <f t="shared" si="60"/>
        <v>5.7318691318547828</v>
      </c>
      <c r="J149" s="76">
        <f t="shared" si="59"/>
        <v>5.3065693311108282</v>
      </c>
      <c r="K149" s="116">
        <f t="shared" si="50"/>
        <v>11.038438462965612</v>
      </c>
      <c r="L149" s="76">
        <f t="shared" si="61"/>
        <v>69.150000000000006</v>
      </c>
      <c r="M149" s="117">
        <f t="shared" si="51"/>
        <v>80.188438462965621</v>
      </c>
      <c r="N149" s="8">
        <f t="shared" si="52"/>
        <v>454.59778412223915</v>
      </c>
      <c r="O149" s="75">
        <f t="shared" si="53"/>
        <v>374.40934565927347</v>
      </c>
    </row>
    <row r="150" spans="1:15" x14ac:dyDescent="0.25">
      <c r="A150" s="17" t="s">
        <v>67</v>
      </c>
      <c r="B150" s="72" t="str">
        <f>+IF(MONTH(C150)&lt;4,"Q1",IF(MONTH(C150)&lt;7,"Q2",IF(MONTH(C150)&lt;10,"Q3","Q4")))&amp;"/"&amp;YEAR(C150)</f>
        <v>Q3/2020</v>
      </c>
      <c r="C150" s="73">
        <f t="shared" si="56"/>
        <v>44013</v>
      </c>
      <c r="D150" s="73">
        <f t="shared" si="57"/>
        <v>44104</v>
      </c>
      <c r="E150" s="72">
        <f t="shared" si="54"/>
        <v>92</v>
      </c>
      <c r="F150" s="74">
        <f>VLOOKUP(D150,'FERC Interest Rate'!$A:$B,2,TRUE)</f>
        <v>4.7507929999999997E-2</v>
      </c>
      <c r="G150" s="75">
        <f t="shared" si="55"/>
        <v>374.40934565927347</v>
      </c>
      <c r="H150" s="75">
        <v>0</v>
      </c>
      <c r="I150" s="99">
        <f t="shared" si="60"/>
        <v>5.7318691318547828</v>
      </c>
      <c r="J150" s="76">
        <f t="shared" si="59"/>
        <v>4.4711529907465684</v>
      </c>
      <c r="K150" s="116">
        <f t="shared" si="50"/>
        <v>10.20302212260135</v>
      </c>
      <c r="L150" s="76">
        <f t="shared" si="61"/>
        <v>69.150000000000006</v>
      </c>
      <c r="M150" s="117">
        <f t="shared" si="51"/>
        <v>79.353022122601359</v>
      </c>
      <c r="N150" s="8">
        <f t="shared" si="52"/>
        <v>378.88049865002006</v>
      </c>
      <c r="O150" s="75">
        <f t="shared" si="53"/>
        <v>299.52747652741863</v>
      </c>
    </row>
    <row r="151" spans="1:15" x14ac:dyDescent="0.25">
      <c r="A151" s="17" t="s">
        <v>68</v>
      </c>
      <c r="B151" s="72" t="str">
        <f>+IF(MONTH(C151)&lt;4,"Q1",IF(MONTH(C151)&lt;7,"Q2",IF(MONTH(C151)&lt;10,"Q3","Q4")))&amp;"/"&amp;YEAR(C151)</f>
        <v>Q4/2020</v>
      </c>
      <c r="C151" s="73">
        <f t="shared" si="56"/>
        <v>44105</v>
      </c>
      <c r="D151" s="73">
        <f t="shared" si="57"/>
        <v>44196</v>
      </c>
      <c r="E151" s="72">
        <f t="shared" si="54"/>
        <v>92</v>
      </c>
      <c r="F151" s="74">
        <f>VLOOKUP(D151,'FERC Interest Rate'!$A:$B,2,TRUE)</f>
        <v>4.7922320000000004E-2</v>
      </c>
      <c r="G151" s="75">
        <f t="shared" si="55"/>
        <v>299.52747652741863</v>
      </c>
      <c r="H151" s="75">
        <v>0</v>
      </c>
      <c r="I151" s="99">
        <f t="shared" si="60"/>
        <v>5.7318691318547828</v>
      </c>
      <c r="J151" s="76">
        <f t="shared" si="59"/>
        <v>3.6081222548153797</v>
      </c>
      <c r="K151" s="116">
        <f t="shared" si="50"/>
        <v>9.339991386670162</v>
      </c>
      <c r="L151" s="76">
        <f t="shared" si="61"/>
        <v>69.150000000000006</v>
      </c>
      <c r="M151" s="117">
        <f t="shared" si="51"/>
        <v>78.48999138667017</v>
      </c>
      <c r="N151" s="8">
        <f t="shared" si="52"/>
        <v>303.13559878223401</v>
      </c>
      <c r="O151" s="75">
        <f t="shared" si="53"/>
        <v>224.64560739556384</v>
      </c>
    </row>
    <row r="152" spans="1:15" x14ac:dyDescent="0.25">
      <c r="A152" s="17" t="s">
        <v>69</v>
      </c>
      <c r="B152" s="72" t="str">
        <f>+IF(MONTH(C152)&lt;4,"Q1",IF(MONTH(C152)&lt;7,"Q2",IF(MONTH(C152)&lt;10,"Q3","Q4")))&amp;"/"&amp;YEAR(C152)</f>
        <v>Q1/2021</v>
      </c>
      <c r="C152" s="73">
        <f>D151+1</f>
        <v>44197</v>
      </c>
      <c r="D152" s="73">
        <f t="shared" si="57"/>
        <v>44286</v>
      </c>
      <c r="E152" s="72">
        <f>D152-C152+1</f>
        <v>90</v>
      </c>
      <c r="F152" s="74">
        <f>VLOOKUP(D152,'FERC Interest Rate'!$A:$B,2,TRUE)</f>
        <v>5.0023470000000007E-2</v>
      </c>
      <c r="G152" s="75">
        <f>O151</f>
        <v>224.64560739556384</v>
      </c>
      <c r="H152" s="75">
        <v>0</v>
      </c>
      <c r="I152" s="99">
        <f t="shared" si="60"/>
        <v>5.7318691318547828</v>
      </c>
      <c r="J152" s="76">
        <f t="shared" si="59"/>
        <v>2.7709034306754492</v>
      </c>
      <c r="K152" s="116">
        <f>+SUM(I152:J152)</f>
        <v>8.5027725625302324</v>
      </c>
      <c r="L152" s="76">
        <f t="shared" si="61"/>
        <v>69.150000000000006</v>
      </c>
      <c r="M152" s="117">
        <f>+SUM(K152:L152)</f>
        <v>77.652772562530231</v>
      </c>
      <c r="N152" s="8">
        <f>+G152+H152+J152</f>
        <v>227.41651082623929</v>
      </c>
      <c r="O152" s="75">
        <f>G152+H152-L152-I152</f>
        <v>149.76373826370906</v>
      </c>
    </row>
    <row r="153" spans="1:15" x14ac:dyDescent="0.25">
      <c r="A153" s="17" t="s">
        <v>70</v>
      </c>
      <c r="B153" s="72" t="str">
        <f>+IF(MONTH(C153)&lt;4,"Q1",IF(MONTH(C153)&lt;7,"Q2",IF(MONTH(C153)&lt;10,"Q3","Q4")))&amp;"/"&amp;YEAR(C153)</f>
        <v>Q2/2021</v>
      </c>
      <c r="C153" s="73">
        <f>D152+1</f>
        <v>44287</v>
      </c>
      <c r="D153" s="73">
        <f t="shared" si="57"/>
        <v>44377</v>
      </c>
      <c r="E153" s="72">
        <f>D153-C153+1</f>
        <v>91</v>
      </c>
      <c r="F153" s="74">
        <f>VLOOKUP(D153,'FERC Interest Rate'!$A:$B,2,TRUE)</f>
        <v>5.0403730000000001E-2</v>
      </c>
      <c r="G153" s="75">
        <f>O152</f>
        <v>149.76373826370906</v>
      </c>
      <c r="H153" s="75">
        <v>0</v>
      </c>
      <c r="I153" s="99">
        <f t="shared" si="60"/>
        <v>5.7318691318547828</v>
      </c>
      <c r="J153" s="76">
        <f>G153*F153*(E153/(DATE(YEAR(D153),12,31)-DATE(YEAR(D153),1,1)+1))</f>
        <v>1.8819924478859016</v>
      </c>
      <c r="K153" s="116">
        <f>+SUM(I153:J153)</f>
        <v>7.6138615797406839</v>
      </c>
      <c r="L153" s="76">
        <f>VLOOKUP($B$127,A$1:F$25,5,FALSE)/20</f>
        <v>69.150000000000006</v>
      </c>
      <c r="M153" s="117">
        <f>+SUM(K153:L153)</f>
        <v>76.763861579740691</v>
      </c>
      <c r="N153" s="8">
        <f>+G153+H153+J153</f>
        <v>151.64573071159495</v>
      </c>
      <c r="O153" s="75">
        <f>G153+H153-L153-I153</f>
        <v>74.881869131854273</v>
      </c>
    </row>
    <row r="154" spans="1:15" x14ac:dyDescent="0.25">
      <c r="A154" s="17" t="s">
        <v>71</v>
      </c>
      <c r="B154" s="72" t="str">
        <f>+IF(MONTH(C154)&lt;4,"Q1",IF(MONTH(C154)&lt;7,"Q2",IF(MONTH(C154)&lt;10,"Q3","Q4")))&amp;"/"&amp;YEAR(C154)</f>
        <v>Q3/2021</v>
      </c>
      <c r="C154" s="73">
        <f>D153+1</f>
        <v>44378</v>
      </c>
      <c r="D154" s="73">
        <f t="shared" si="57"/>
        <v>44469</v>
      </c>
      <c r="E154" s="72">
        <f>D154-C154+1</f>
        <v>92</v>
      </c>
      <c r="F154" s="74">
        <f>VLOOKUP(D154,'FERC Interest Rate'!$A:$B,2,TRUE)</f>
        <v>5.2520850000000001E-2</v>
      </c>
      <c r="G154" s="75">
        <f>O153</f>
        <v>74.881869131854273</v>
      </c>
      <c r="H154" s="75">
        <v>0</v>
      </c>
      <c r="I154" s="99">
        <f t="shared" si="60"/>
        <v>5.7318691318547828</v>
      </c>
      <c r="J154" s="76">
        <f>G154*F154*(E154/(DATE(YEAR(D154),12,31)-DATE(YEAR(D154),1,1)+1))</f>
        <v>0.99129607207732851</v>
      </c>
      <c r="K154" s="116">
        <f>+SUM(I154:J154)</f>
        <v>6.723165203932111</v>
      </c>
      <c r="L154" s="76">
        <f>VLOOKUP($B$127,A$1:F$25,5,FALSE)/20</f>
        <v>69.150000000000006</v>
      </c>
      <c r="M154" s="117">
        <f>+SUM(K154:L154)</f>
        <v>75.873165203932118</v>
      </c>
      <c r="N154" s="8">
        <f>+G154+H154+J154</f>
        <v>75.873165203931606</v>
      </c>
      <c r="O154" s="75">
        <f>G154+H154-L154-I154</f>
        <v>-5.1514348342607263E-13</v>
      </c>
    </row>
    <row r="155" spans="1:15" x14ac:dyDescent="0.25">
      <c r="A155" s="78"/>
      <c r="B155" s="72"/>
      <c r="C155" s="73"/>
      <c r="D155" s="73"/>
      <c r="E155" s="72"/>
      <c r="F155" s="74"/>
      <c r="G155" s="75"/>
      <c r="H155" s="75"/>
      <c r="I155" s="99"/>
      <c r="J155" s="76"/>
      <c r="K155" s="116"/>
      <c r="L155" s="76"/>
      <c r="M155" s="117"/>
      <c r="N155" s="8"/>
      <c r="O155" s="75"/>
    </row>
    <row r="156" spans="1:15" ht="13.5" thickBot="1" x14ac:dyDescent="0.35">
      <c r="A156" s="142"/>
      <c r="B156" s="143"/>
      <c r="C156" s="144"/>
      <c r="D156" s="144"/>
      <c r="E156" s="145"/>
      <c r="F156" s="143"/>
      <c r="G156" s="124">
        <f t="shared" ref="G156:O156" si="62">SUM(G126:G155)</f>
        <v>28536.486062727021</v>
      </c>
      <c r="H156" s="124">
        <f t="shared" si="62"/>
        <v>114.63738263709566</v>
      </c>
      <c r="I156" s="125">
        <f t="shared" si="62"/>
        <v>114.63738263709561</v>
      </c>
      <c r="J156" s="124">
        <f t="shared" si="62"/>
        <v>160.07795078223643</v>
      </c>
      <c r="K156" s="124">
        <f t="shared" si="62"/>
        <v>274.71533341933213</v>
      </c>
      <c r="L156" s="124">
        <f t="shared" si="62"/>
        <v>1383.0000000000002</v>
      </c>
      <c r="M156" s="126">
        <f t="shared" si="62"/>
        <v>1657.7153334193322</v>
      </c>
      <c r="N156" s="124">
        <f t="shared" si="62"/>
        <v>28811.20139614636</v>
      </c>
      <c r="O156" s="124">
        <f t="shared" si="62"/>
        <v>27153.486062727021</v>
      </c>
    </row>
    <row r="157" spans="1:15" ht="13" thickTop="1" x14ac:dyDescent="0.25">
      <c r="B157" s="103"/>
      <c r="C157" s="103"/>
      <c r="D157" s="103"/>
      <c r="E157" s="103"/>
      <c r="F157" s="103"/>
      <c r="G157" s="103"/>
      <c r="H157" s="103"/>
      <c r="I157" s="102"/>
      <c r="J157" s="103"/>
      <c r="K157" s="103"/>
      <c r="L157" s="103"/>
      <c r="M157" s="118"/>
      <c r="O157" s="103"/>
    </row>
    <row r="158" spans="1:15" ht="52" x14ac:dyDescent="0.3">
      <c r="A158" s="77" t="s">
        <v>51</v>
      </c>
      <c r="B158" s="77" t="s">
        <v>3</v>
      </c>
      <c r="C158" s="77" t="s">
        <v>4</v>
      </c>
      <c r="D158" s="77" t="s">
        <v>5</v>
      </c>
      <c r="E158" s="77" t="s">
        <v>6</v>
      </c>
      <c r="F158" s="77" t="s">
        <v>7</v>
      </c>
      <c r="G158" s="77" t="s">
        <v>92</v>
      </c>
      <c r="H158" s="77" t="s">
        <v>93</v>
      </c>
      <c r="I158" s="94" t="s">
        <v>94</v>
      </c>
      <c r="J158" s="95" t="s">
        <v>95</v>
      </c>
      <c r="K158" s="95" t="s">
        <v>96</v>
      </c>
      <c r="L158" s="95" t="s">
        <v>97</v>
      </c>
      <c r="M158" s="96" t="s">
        <v>98</v>
      </c>
      <c r="N158" s="77" t="s">
        <v>99</v>
      </c>
      <c r="O158" s="77" t="s">
        <v>100</v>
      </c>
    </row>
    <row r="159" spans="1:15" ht="13" x14ac:dyDescent="0.3">
      <c r="A159" s="347" t="s">
        <v>14</v>
      </c>
      <c r="B159" s="347"/>
      <c r="C159" s="73">
        <f>VLOOKUP(B160,A$1:F$25,2,FALSE)</f>
        <v>41887</v>
      </c>
      <c r="D159" s="73">
        <f>DATE(YEAR(C159),IF(MONTH(C159)&lt;=3,3,IF(MONTH(C159)&lt;=6,6,IF(MONTH(C159)&lt;=9,9,12))),IF(OR(MONTH(C159)&lt;=3,MONTH(C159)&gt;=10),31,30))</f>
        <v>41912</v>
      </c>
      <c r="E159" s="72">
        <f>D159-C159+1</f>
        <v>26</v>
      </c>
      <c r="F159" s="74">
        <f>VLOOKUP(D159,'FERC Interest Rate'!$A:$B,2,TRUE)</f>
        <v>3.2500000000000001E-2</v>
      </c>
      <c r="G159" s="75">
        <f>VLOOKUP(B160,$A$1:$F$29,5,FALSE)</f>
        <v>1675.5</v>
      </c>
      <c r="H159" s="75">
        <f t="shared" ref="H159:H168" si="63">G159*F159*(E159/(DATE(YEAR(D159),12,31)-DATE(YEAR(D159),1,1)+1))</f>
        <v>3.8788972602739724</v>
      </c>
      <c r="I159" s="180">
        <v>0</v>
      </c>
      <c r="J159" s="76">
        <v>0</v>
      </c>
      <c r="K159" s="116">
        <f t="shared" ref="K159:K184" si="64">+SUM(I159:J159)</f>
        <v>0</v>
      </c>
      <c r="L159" s="76">
        <v>0</v>
      </c>
      <c r="M159" s="117">
        <f t="shared" ref="M159:M184" si="65">+SUM(K159:L159)</f>
        <v>0</v>
      </c>
      <c r="N159" s="8">
        <f t="shared" ref="N159:N184" si="66">+G159+H159+J159</f>
        <v>1679.378897260274</v>
      </c>
      <c r="O159" s="75">
        <f t="shared" ref="O159:O184" si="67">G159+H159-L159-I159</f>
        <v>1679.378897260274</v>
      </c>
    </row>
    <row r="160" spans="1:15" ht="13" x14ac:dyDescent="0.3">
      <c r="A160" s="110" t="s">
        <v>40</v>
      </c>
      <c r="B160" s="141" t="s">
        <v>55</v>
      </c>
      <c r="C160" s="73">
        <f>D159+1</f>
        <v>41913</v>
      </c>
      <c r="D160" s="73">
        <f>EOMONTH(D159,3)</f>
        <v>42004</v>
      </c>
      <c r="E160" s="72">
        <f t="shared" ref="E160:E184" si="68">D160-C160+1</f>
        <v>92</v>
      </c>
      <c r="F160" s="74">
        <f>VLOOKUP(D160,'FERC Interest Rate'!$A:$B,2,TRUE)</f>
        <v>3.2500000000000001E-2</v>
      </c>
      <c r="G160" s="75">
        <f t="shared" ref="G160:G184" si="69">O159</f>
        <v>1679.378897260274</v>
      </c>
      <c r="H160" s="75">
        <f t="shared" si="63"/>
        <v>13.757103843310192</v>
      </c>
      <c r="I160" s="180">
        <v>0</v>
      </c>
      <c r="J160" s="76">
        <v>0</v>
      </c>
      <c r="K160" s="116">
        <f t="shared" si="64"/>
        <v>0</v>
      </c>
      <c r="L160" s="76">
        <v>0</v>
      </c>
      <c r="M160" s="117">
        <f t="shared" si="65"/>
        <v>0</v>
      </c>
      <c r="N160" s="8">
        <f t="shared" si="66"/>
        <v>1693.1360011035842</v>
      </c>
      <c r="O160" s="75">
        <f t="shared" si="67"/>
        <v>1693.1360011035842</v>
      </c>
    </row>
    <row r="161" spans="1:15" ht="13" x14ac:dyDescent="0.3">
      <c r="B161" s="301"/>
      <c r="C161" s="73">
        <f t="shared" ref="C161:C184" si="70">D160+1</f>
        <v>42005</v>
      </c>
      <c r="D161" s="73">
        <f t="shared" ref="D161:D187" si="71">EOMONTH(D160,3)</f>
        <v>42094</v>
      </c>
      <c r="E161" s="72">
        <f t="shared" si="68"/>
        <v>90</v>
      </c>
      <c r="F161" s="74">
        <f>VLOOKUP(D161,'FERC Interest Rate'!$A:$B,2,TRUE)</f>
        <v>3.2500000000000001E-2</v>
      </c>
      <c r="G161" s="75">
        <f t="shared" si="69"/>
        <v>1693.1360011035842</v>
      </c>
      <c r="H161" s="75">
        <f t="shared" si="63"/>
        <v>13.568281652679408</v>
      </c>
      <c r="I161" s="180">
        <v>0</v>
      </c>
      <c r="J161" s="76">
        <v>0</v>
      </c>
      <c r="K161" s="116">
        <f t="shared" si="64"/>
        <v>0</v>
      </c>
      <c r="L161" s="76">
        <v>0</v>
      </c>
      <c r="M161" s="117">
        <f t="shared" si="65"/>
        <v>0</v>
      </c>
      <c r="N161" s="8">
        <f t="shared" si="66"/>
        <v>1706.7042827562636</v>
      </c>
      <c r="O161" s="75">
        <f t="shared" si="67"/>
        <v>1706.7042827562636</v>
      </c>
    </row>
    <row r="162" spans="1:15" ht="13" x14ac:dyDescent="0.3">
      <c r="B162" s="301"/>
      <c r="C162" s="73">
        <f t="shared" si="70"/>
        <v>42095</v>
      </c>
      <c r="D162" s="73">
        <f t="shared" si="71"/>
        <v>42185</v>
      </c>
      <c r="E162" s="72">
        <f t="shared" si="68"/>
        <v>91</v>
      </c>
      <c r="F162" s="74">
        <f>VLOOKUP(D162,'FERC Interest Rate'!$A:$B,2,TRUE)</f>
        <v>3.2500000000000001E-2</v>
      </c>
      <c r="G162" s="75">
        <f t="shared" si="69"/>
        <v>1706.7042827562636</v>
      </c>
      <c r="H162" s="75">
        <f t="shared" si="63"/>
        <v>13.828980592470273</v>
      </c>
      <c r="I162" s="180">
        <v>0</v>
      </c>
      <c r="J162" s="76">
        <v>0</v>
      </c>
      <c r="K162" s="116">
        <f t="shared" si="64"/>
        <v>0</v>
      </c>
      <c r="L162" s="76">
        <v>0</v>
      </c>
      <c r="M162" s="117">
        <f t="shared" si="65"/>
        <v>0</v>
      </c>
      <c r="N162" s="8">
        <f t="shared" si="66"/>
        <v>1720.533263348734</v>
      </c>
      <c r="O162" s="75">
        <f t="shared" si="67"/>
        <v>1720.533263348734</v>
      </c>
    </row>
    <row r="163" spans="1:15" ht="13" x14ac:dyDescent="0.3">
      <c r="B163" s="301"/>
      <c r="C163" s="73">
        <f t="shared" si="70"/>
        <v>42186</v>
      </c>
      <c r="D163" s="73">
        <f t="shared" si="71"/>
        <v>42277</v>
      </c>
      <c r="E163" s="72">
        <f t="shared" si="68"/>
        <v>92</v>
      </c>
      <c r="F163" s="74">
        <f>VLOOKUP(D163,'FERC Interest Rate'!$A:$B,2,TRUE)</f>
        <v>3.2500000000000001E-2</v>
      </c>
      <c r="G163" s="75">
        <f t="shared" si="69"/>
        <v>1720.533263348734</v>
      </c>
      <c r="H163" s="75">
        <f t="shared" si="63"/>
        <v>14.094231390171821</v>
      </c>
      <c r="I163" s="180">
        <v>0</v>
      </c>
      <c r="J163" s="76">
        <v>0</v>
      </c>
      <c r="K163" s="116">
        <f t="shared" si="64"/>
        <v>0</v>
      </c>
      <c r="L163" s="76">
        <v>0</v>
      </c>
      <c r="M163" s="117">
        <f t="shared" si="65"/>
        <v>0</v>
      </c>
      <c r="N163" s="8">
        <f t="shared" si="66"/>
        <v>1734.6274947389059</v>
      </c>
      <c r="O163" s="75">
        <f t="shared" si="67"/>
        <v>1734.6274947389059</v>
      </c>
    </row>
    <row r="164" spans="1:15" ht="13" x14ac:dyDescent="0.3">
      <c r="B164" s="301"/>
      <c r="C164" s="73">
        <f t="shared" si="70"/>
        <v>42278</v>
      </c>
      <c r="D164" s="73">
        <f t="shared" si="71"/>
        <v>42369</v>
      </c>
      <c r="E164" s="72">
        <f t="shared" si="68"/>
        <v>92</v>
      </c>
      <c r="F164" s="74">
        <f>VLOOKUP(D164,'FERC Interest Rate'!$A:$B,2,TRUE)</f>
        <v>3.2500000000000001E-2</v>
      </c>
      <c r="G164" s="75">
        <f t="shared" si="69"/>
        <v>1734.6274947389059</v>
      </c>
      <c r="H164" s="75">
        <f t="shared" si="63"/>
        <v>14.209688244573504</v>
      </c>
      <c r="I164" s="180">
        <v>0</v>
      </c>
      <c r="J164" s="76">
        <v>0</v>
      </c>
      <c r="K164" s="116">
        <f t="shared" si="64"/>
        <v>0</v>
      </c>
      <c r="L164" s="76">
        <v>0</v>
      </c>
      <c r="M164" s="117">
        <f t="shared" si="65"/>
        <v>0</v>
      </c>
      <c r="N164" s="8">
        <f t="shared" si="66"/>
        <v>1748.8371829834794</v>
      </c>
      <c r="O164" s="75">
        <f t="shared" si="67"/>
        <v>1748.8371829834794</v>
      </c>
    </row>
    <row r="165" spans="1:15" x14ac:dyDescent="0.25">
      <c r="A165" s="78"/>
      <c r="B165" s="72"/>
      <c r="C165" s="73">
        <f t="shared" si="70"/>
        <v>42370</v>
      </c>
      <c r="D165" s="73">
        <f t="shared" si="71"/>
        <v>42460</v>
      </c>
      <c r="E165" s="72">
        <f t="shared" si="68"/>
        <v>91</v>
      </c>
      <c r="F165" s="74">
        <f>VLOOKUP(D165,'FERC Interest Rate'!$A:$B,2,TRUE)</f>
        <v>3.2500000000000001E-2</v>
      </c>
      <c r="G165" s="75">
        <f t="shared" si="69"/>
        <v>1748.8371829834794</v>
      </c>
      <c r="H165" s="75">
        <f t="shared" si="63"/>
        <v>14.131655652113771</v>
      </c>
      <c r="I165" s="180">
        <v>0</v>
      </c>
      <c r="J165" s="76">
        <v>0</v>
      </c>
      <c r="K165" s="116">
        <f t="shared" si="64"/>
        <v>0</v>
      </c>
      <c r="L165" s="76">
        <v>0</v>
      </c>
      <c r="M165" s="117">
        <f t="shared" si="65"/>
        <v>0</v>
      </c>
      <c r="N165" s="8">
        <f t="shared" si="66"/>
        <v>1762.9688386355931</v>
      </c>
      <c r="O165" s="75">
        <f t="shared" si="67"/>
        <v>1762.9688386355931</v>
      </c>
    </row>
    <row r="166" spans="1:15" x14ac:dyDescent="0.25">
      <c r="A166" s="78"/>
      <c r="B166" s="72"/>
      <c r="C166" s="73">
        <f t="shared" si="70"/>
        <v>42461</v>
      </c>
      <c r="D166" s="73">
        <f t="shared" si="71"/>
        <v>42551</v>
      </c>
      <c r="E166" s="72">
        <f t="shared" si="68"/>
        <v>91</v>
      </c>
      <c r="F166" s="74">
        <f>VLOOKUP(D166,'FERC Interest Rate'!$A:$B,2,TRUE)</f>
        <v>3.4599999999999999E-2</v>
      </c>
      <c r="G166" s="75">
        <f t="shared" si="69"/>
        <v>1762.9688386355931</v>
      </c>
      <c r="H166" s="75">
        <f t="shared" si="63"/>
        <v>15.16634886701647</v>
      </c>
      <c r="I166" s="180">
        <v>0</v>
      </c>
      <c r="J166" s="76">
        <v>0</v>
      </c>
      <c r="K166" s="116">
        <f t="shared" si="64"/>
        <v>0</v>
      </c>
      <c r="L166" s="76">
        <v>0</v>
      </c>
      <c r="M166" s="117">
        <f t="shared" si="65"/>
        <v>0</v>
      </c>
      <c r="N166" s="8">
        <f t="shared" si="66"/>
        <v>1778.1351875026096</v>
      </c>
      <c r="O166" s="75">
        <f t="shared" si="67"/>
        <v>1778.1351875026096</v>
      </c>
    </row>
    <row r="167" spans="1:15" x14ac:dyDescent="0.25">
      <c r="A167" s="78"/>
      <c r="B167" s="72"/>
      <c r="C167" s="73">
        <f t="shared" si="70"/>
        <v>42552</v>
      </c>
      <c r="D167" s="73">
        <f t="shared" si="71"/>
        <v>42643</v>
      </c>
      <c r="E167" s="72">
        <f t="shared" si="68"/>
        <v>92</v>
      </c>
      <c r="F167" s="74">
        <f>VLOOKUP(D167,'FERC Interest Rate'!$A:$B,2,TRUE)</f>
        <v>3.5000000000000003E-2</v>
      </c>
      <c r="G167" s="75">
        <f t="shared" si="69"/>
        <v>1778.1351875026096</v>
      </c>
      <c r="H167" s="75">
        <f t="shared" si="63"/>
        <v>15.643703015733344</v>
      </c>
      <c r="I167" s="180">
        <v>0</v>
      </c>
      <c r="J167" s="76">
        <v>0</v>
      </c>
      <c r="K167" s="116">
        <f t="shared" si="64"/>
        <v>0</v>
      </c>
      <c r="L167" s="76">
        <v>0</v>
      </c>
      <c r="M167" s="117">
        <f t="shared" si="65"/>
        <v>0</v>
      </c>
      <c r="N167" s="8">
        <f t="shared" si="66"/>
        <v>1793.7788905183429</v>
      </c>
      <c r="O167" s="75">
        <f t="shared" si="67"/>
        <v>1793.7788905183429</v>
      </c>
    </row>
    <row r="168" spans="1:15" x14ac:dyDescent="0.25">
      <c r="A168" s="17" t="s">
        <v>52</v>
      </c>
      <c r="B168" s="72" t="str">
        <f t="shared" ref="B168:B181" si="72">+IF(MONTH(C168)&lt;4,"Q1",IF(MONTH(C168)&lt;7,"Q2",IF(MONTH(C168)&lt;10,"Q3","Q4")))&amp;"/"&amp;YEAR(C168)</f>
        <v>Q4/2016</v>
      </c>
      <c r="C168" s="73">
        <f t="shared" si="70"/>
        <v>42644</v>
      </c>
      <c r="D168" s="73">
        <f t="shared" si="71"/>
        <v>42735</v>
      </c>
      <c r="E168" s="72">
        <f t="shared" si="68"/>
        <v>92</v>
      </c>
      <c r="F168" s="74">
        <f>VLOOKUP(D168,'FERC Interest Rate'!$A:$B,2,TRUE)</f>
        <v>3.5000000000000003E-2</v>
      </c>
      <c r="G168" s="75">
        <f t="shared" si="69"/>
        <v>1793.7788905183429</v>
      </c>
      <c r="H168" s="75">
        <f t="shared" si="63"/>
        <v>15.781333408385423</v>
      </c>
      <c r="I168" s="99">
        <f t="shared" ref="I168:I184" si="73">(SUM($H$159:$H$188)/20)</f>
        <v>6.7030111963364076</v>
      </c>
      <c r="J168" s="76">
        <v>0</v>
      </c>
      <c r="K168" s="116">
        <f t="shared" si="64"/>
        <v>6.7030111963364076</v>
      </c>
      <c r="L168" s="76">
        <f>VLOOKUP($B$160,A$1:F$25,5,FALSE)/20</f>
        <v>83.775000000000006</v>
      </c>
      <c r="M168" s="117">
        <f t="shared" si="65"/>
        <v>90.478011196336411</v>
      </c>
      <c r="N168" s="8">
        <f t="shared" si="66"/>
        <v>1809.5602239267284</v>
      </c>
      <c r="O168" s="75">
        <f t="shared" si="67"/>
        <v>1719.082212730392</v>
      </c>
    </row>
    <row r="169" spans="1:15" x14ac:dyDescent="0.25">
      <c r="A169" s="17" t="s">
        <v>53</v>
      </c>
      <c r="B169" s="72" t="str">
        <f t="shared" si="72"/>
        <v>Q1/2017</v>
      </c>
      <c r="C169" s="73">
        <f t="shared" si="70"/>
        <v>42736</v>
      </c>
      <c r="D169" s="73">
        <f t="shared" si="71"/>
        <v>42825</v>
      </c>
      <c r="E169" s="72">
        <f t="shared" si="68"/>
        <v>90</v>
      </c>
      <c r="F169" s="74">
        <f>VLOOKUP(D169,'FERC Interest Rate'!$A:$B,2,TRUE)</f>
        <v>3.5000000000000003E-2</v>
      </c>
      <c r="G169" s="75">
        <f t="shared" si="69"/>
        <v>1719.082212730392</v>
      </c>
      <c r="H169" s="75">
        <v>0</v>
      </c>
      <c r="I169" s="99">
        <f t="shared" si="73"/>
        <v>6.7030111963364076</v>
      </c>
      <c r="J169" s="76">
        <f>G169*F169*(E169/(DATE(YEAR(D169),12,31)-DATE(YEAR(D169),1,1)+1))</f>
        <v>14.835914986577356</v>
      </c>
      <c r="K169" s="116">
        <f t="shared" si="64"/>
        <v>21.538926182913762</v>
      </c>
      <c r="L169" s="76">
        <f t="shared" ref="L169:L184" si="74">VLOOKUP($B$160,A$1:F$25,5,FALSE)/20</f>
        <v>83.775000000000006</v>
      </c>
      <c r="M169" s="117">
        <f t="shared" si="65"/>
        <v>105.31392618291378</v>
      </c>
      <c r="N169" s="8">
        <f t="shared" si="66"/>
        <v>1733.9181277169694</v>
      </c>
      <c r="O169" s="75">
        <f t="shared" si="67"/>
        <v>1628.6042015340556</v>
      </c>
    </row>
    <row r="170" spans="1:15" x14ac:dyDescent="0.25">
      <c r="A170" s="17" t="s">
        <v>54</v>
      </c>
      <c r="B170" s="72" t="str">
        <f t="shared" si="72"/>
        <v>Q2/2017</v>
      </c>
      <c r="C170" s="73">
        <f t="shared" si="70"/>
        <v>42826</v>
      </c>
      <c r="D170" s="73">
        <f t="shared" si="71"/>
        <v>42916</v>
      </c>
      <c r="E170" s="72">
        <f t="shared" si="68"/>
        <v>91</v>
      </c>
      <c r="F170" s="74">
        <f>VLOOKUP(D170,'FERC Interest Rate'!$A:$B,2,TRUE)</f>
        <v>3.7100000000000001E-2</v>
      </c>
      <c r="G170" s="75">
        <f t="shared" si="69"/>
        <v>1628.6042015340556</v>
      </c>
      <c r="H170" s="75">
        <v>0</v>
      </c>
      <c r="I170" s="99">
        <f t="shared" si="73"/>
        <v>6.7030111963364076</v>
      </c>
      <c r="J170" s="76">
        <f>G170*F170*(E170/(DATE(YEAR(D170),12,31)-DATE(YEAR(D170),1,1)+1))</f>
        <v>15.063919574792124</v>
      </c>
      <c r="K170" s="116">
        <f t="shared" si="64"/>
        <v>21.766930771128532</v>
      </c>
      <c r="L170" s="76">
        <f t="shared" si="74"/>
        <v>83.775000000000006</v>
      </c>
      <c r="M170" s="117">
        <f t="shared" si="65"/>
        <v>105.54193077112853</v>
      </c>
      <c r="N170" s="8">
        <f t="shared" si="66"/>
        <v>1643.6681211088478</v>
      </c>
      <c r="O170" s="75">
        <f t="shared" si="67"/>
        <v>1538.1261903377192</v>
      </c>
    </row>
    <row r="171" spans="1:15" x14ac:dyDescent="0.25">
      <c r="A171" s="17" t="s">
        <v>55</v>
      </c>
      <c r="B171" s="72" t="str">
        <f t="shared" si="72"/>
        <v>Q3/2017</v>
      </c>
      <c r="C171" s="73">
        <f t="shared" si="70"/>
        <v>42917</v>
      </c>
      <c r="D171" s="73">
        <f t="shared" si="71"/>
        <v>43008</v>
      </c>
      <c r="E171" s="72">
        <f t="shared" si="68"/>
        <v>92</v>
      </c>
      <c r="F171" s="74">
        <f>VLOOKUP(D171,'FERC Interest Rate'!$A:$B,2,TRUE)</f>
        <v>3.9600000000000003E-2</v>
      </c>
      <c r="G171" s="75">
        <f t="shared" si="69"/>
        <v>1538.1261903377192</v>
      </c>
      <c r="H171" s="75">
        <v>0</v>
      </c>
      <c r="I171" s="99">
        <f t="shared" si="73"/>
        <v>6.7030111963364076</v>
      </c>
      <c r="J171" s="76">
        <f t="shared" ref="J171:J184" si="75">G171*F171*(E171/(DATE(YEAR(D171),12,31)-DATE(YEAR(D171),1,1)+1))</f>
        <v>15.352606401748986</v>
      </c>
      <c r="K171" s="116">
        <f t="shared" si="64"/>
        <v>22.055617598085394</v>
      </c>
      <c r="L171" s="76">
        <f t="shared" si="74"/>
        <v>83.775000000000006</v>
      </c>
      <c r="M171" s="117">
        <f t="shared" si="65"/>
        <v>105.8306175980854</v>
      </c>
      <c r="N171" s="8">
        <f t="shared" si="66"/>
        <v>1553.4787967394682</v>
      </c>
      <c r="O171" s="75">
        <f t="shared" si="67"/>
        <v>1447.6481791413828</v>
      </c>
    </row>
    <row r="172" spans="1:15" x14ac:dyDescent="0.25">
      <c r="A172" s="17" t="s">
        <v>56</v>
      </c>
      <c r="B172" s="72" t="str">
        <f t="shared" si="72"/>
        <v>Q4/2017</v>
      </c>
      <c r="C172" s="73">
        <f t="shared" si="70"/>
        <v>43009</v>
      </c>
      <c r="D172" s="73">
        <f t="shared" si="71"/>
        <v>43100</v>
      </c>
      <c r="E172" s="72">
        <f t="shared" si="68"/>
        <v>92</v>
      </c>
      <c r="F172" s="74">
        <f>VLOOKUP(D172,'FERC Interest Rate'!$A:$B,2,TRUE)</f>
        <v>4.2099999999999999E-2</v>
      </c>
      <c r="G172" s="75">
        <f t="shared" si="69"/>
        <v>1447.6481791413828</v>
      </c>
      <c r="H172" s="75">
        <v>0</v>
      </c>
      <c r="I172" s="99">
        <f t="shared" si="73"/>
        <v>6.7030111963364076</v>
      </c>
      <c r="J172" s="76">
        <f t="shared" si="75"/>
        <v>15.361728568357272</v>
      </c>
      <c r="K172" s="116">
        <f t="shared" si="64"/>
        <v>22.06473976469368</v>
      </c>
      <c r="L172" s="76">
        <f t="shared" si="74"/>
        <v>83.775000000000006</v>
      </c>
      <c r="M172" s="117">
        <f t="shared" si="65"/>
        <v>105.83973976469369</v>
      </c>
      <c r="N172" s="8">
        <f t="shared" si="66"/>
        <v>1463.00990770974</v>
      </c>
      <c r="O172" s="75">
        <f t="shared" si="67"/>
        <v>1357.1701679450464</v>
      </c>
    </row>
    <row r="173" spans="1:15" x14ac:dyDescent="0.25">
      <c r="A173" s="17" t="s">
        <v>57</v>
      </c>
      <c r="B173" s="72" t="str">
        <f t="shared" si="72"/>
        <v>Q1/2018</v>
      </c>
      <c r="C173" s="73">
        <f t="shared" si="70"/>
        <v>43101</v>
      </c>
      <c r="D173" s="73">
        <f t="shared" si="71"/>
        <v>43190</v>
      </c>
      <c r="E173" s="72">
        <f t="shared" si="68"/>
        <v>90</v>
      </c>
      <c r="F173" s="74">
        <f>VLOOKUP(D173,'FERC Interest Rate'!$A:$B,2,TRUE)</f>
        <v>4.2500000000000003E-2</v>
      </c>
      <c r="G173" s="75">
        <f t="shared" si="69"/>
        <v>1357.1701679450464</v>
      </c>
      <c r="H173" s="75">
        <v>0</v>
      </c>
      <c r="I173" s="99">
        <f t="shared" si="73"/>
        <v>6.7030111963364076</v>
      </c>
      <c r="J173" s="76">
        <f t="shared" si="75"/>
        <v>14.222399705177541</v>
      </c>
      <c r="K173" s="116">
        <f t="shared" si="64"/>
        <v>20.925410901513949</v>
      </c>
      <c r="L173" s="76">
        <f t="shared" si="74"/>
        <v>83.775000000000006</v>
      </c>
      <c r="M173" s="117">
        <f t="shared" si="65"/>
        <v>104.70041090151395</v>
      </c>
      <c r="N173" s="8">
        <f t="shared" si="66"/>
        <v>1371.392567650224</v>
      </c>
      <c r="O173" s="75">
        <f t="shared" si="67"/>
        <v>1266.69215674871</v>
      </c>
    </row>
    <row r="174" spans="1:15" x14ac:dyDescent="0.25">
      <c r="A174" s="17" t="s">
        <v>58</v>
      </c>
      <c r="B174" s="72" t="str">
        <f t="shared" si="72"/>
        <v>Q2/2018</v>
      </c>
      <c r="C174" s="73">
        <f t="shared" si="70"/>
        <v>43191</v>
      </c>
      <c r="D174" s="73">
        <f t="shared" si="71"/>
        <v>43281</v>
      </c>
      <c r="E174" s="72">
        <f t="shared" si="68"/>
        <v>91</v>
      </c>
      <c r="F174" s="74">
        <f>VLOOKUP(D174,'FERC Interest Rate'!$A:$B,2,TRUE)</f>
        <v>4.4699999999999997E-2</v>
      </c>
      <c r="G174" s="75">
        <f t="shared" si="69"/>
        <v>1266.69215674871</v>
      </c>
      <c r="H174" s="75">
        <v>0</v>
      </c>
      <c r="I174" s="99">
        <f t="shared" si="73"/>
        <v>6.7030111963364076</v>
      </c>
      <c r="J174" s="76">
        <f t="shared" si="75"/>
        <v>14.116503249333499</v>
      </c>
      <c r="K174" s="116">
        <f t="shared" si="64"/>
        <v>20.819514445669906</v>
      </c>
      <c r="L174" s="76">
        <f t="shared" si="74"/>
        <v>83.775000000000006</v>
      </c>
      <c r="M174" s="117">
        <f t="shared" si="65"/>
        <v>104.59451444566992</v>
      </c>
      <c r="N174" s="8">
        <f t="shared" si="66"/>
        <v>1280.8086599980434</v>
      </c>
      <c r="O174" s="75">
        <f t="shared" si="67"/>
        <v>1176.2141455523736</v>
      </c>
    </row>
    <row r="175" spans="1:15" x14ac:dyDescent="0.25">
      <c r="A175" s="17" t="s">
        <v>59</v>
      </c>
      <c r="B175" s="72" t="str">
        <f t="shared" si="72"/>
        <v>Q3/2018</v>
      </c>
      <c r="C175" s="73">
        <f t="shared" si="70"/>
        <v>43282</v>
      </c>
      <c r="D175" s="73">
        <f t="shared" si="71"/>
        <v>43373</v>
      </c>
      <c r="E175" s="72">
        <f t="shared" si="68"/>
        <v>92</v>
      </c>
      <c r="F175" s="74">
        <f>VLOOKUP(D175,'FERC Interest Rate'!$A:$B,2,TRUE)</f>
        <v>4.6899999999999997E-2</v>
      </c>
      <c r="G175" s="75">
        <f t="shared" si="69"/>
        <v>1176.2141455523736</v>
      </c>
      <c r="H175" s="75">
        <v>0</v>
      </c>
      <c r="I175" s="99">
        <f t="shared" si="73"/>
        <v>6.7030111963364076</v>
      </c>
      <c r="J175" s="76">
        <f t="shared" si="75"/>
        <v>13.904462452683237</v>
      </c>
      <c r="K175" s="116">
        <f t="shared" si="64"/>
        <v>20.607473649019646</v>
      </c>
      <c r="L175" s="76">
        <f t="shared" si="74"/>
        <v>83.775000000000006</v>
      </c>
      <c r="M175" s="117">
        <f t="shared" si="65"/>
        <v>104.38247364901966</v>
      </c>
      <c r="N175" s="8">
        <f t="shared" si="66"/>
        <v>1190.1186080050568</v>
      </c>
      <c r="O175" s="75">
        <f t="shared" si="67"/>
        <v>1085.7361343560372</v>
      </c>
    </row>
    <row r="176" spans="1:15" x14ac:dyDescent="0.25">
      <c r="A176" s="17" t="s">
        <v>60</v>
      </c>
      <c r="B176" s="72" t="str">
        <f t="shared" si="72"/>
        <v>Q4/2018</v>
      </c>
      <c r="C176" s="73">
        <f t="shared" si="70"/>
        <v>43374</v>
      </c>
      <c r="D176" s="73">
        <f t="shared" si="71"/>
        <v>43465</v>
      </c>
      <c r="E176" s="72">
        <f t="shared" si="68"/>
        <v>92</v>
      </c>
      <c r="F176" s="74">
        <f>VLOOKUP(D176,'FERC Interest Rate'!$A:$B,2,TRUE)</f>
        <v>4.9599999999999998E-2</v>
      </c>
      <c r="G176" s="75">
        <f t="shared" si="69"/>
        <v>1085.7361343560372</v>
      </c>
      <c r="H176" s="75">
        <v>0</v>
      </c>
      <c r="I176" s="99">
        <f t="shared" si="73"/>
        <v>6.7030111963364076</v>
      </c>
      <c r="J176" s="76">
        <f t="shared" si="75"/>
        <v>13.573783913132791</v>
      </c>
      <c r="K176" s="116">
        <f t="shared" si="64"/>
        <v>20.276795109469198</v>
      </c>
      <c r="L176" s="76">
        <f t="shared" si="74"/>
        <v>83.775000000000006</v>
      </c>
      <c r="M176" s="117">
        <f t="shared" si="65"/>
        <v>104.0517951094692</v>
      </c>
      <c r="N176" s="8">
        <f t="shared" si="66"/>
        <v>1099.3099182691699</v>
      </c>
      <c r="O176" s="75">
        <f t="shared" si="67"/>
        <v>995.25812315970074</v>
      </c>
    </row>
    <row r="177" spans="1:15" x14ac:dyDescent="0.25">
      <c r="A177" s="17" t="s">
        <v>61</v>
      </c>
      <c r="B177" s="72" t="str">
        <f t="shared" si="72"/>
        <v>Q1/2019</v>
      </c>
      <c r="C177" s="73">
        <f t="shared" si="70"/>
        <v>43466</v>
      </c>
      <c r="D177" s="73">
        <f t="shared" si="71"/>
        <v>43555</v>
      </c>
      <c r="E177" s="72">
        <f t="shared" si="68"/>
        <v>90</v>
      </c>
      <c r="F177" s="74">
        <f>VLOOKUP(D177,'FERC Interest Rate'!$A:$B,2,TRUE)</f>
        <v>5.1799999999999999E-2</v>
      </c>
      <c r="G177" s="75">
        <f t="shared" si="69"/>
        <v>995.25812315970074</v>
      </c>
      <c r="H177" s="75">
        <v>0</v>
      </c>
      <c r="I177" s="99">
        <f t="shared" si="73"/>
        <v>6.7030111963364076</v>
      </c>
      <c r="J177" s="76">
        <f t="shared" si="75"/>
        <v>12.712036630604176</v>
      </c>
      <c r="K177" s="116">
        <f t="shared" si="64"/>
        <v>19.415047826940583</v>
      </c>
      <c r="L177" s="76">
        <f t="shared" si="74"/>
        <v>83.775000000000006</v>
      </c>
      <c r="M177" s="117">
        <f t="shared" si="65"/>
        <v>103.19004782694059</v>
      </c>
      <c r="N177" s="8">
        <f t="shared" si="66"/>
        <v>1007.9701597903049</v>
      </c>
      <c r="O177" s="75">
        <f t="shared" si="67"/>
        <v>904.78011196336433</v>
      </c>
    </row>
    <row r="178" spans="1:15" x14ac:dyDescent="0.25">
      <c r="A178" s="17" t="s">
        <v>62</v>
      </c>
      <c r="B178" s="72" t="str">
        <f t="shared" si="72"/>
        <v>Q2/2019</v>
      </c>
      <c r="C178" s="73">
        <f t="shared" si="70"/>
        <v>43556</v>
      </c>
      <c r="D178" s="73">
        <f t="shared" si="71"/>
        <v>43646</v>
      </c>
      <c r="E178" s="72">
        <f t="shared" si="68"/>
        <v>91</v>
      </c>
      <c r="F178" s="74">
        <f>VLOOKUP(D178,'FERC Interest Rate'!$A:$B,2,TRUE)</f>
        <v>5.45E-2</v>
      </c>
      <c r="G178" s="75">
        <f t="shared" si="69"/>
        <v>904.78011196336433</v>
      </c>
      <c r="H178" s="75">
        <v>0</v>
      </c>
      <c r="I178" s="99">
        <f t="shared" si="73"/>
        <v>6.7030111963364076</v>
      </c>
      <c r="J178" s="76">
        <f t="shared" si="75"/>
        <v>12.293854699403576</v>
      </c>
      <c r="K178" s="116">
        <f t="shared" si="64"/>
        <v>18.996865895739983</v>
      </c>
      <c r="L178" s="76">
        <f t="shared" si="74"/>
        <v>83.775000000000006</v>
      </c>
      <c r="M178" s="117">
        <f t="shared" si="65"/>
        <v>102.77186589573999</v>
      </c>
      <c r="N178" s="8">
        <f t="shared" si="66"/>
        <v>917.07396666276793</v>
      </c>
      <c r="O178" s="75">
        <f t="shared" si="67"/>
        <v>814.30210076702792</v>
      </c>
    </row>
    <row r="179" spans="1:15" x14ac:dyDescent="0.25">
      <c r="A179" s="17" t="s">
        <v>63</v>
      </c>
      <c r="B179" s="72" t="str">
        <f t="shared" si="72"/>
        <v>Q3/2019</v>
      </c>
      <c r="C179" s="73">
        <f t="shared" si="70"/>
        <v>43647</v>
      </c>
      <c r="D179" s="73">
        <f t="shared" si="71"/>
        <v>43738</v>
      </c>
      <c r="E179" s="72">
        <f t="shared" si="68"/>
        <v>92</v>
      </c>
      <c r="F179" s="74">
        <f>VLOOKUP(D179,'FERC Interest Rate'!$A:$B,2,TRUE)</f>
        <v>5.5E-2</v>
      </c>
      <c r="G179" s="75">
        <f t="shared" si="69"/>
        <v>814.30210076702792</v>
      </c>
      <c r="H179" s="75">
        <v>0</v>
      </c>
      <c r="I179" s="99">
        <f t="shared" si="73"/>
        <v>6.7030111963364076</v>
      </c>
      <c r="J179" s="76">
        <f t="shared" si="75"/>
        <v>11.288681177756608</v>
      </c>
      <c r="K179" s="116">
        <f t="shared" si="64"/>
        <v>17.991692374093017</v>
      </c>
      <c r="L179" s="76">
        <f t="shared" si="74"/>
        <v>83.775000000000006</v>
      </c>
      <c r="M179" s="117">
        <f t="shared" si="65"/>
        <v>101.76669237409303</v>
      </c>
      <c r="N179" s="8">
        <f t="shared" si="66"/>
        <v>825.59078194478457</v>
      </c>
      <c r="O179" s="75">
        <f t="shared" si="67"/>
        <v>723.82408957069151</v>
      </c>
    </row>
    <row r="180" spans="1:15" x14ac:dyDescent="0.25">
      <c r="A180" s="17" t="s">
        <v>64</v>
      </c>
      <c r="B180" s="72" t="str">
        <f t="shared" si="72"/>
        <v>Q4/2019</v>
      </c>
      <c r="C180" s="73">
        <f t="shared" si="70"/>
        <v>43739</v>
      </c>
      <c r="D180" s="73">
        <f t="shared" si="71"/>
        <v>43830</v>
      </c>
      <c r="E180" s="72">
        <f t="shared" si="68"/>
        <v>92</v>
      </c>
      <c r="F180" s="74">
        <f>VLOOKUP(D180,'FERC Interest Rate'!$A:$B,2,TRUE)</f>
        <v>5.4199999999999998E-2</v>
      </c>
      <c r="G180" s="75">
        <f t="shared" si="69"/>
        <v>723.82408957069151</v>
      </c>
      <c r="H180" s="75">
        <v>0</v>
      </c>
      <c r="I180" s="99">
        <f t="shared" si="73"/>
        <v>6.7030111963364076</v>
      </c>
      <c r="J180" s="76">
        <f t="shared" si="75"/>
        <v>9.8884286033843747</v>
      </c>
      <c r="K180" s="116">
        <f t="shared" si="64"/>
        <v>16.591439799720781</v>
      </c>
      <c r="L180" s="76">
        <f t="shared" si="74"/>
        <v>83.775000000000006</v>
      </c>
      <c r="M180" s="117">
        <f t="shared" si="65"/>
        <v>100.36643979972078</v>
      </c>
      <c r="N180" s="8">
        <f t="shared" si="66"/>
        <v>733.71251817407585</v>
      </c>
      <c r="O180" s="75">
        <f t="shared" si="67"/>
        <v>633.3460783743551</v>
      </c>
    </row>
    <row r="181" spans="1:15" x14ac:dyDescent="0.25">
      <c r="A181" s="17" t="s">
        <v>65</v>
      </c>
      <c r="B181" s="72" t="str">
        <f t="shared" si="72"/>
        <v>Q1/2020</v>
      </c>
      <c r="C181" s="73">
        <f t="shared" si="70"/>
        <v>43831</v>
      </c>
      <c r="D181" s="73">
        <f t="shared" si="71"/>
        <v>43921</v>
      </c>
      <c r="E181" s="72">
        <f t="shared" si="68"/>
        <v>91</v>
      </c>
      <c r="F181" s="74">
        <f>VLOOKUP(D181,'FERC Interest Rate'!$A:$B,2,TRUE)</f>
        <v>4.9599999999999998E-2</v>
      </c>
      <c r="G181" s="75">
        <f t="shared" si="69"/>
        <v>633.3460783743551</v>
      </c>
      <c r="H181" s="75">
        <v>0</v>
      </c>
      <c r="I181" s="99">
        <f t="shared" si="73"/>
        <v>6.7030111963364076</v>
      </c>
      <c r="J181" s="76">
        <f t="shared" si="75"/>
        <v>7.8105761184439597</v>
      </c>
      <c r="K181" s="116">
        <f t="shared" si="64"/>
        <v>14.513587314780366</v>
      </c>
      <c r="L181" s="76">
        <f t="shared" si="74"/>
        <v>83.775000000000006</v>
      </c>
      <c r="M181" s="117">
        <f t="shared" si="65"/>
        <v>98.288587314780372</v>
      </c>
      <c r="N181" s="8">
        <f t="shared" si="66"/>
        <v>641.15665449279902</v>
      </c>
      <c r="O181" s="75">
        <f t="shared" si="67"/>
        <v>542.86806717801869</v>
      </c>
    </row>
    <row r="182" spans="1:15" x14ac:dyDescent="0.25">
      <c r="A182" s="17" t="s">
        <v>66</v>
      </c>
      <c r="B182" s="72" t="str">
        <f t="shared" ref="B182:B187" si="76">+IF(MONTH(C182)&lt;4,"Q1",IF(MONTH(C182)&lt;7,"Q2",IF(MONTH(C182)&lt;10,"Q3","Q4")))&amp;"/"&amp;YEAR(C182)</f>
        <v>Q2/2020</v>
      </c>
      <c r="C182" s="73">
        <f t="shared" si="70"/>
        <v>43922</v>
      </c>
      <c r="D182" s="73">
        <f t="shared" si="71"/>
        <v>44012</v>
      </c>
      <c r="E182" s="72">
        <f t="shared" si="68"/>
        <v>91</v>
      </c>
      <c r="F182" s="74">
        <f>VLOOKUP(D182,'FERC Interest Rate'!$A:$B,2,TRUE)</f>
        <v>4.7503500000000004E-2</v>
      </c>
      <c r="G182" s="75">
        <f t="shared" si="69"/>
        <v>542.86806717801869</v>
      </c>
      <c r="H182" s="75">
        <v>0</v>
      </c>
      <c r="I182" s="99">
        <f t="shared" si="73"/>
        <v>6.7030111963364076</v>
      </c>
      <c r="J182" s="76">
        <f t="shared" si="75"/>
        <v>6.4118036170939412</v>
      </c>
      <c r="K182" s="116">
        <f t="shared" si="64"/>
        <v>13.11481481343035</v>
      </c>
      <c r="L182" s="76">
        <f t="shared" si="74"/>
        <v>83.775000000000006</v>
      </c>
      <c r="M182" s="117">
        <f t="shared" si="65"/>
        <v>96.889814813430348</v>
      </c>
      <c r="N182" s="8">
        <f t="shared" si="66"/>
        <v>549.27987079511263</v>
      </c>
      <c r="O182" s="75">
        <f t="shared" si="67"/>
        <v>452.39005598168228</v>
      </c>
    </row>
    <row r="183" spans="1:15" x14ac:dyDescent="0.25">
      <c r="A183" s="17" t="s">
        <v>67</v>
      </c>
      <c r="B183" s="72" t="str">
        <f t="shared" si="76"/>
        <v>Q3/2020</v>
      </c>
      <c r="C183" s="73">
        <f t="shared" si="70"/>
        <v>44013</v>
      </c>
      <c r="D183" s="73">
        <f t="shared" si="71"/>
        <v>44104</v>
      </c>
      <c r="E183" s="72">
        <f t="shared" si="68"/>
        <v>92</v>
      </c>
      <c r="F183" s="74">
        <f>VLOOKUP(D183,'FERC Interest Rate'!$A:$B,2,TRUE)</f>
        <v>4.7507929999999997E-2</v>
      </c>
      <c r="G183" s="75">
        <f t="shared" si="69"/>
        <v>452.39005598168228</v>
      </c>
      <c r="H183" s="75">
        <v>0</v>
      </c>
      <c r="I183" s="99">
        <f t="shared" si="73"/>
        <v>6.7030111963364076</v>
      </c>
      <c r="J183" s="76">
        <f t="shared" si="75"/>
        <v>5.4023895910633692</v>
      </c>
      <c r="K183" s="116">
        <f t="shared" si="64"/>
        <v>12.105400787399777</v>
      </c>
      <c r="L183" s="76">
        <f t="shared" si="74"/>
        <v>83.775000000000006</v>
      </c>
      <c r="M183" s="117">
        <f t="shared" si="65"/>
        <v>95.880400787399779</v>
      </c>
      <c r="N183" s="8">
        <f t="shared" si="66"/>
        <v>457.79244557274563</v>
      </c>
      <c r="O183" s="75">
        <f t="shared" si="67"/>
        <v>361.91204478534587</v>
      </c>
    </row>
    <row r="184" spans="1:15" x14ac:dyDescent="0.25">
      <c r="A184" s="17" t="s">
        <v>68</v>
      </c>
      <c r="B184" s="72" t="str">
        <f t="shared" si="76"/>
        <v>Q4/2020</v>
      </c>
      <c r="C184" s="73">
        <f t="shared" si="70"/>
        <v>44105</v>
      </c>
      <c r="D184" s="73">
        <f t="shared" si="71"/>
        <v>44196</v>
      </c>
      <c r="E184" s="72">
        <f t="shared" si="68"/>
        <v>92</v>
      </c>
      <c r="F184" s="74">
        <f>VLOOKUP(D184,'FERC Interest Rate'!$A:$B,2,TRUE)</f>
        <v>4.7922320000000004E-2</v>
      </c>
      <c r="G184" s="75">
        <f t="shared" si="69"/>
        <v>361.91204478534587</v>
      </c>
      <c r="H184" s="75">
        <v>0</v>
      </c>
      <c r="I184" s="99">
        <f t="shared" si="73"/>
        <v>6.7030111963364076</v>
      </c>
      <c r="J184" s="76">
        <f t="shared" si="75"/>
        <v>4.3596097366920938</v>
      </c>
      <c r="K184" s="116">
        <f t="shared" si="64"/>
        <v>11.062620933028501</v>
      </c>
      <c r="L184" s="76">
        <f t="shared" si="74"/>
        <v>83.775000000000006</v>
      </c>
      <c r="M184" s="117">
        <f t="shared" si="65"/>
        <v>94.837620933028504</v>
      </c>
      <c r="N184" s="8">
        <f t="shared" si="66"/>
        <v>366.27165452203798</v>
      </c>
      <c r="O184" s="75">
        <f t="shared" si="67"/>
        <v>271.43403358900946</v>
      </c>
    </row>
    <row r="185" spans="1:15" x14ac:dyDescent="0.25">
      <c r="A185" s="17" t="s">
        <v>69</v>
      </c>
      <c r="B185" s="72" t="str">
        <f t="shared" si="76"/>
        <v>Q1/2021</v>
      </c>
      <c r="C185" s="73">
        <f>D184+1</f>
        <v>44197</v>
      </c>
      <c r="D185" s="73">
        <f t="shared" si="71"/>
        <v>44286</v>
      </c>
      <c r="E185" s="72">
        <f>D185-C185+1</f>
        <v>90</v>
      </c>
      <c r="F185" s="74">
        <f>VLOOKUP(D185,'FERC Interest Rate'!$A:$B,2,TRUE)</f>
        <v>5.0023470000000007E-2</v>
      </c>
      <c r="G185" s="75">
        <f>O184</f>
        <v>271.43403358900946</v>
      </c>
      <c r="H185" s="75">
        <v>0</v>
      </c>
      <c r="I185" s="99">
        <f>(SUM($H$159:$H$188)/20)</f>
        <v>6.7030111963364076</v>
      </c>
      <c r="J185" s="76">
        <f>G185*F185*(E185/(DATE(YEAR(D185),12,31)-DATE(YEAR(D185),1,1)+1))</f>
        <v>3.3480178116703909</v>
      </c>
      <c r="K185" s="116">
        <f>+SUM(I185:J185)</f>
        <v>10.051029008006799</v>
      </c>
      <c r="L185" s="76">
        <f>VLOOKUP($B$160,A$1:F$25,5,FALSE)/20</f>
        <v>83.775000000000006</v>
      </c>
      <c r="M185" s="117">
        <f>+SUM(K185:L185)</f>
        <v>93.826029008006799</v>
      </c>
      <c r="N185" s="8">
        <f>+G185+H185+J185</f>
        <v>274.78205140067985</v>
      </c>
      <c r="O185" s="75">
        <f>G185+H185-L185-I185</f>
        <v>180.95602239267305</v>
      </c>
    </row>
    <row r="186" spans="1:15" x14ac:dyDescent="0.25">
      <c r="A186" s="17" t="s">
        <v>70</v>
      </c>
      <c r="B186" s="72" t="str">
        <f t="shared" si="76"/>
        <v>Q2/2021</v>
      </c>
      <c r="C186" s="73">
        <f>D185+1</f>
        <v>44287</v>
      </c>
      <c r="D186" s="73">
        <f t="shared" si="71"/>
        <v>44377</v>
      </c>
      <c r="E186" s="72">
        <f>D186-C186+1</f>
        <v>91</v>
      </c>
      <c r="F186" s="74">
        <f>VLOOKUP(D186,'FERC Interest Rate'!$A:$B,2,TRUE)</f>
        <v>5.0403730000000001E-2</v>
      </c>
      <c r="G186" s="75">
        <f>O185</f>
        <v>180.95602239267305</v>
      </c>
      <c r="H186" s="75">
        <v>0</v>
      </c>
      <c r="I186" s="99">
        <f>(SUM($H$159:$H$188)/20)</f>
        <v>6.7030111963364076</v>
      </c>
      <c r="J186" s="76">
        <f>G186*F186*(E186/(DATE(YEAR(D186),12,31)-DATE(YEAR(D186),1,1)+1))</f>
        <v>2.2739674602861273</v>
      </c>
      <c r="K186" s="116">
        <f>+SUM(I186:J186)</f>
        <v>8.9769786566225349</v>
      </c>
      <c r="L186" s="76">
        <f>VLOOKUP($B$160,A$1:F$25,5,FALSE)/20</f>
        <v>83.775000000000006</v>
      </c>
      <c r="M186" s="117">
        <f>+SUM(K186:L186)</f>
        <v>92.751978656622541</v>
      </c>
      <c r="N186" s="8">
        <f>+G186+H186+J186</f>
        <v>183.22998985295916</v>
      </c>
      <c r="O186" s="75">
        <f>G186+H186-L186-I186</f>
        <v>90.478011196336638</v>
      </c>
    </row>
    <row r="187" spans="1:15" x14ac:dyDescent="0.25">
      <c r="A187" s="17" t="s">
        <v>71</v>
      </c>
      <c r="B187" s="72" t="str">
        <f t="shared" si="76"/>
        <v>Q3/2021</v>
      </c>
      <c r="C187" s="73">
        <f>D186+1</f>
        <v>44378</v>
      </c>
      <c r="D187" s="73">
        <f t="shared" si="71"/>
        <v>44469</v>
      </c>
      <c r="E187" s="72">
        <f>D187-C187+1</f>
        <v>92</v>
      </c>
      <c r="F187" s="74">
        <f>VLOOKUP(D187,'FERC Interest Rate'!$A:$B,2,TRUE)</f>
        <v>5.2520850000000001E-2</v>
      </c>
      <c r="G187" s="75">
        <f>O186</f>
        <v>90.478011196336638</v>
      </c>
      <c r="H187" s="75">
        <v>0</v>
      </c>
      <c r="I187" s="99">
        <f>(SUM($H$159:$H$188)/20)</f>
        <v>6.7030111963364076</v>
      </c>
      <c r="J187" s="76">
        <f>G187*F187*(E187/(DATE(YEAR(D187),12,31)-DATE(YEAR(D187),1,1)+1))</f>
        <v>1.1977598602722817</v>
      </c>
      <c r="K187" s="116">
        <f>+SUM(I187:J187)</f>
        <v>7.9007710566086891</v>
      </c>
      <c r="L187" s="76">
        <f>VLOOKUP($B$160,A$1:F$25,5,FALSE)/20</f>
        <v>83.775000000000006</v>
      </c>
      <c r="M187" s="117">
        <f>+SUM(K187:L187)</f>
        <v>91.675771056608696</v>
      </c>
      <c r="N187" s="8">
        <f>+G187+H187+J187</f>
        <v>91.675771056608923</v>
      </c>
      <c r="O187" s="75">
        <f>G187+H187-L187-I187</f>
        <v>2.2470914018413168E-13</v>
      </c>
    </row>
    <row r="188" spans="1:15" x14ac:dyDescent="0.25">
      <c r="A188" s="78"/>
      <c r="B188" s="72"/>
      <c r="C188" s="73"/>
      <c r="D188" s="73"/>
      <c r="E188" s="72"/>
      <c r="F188" s="74"/>
      <c r="G188" s="75"/>
      <c r="H188" s="75"/>
      <c r="I188" s="99"/>
      <c r="J188" s="76"/>
      <c r="K188" s="116"/>
      <c r="L188" s="76"/>
      <c r="M188" s="117"/>
      <c r="N188" s="8"/>
      <c r="O188" s="75"/>
    </row>
    <row r="189" spans="1:15" ht="13.5" thickBot="1" x14ac:dyDescent="0.35">
      <c r="A189" s="142"/>
      <c r="B189" s="143"/>
      <c r="C189" s="144"/>
      <c r="D189" s="144"/>
      <c r="E189" s="145"/>
      <c r="F189" s="143"/>
      <c r="G189" s="124">
        <f t="shared" ref="G189:O189" si="77">SUM(G159:G188)</f>
        <v>34484.422166151715</v>
      </c>
      <c r="H189" s="124">
        <f t="shared" si="77"/>
        <v>134.06022392672816</v>
      </c>
      <c r="I189" s="125">
        <f t="shared" si="77"/>
        <v>134.06022392672813</v>
      </c>
      <c r="J189" s="124">
        <f t="shared" si="77"/>
        <v>193.41844415847368</v>
      </c>
      <c r="K189" s="124">
        <f t="shared" si="77"/>
        <v>327.47866808520189</v>
      </c>
      <c r="L189" s="124">
        <f t="shared" si="77"/>
        <v>1675.5000000000005</v>
      </c>
      <c r="M189" s="126">
        <f t="shared" si="77"/>
        <v>2002.9786680852021</v>
      </c>
      <c r="N189" s="124">
        <f t="shared" si="77"/>
        <v>34811.900834236927</v>
      </c>
      <c r="O189" s="124">
        <f t="shared" si="77"/>
        <v>32808.922166151715</v>
      </c>
    </row>
    <row r="190" spans="1:15" ht="13" thickTop="1" x14ac:dyDescent="0.25">
      <c r="B190" s="103"/>
      <c r="C190" s="103"/>
      <c r="D190" s="103"/>
      <c r="E190" s="103"/>
      <c r="F190" s="103"/>
      <c r="G190" s="103"/>
      <c r="H190" s="103"/>
      <c r="I190" s="102"/>
      <c r="J190" s="103"/>
      <c r="K190" s="103"/>
      <c r="L190" s="103"/>
      <c r="M190" s="118"/>
      <c r="O190" s="103"/>
    </row>
    <row r="191" spans="1:15" ht="52" x14ac:dyDescent="0.3">
      <c r="A191" s="77" t="s">
        <v>51</v>
      </c>
      <c r="B191" s="77" t="s">
        <v>3</v>
      </c>
      <c r="C191" s="77" t="s">
        <v>4</v>
      </c>
      <c r="D191" s="77" t="s">
        <v>5</v>
      </c>
      <c r="E191" s="77" t="s">
        <v>6</v>
      </c>
      <c r="F191" s="77" t="s">
        <v>7</v>
      </c>
      <c r="G191" s="77" t="s">
        <v>92</v>
      </c>
      <c r="H191" s="77" t="s">
        <v>93</v>
      </c>
      <c r="I191" s="94" t="s">
        <v>94</v>
      </c>
      <c r="J191" s="95" t="s">
        <v>95</v>
      </c>
      <c r="K191" s="95" t="s">
        <v>96</v>
      </c>
      <c r="L191" s="95" t="s">
        <v>97</v>
      </c>
      <c r="M191" s="96" t="s">
        <v>98</v>
      </c>
      <c r="N191" s="77" t="s">
        <v>99</v>
      </c>
      <c r="O191" s="77" t="s">
        <v>100</v>
      </c>
    </row>
    <row r="192" spans="1:15" ht="13" x14ac:dyDescent="0.3">
      <c r="A192" s="347" t="s">
        <v>14</v>
      </c>
      <c r="B192" s="347"/>
      <c r="C192" s="73">
        <f>VLOOKUP(B193,A$1:F$25,2,FALSE)</f>
        <v>41922</v>
      </c>
      <c r="D192" s="73">
        <f>DATE(YEAR(C192),IF(MONTH(C192)&lt;=3,3,IF(MONTH(C192)&lt;=6,6,IF(MONTH(C192)&lt;=9,9,12))),IF(OR(MONTH(C192)&lt;=3,MONTH(C192)&gt;=10),31,30))</f>
        <v>42004</v>
      </c>
      <c r="E192" s="72">
        <f>D192-C192+1</f>
        <v>83</v>
      </c>
      <c r="F192" s="74">
        <f>VLOOKUP(D192,'FERC Interest Rate'!$A:$B,2,TRUE)</f>
        <v>3.2500000000000001E-2</v>
      </c>
      <c r="G192" s="75">
        <f>VLOOKUP(B193,$A$1:$F$29,5,FALSE)</f>
        <v>1962</v>
      </c>
      <c r="H192" s="75">
        <f t="shared" ref="H192:H200" si="78">G192*F192*(E192/(DATE(YEAR(D192),12,31)-DATE(YEAR(D192),1,1)+1))</f>
        <v>14.499986301369864</v>
      </c>
      <c r="I192" s="180">
        <v>0</v>
      </c>
      <c r="J192" s="76">
        <v>0</v>
      </c>
      <c r="K192" s="116">
        <f t="shared" ref="K192:K216" si="79">+SUM(I192:J192)</f>
        <v>0</v>
      </c>
      <c r="L192" s="76">
        <v>0</v>
      </c>
      <c r="M192" s="117">
        <f t="shared" ref="M192:M216" si="80">+SUM(K192:L192)</f>
        <v>0</v>
      </c>
      <c r="N192" s="8">
        <f t="shared" ref="N192:N216" si="81">+G192+H192+J192</f>
        <v>1976.49998630137</v>
      </c>
      <c r="O192" s="75">
        <f t="shared" ref="O192:O216" si="82">G192+H192-L192-I192</f>
        <v>1976.49998630137</v>
      </c>
    </row>
    <row r="193" spans="1:15" ht="13" x14ac:dyDescent="0.3">
      <c r="A193" s="110" t="s">
        <v>40</v>
      </c>
      <c r="B193" s="141" t="s">
        <v>56</v>
      </c>
      <c r="C193" s="73">
        <f>D192+1</f>
        <v>42005</v>
      </c>
      <c r="D193" s="73">
        <f>EOMONTH(D192,3)</f>
        <v>42094</v>
      </c>
      <c r="E193" s="72">
        <f t="shared" ref="E193:E216" si="83">D193-C193+1</f>
        <v>90</v>
      </c>
      <c r="F193" s="74">
        <f>VLOOKUP(D193,'FERC Interest Rate'!$A:$B,2,TRUE)</f>
        <v>3.2500000000000001E-2</v>
      </c>
      <c r="G193" s="75">
        <f t="shared" ref="G193:G216" si="84">O192</f>
        <v>1976.49998630137</v>
      </c>
      <c r="H193" s="75">
        <f t="shared" si="78"/>
        <v>15.83907523268906</v>
      </c>
      <c r="I193" s="180">
        <v>0</v>
      </c>
      <c r="J193" s="76">
        <v>0</v>
      </c>
      <c r="K193" s="116">
        <f t="shared" si="79"/>
        <v>0</v>
      </c>
      <c r="L193" s="76">
        <v>0</v>
      </c>
      <c r="M193" s="117">
        <f t="shared" si="80"/>
        <v>0</v>
      </c>
      <c r="N193" s="8">
        <f t="shared" si="81"/>
        <v>1992.3390615340591</v>
      </c>
      <c r="O193" s="75">
        <f t="shared" si="82"/>
        <v>1992.3390615340591</v>
      </c>
    </row>
    <row r="194" spans="1:15" ht="13" x14ac:dyDescent="0.3">
      <c r="B194" s="301"/>
      <c r="C194" s="73">
        <f t="shared" ref="C194:C216" si="85">D193+1</f>
        <v>42095</v>
      </c>
      <c r="D194" s="73">
        <f t="shared" ref="D194:D219" si="86">EOMONTH(D193,3)</f>
        <v>42185</v>
      </c>
      <c r="E194" s="72">
        <f t="shared" si="83"/>
        <v>91</v>
      </c>
      <c r="F194" s="74">
        <f>VLOOKUP(D194,'FERC Interest Rate'!$A:$B,2,TRUE)</f>
        <v>3.2500000000000001E-2</v>
      </c>
      <c r="G194" s="75">
        <f t="shared" si="84"/>
        <v>1992.3390615340591</v>
      </c>
      <c r="H194" s="75">
        <f t="shared" si="78"/>
        <v>16.143404861608165</v>
      </c>
      <c r="I194" s="180">
        <v>0</v>
      </c>
      <c r="J194" s="76">
        <v>0</v>
      </c>
      <c r="K194" s="116">
        <f t="shared" si="79"/>
        <v>0</v>
      </c>
      <c r="L194" s="76">
        <v>0</v>
      </c>
      <c r="M194" s="117">
        <f t="shared" si="80"/>
        <v>0</v>
      </c>
      <c r="N194" s="8">
        <f t="shared" si="81"/>
        <v>2008.4824663956672</v>
      </c>
      <c r="O194" s="75">
        <f t="shared" si="82"/>
        <v>2008.4824663956672</v>
      </c>
    </row>
    <row r="195" spans="1:15" ht="13" x14ac:dyDescent="0.3">
      <c r="B195" s="301"/>
      <c r="C195" s="73">
        <f t="shared" si="85"/>
        <v>42186</v>
      </c>
      <c r="D195" s="73">
        <f t="shared" si="86"/>
        <v>42277</v>
      </c>
      <c r="E195" s="72">
        <f t="shared" si="83"/>
        <v>92</v>
      </c>
      <c r="F195" s="74">
        <f>VLOOKUP(D195,'FERC Interest Rate'!$A:$B,2,TRUE)</f>
        <v>3.2500000000000001E-2</v>
      </c>
      <c r="G195" s="75">
        <f t="shared" si="84"/>
        <v>2008.4824663956672</v>
      </c>
      <c r="H195" s="75">
        <f t="shared" si="78"/>
        <v>16.453048149378208</v>
      </c>
      <c r="I195" s="180">
        <v>0</v>
      </c>
      <c r="J195" s="76">
        <v>0</v>
      </c>
      <c r="K195" s="116">
        <f t="shared" si="79"/>
        <v>0</v>
      </c>
      <c r="L195" s="76">
        <v>0</v>
      </c>
      <c r="M195" s="117">
        <f t="shared" si="80"/>
        <v>0</v>
      </c>
      <c r="N195" s="8">
        <f t="shared" si="81"/>
        <v>2024.9355145450454</v>
      </c>
      <c r="O195" s="75">
        <f t="shared" si="82"/>
        <v>2024.9355145450454</v>
      </c>
    </row>
    <row r="196" spans="1:15" ht="13" x14ac:dyDescent="0.3">
      <c r="B196" s="301"/>
      <c r="C196" s="73">
        <f t="shared" si="85"/>
        <v>42278</v>
      </c>
      <c r="D196" s="73">
        <f t="shared" si="86"/>
        <v>42369</v>
      </c>
      <c r="E196" s="72">
        <f t="shared" si="83"/>
        <v>92</v>
      </c>
      <c r="F196" s="74">
        <f>VLOOKUP(D196,'FERC Interest Rate'!$A:$B,2,TRUE)</f>
        <v>3.2500000000000001E-2</v>
      </c>
      <c r="G196" s="75">
        <f t="shared" si="84"/>
        <v>2024.9355145450454</v>
      </c>
      <c r="H196" s="75">
        <f t="shared" si="78"/>
        <v>16.587827913670374</v>
      </c>
      <c r="I196" s="180">
        <v>0</v>
      </c>
      <c r="J196" s="76">
        <v>0</v>
      </c>
      <c r="K196" s="116">
        <f t="shared" si="79"/>
        <v>0</v>
      </c>
      <c r="L196" s="76">
        <v>0</v>
      </c>
      <c r="M196" s="117">
        <f t="shared" si="80"/>
        <v>0</v>
      </c>
      <c r="N196" s="8">
        <f t="shared" si="81"/>
        <v>2041.5233424587159</v>
      </c>
      <c r="O196" s="75">
        <f t="shared" si="82"/>
        <v>2041.5233424587159</v>
      </c>
    </row>
    <row r="197" spans="1:15" x14ac:dyDescent="0.25">
      <c r="A197" s="78"/>
      <c r="B197" s="72"/>
      <c r="C197" s="73">
        <f t="shared" si="85"/>
        <v>42370</v>
      </c>
      <c r="D197" s="73">
        <f t="shared" si="86"/>
        <v>42460</v>
      </c>
      <c r="E197" s="72">
        <f t="shared" si="83"/>
        <v>91</v>
      </c>
      <c r="F197" s="74">
        <f>VLOOKUP(D197,'FERC Interest Rate'!$A:$B,2,TRUE)</f>
        <v>3.2500000000000001E-2</v>
      </c>
      <c r="G197" s="75">
        <f t="shared" si="84"/>
        <v>2041.5233424587159</v>
      </c>
      <c r="H197" s="75">
        <f t="shared" si="78"/>
        <v>16.496735752244952</v>
      </c>
      <c r="I197" s="180">
        <v>0</v>
      </c>
      <c r="J197" s="76">
        <v>0</v>
      </c>
      <c r="K197" s="116">
        <f t="shared" si="79"/>
        <v>0</v>
      </c>
      <c r="L197" s="76">
        <v>0</v>
      </c>
      <c r="M197" s="117">
        <f t="shared" si="80"/>
        <v>0</v>
      </c>
      <c r="N197" s="8">
        <f t="shared" si="81"/>
        <v>2058.0200782109609</v>
      </c>
      <c r="O197" s="75">
        <f t="shared" si="82"/>
        <v>2058.0200782109609</v>
      </c>
    </row>
    <row r="198" spans="1:15" x14ac:dyDescent="0.25">
      <c r="A198" s="78"/>
      <c r="B198" s="72"/>
      <c r="C198" s="73">
        <f t="shared" si="85"/>
        <v>42461</v>
      </c>
      <c r="D198" s="73">
        <f t="shared" si="86"/>
        <v>42551</v>
      </c>
      <c r="E198" s="72">
        <f t="shared" si="83"/>
        <v>91</v>
      </c>
      <c r="F198" s="74">
        <f>VLOOKUP(D198,'FERC Interest Rate'!$A:$B,2,TRUE)</f>
        <v>3.4599999999999999E-2</v>
      </c>
      <c r="G198" s="75">
        <f t="shared" si="84"/>
        <v>2058.0200782109609</v>
      </c>
      <c r="H198" s="75">
        <f t="shared" si="78"/>
        <v>17.704595678292435</v>
      </c>
      <c r="I198" s="180">
        <v>0</v>
      </c>
      <c r="J198" s="76">
        <v>0</v>
      </c>
      <c r="K198" s="116">
        <f t="shared" si="79"/>
        <v>0</v>
      </c>
      <c r="L198" s="76">
        <v>0</v>
      </c>
      <c r="M198" s="117">
        <f t="shared" si="80"/>
        <v>0</v>
      </c>
      <c r="N198" s="8">
        <f t="shared" si="81"/>
        <v>2075.7246738892536</v>
      </c>
      <c r="O198" s="75">
        <f t="shared" si="82"/>
        <v>2075.7246738892536</v>
      </c>
    </row>
    <row r="199" spans="1:15" x14ac:dyDescent="0.25">
      <c r="A199" s="78"/>
      <c r="B199" s="72"/>
      <c r="C199" s="73">
        <f t="shared" si="85"/>
        <v>42552</v>
      </c>
      <c r="D199" s="73">
        <f t="shared" si="86"/>
        <v>42643</v>
      </c>
      <c r="E199" s="72">
        <f t="shared" si="83"/>
        <v>92</v>
      </c>
      <c r="F199" s="74">
        <f>VLOOKUP(D199,'FERC Interest Rate'!$A:$B,2,TRUE)</f>
        <v>3.5000000000000003E-2</v>
      </c>
      <c r="G199" s="75">
        <f t="shared" si="84"/>
        <v>2075.7246738892536</v>
      </c>
      <c r="H199" s="75">
        <f t="shared" si="78"/>
        <v>18.261840027113109</v>
      </c>
      <c r="I199" s="180">
        <v>0</v>
      </c>
      <c r="J199" s="76">
        <v>0</v>
      </c>
      <c r="K199" s="116">
        <f t="shared" si="79"/>
        <v>0</v>
      </c>
      <c r="L199" s="76">
        <v>0</v>
      </c>
      <c r="M199" s="117">
        <f t="shared" si="80"/>
        <v>0</v>
      </c>
      <c r="N199" s="8">
        <f t="shared" si="81"/>
        <v>2093.9865139163667</v>
      </c>
      <c r="O199" s="75">
        <f t="shared" si="82"/>
        <v>2093.9865139163667</v>
      </c>
    </row>
    <row r="200" spans="1:15" x14ac:dyDescent="0.25">
      <c r="A200" s="17" t="s">
        <v>52</v>
      </c>
      <c r="B200" s="72" t="str">
        <f t="shared" ref="B200:B213" si="87">+IF(MONTH(C200)&lt;4,"Q1",IF(MONTH(C200)&lt;7,"Q2",IF(MONTH(C200)&lt;10,"Q3","Q4")))&amp;"/"&amp;YEAR(C200)</f>
        <v>Q4/2016</v>
      </c>
      <c r="C200" s="73">
        <f t="shared" si="85"/>
        <v>42644</v>
      </c>
      <c r="D200" s="73">
        <f t="shared" si="86"/>
        <v>42735</v>
      </c>
      <c r="E200" s="72">
        <f t="shared" si="83"/>
        <v>92</v>
      </c>
      <c r="F200" s="74">
        <f>VLOOKUP(D200,'FERC Interest Rate'!$A:$B,2,TRUE)</f>
        <v>3.5000000000000003E-2</v>
      </c>
      <c r="G200" s="75">
        <f t="shared" si="84"/>
        <v>2093.9865139163667</v>
      </c>
      <c r="H200" s="75">
        <f t="shared" si="78"/>
        <v>18.422504302761482</v>
      </c>
      <c r="I200" s="180">
        <f>SUM($H$192:$H$220)/20</f>
        <v>7.5204509109563817</v>
      </c>
      <c r="J200" s="76">
        <v>0</v>
      </c>
      <c r="K200" s="116">
        <f t="shared" si="79"/>
        <v>7.5204509109563817</v>
      </c>
      <c r="L200" s="76">
        <f>VLOOKUP($B$193,A$1:F$25,5,FALSE)/20</f>
        <v>98.1</v>
      </c>
      <c r="M200" s="117">
        <f t="shared" si="80"/>
        <v>105.62045091095638</v>
      </c>
      <c r="N200" s="8">
        <f t="shared" si="81"/>
        <v>2112.409018219128</v>
      </c>
      <c r="O200" s="75">
        <f t="shared" si="82"/>
        <v>2006.7885673081717</v>
      </c>
    </row>
    <row r="201" spans="1:15" x14ac:dyDescent="0.25">
      <c r="A201" s="17" t="s">
        <v>53</v>
      </c>
      <c r="B201" s="72" t="str">
        <f t="shared" si="87"/>
        <v>Q1/2017</v>
      </c>
      <c r="C201" s="73">
        <f t="shared" si="85"/>
        <v>42736</v>
      </c>
      <c r="D201" s="73">
        <f t="shared" si="86"/>
        <v>42825</v>
      </c>
      <c r="E201" s="72">
        <f t="shared" si="83"/>
        <v>90</v>
      </c>
      <c r="F201" s="74">
        <f>VLOOKUP(D201,'FERC Interest Rate'!$A:$B,2,TRUE)</f>
        <v>3.5000000000000003E-2</v>
      </c>
      <c r="G201" s="75">
        <f t="shared" si="84"/>
        <v>2006.7885673081717</v>
      </c>
      <c r="H201" s="75">
        <v>0</v>
      </c>
      <c r="I201" s="99">
        <f t="shared" ref="I201:I219" si="88">SUM($H$192:$H$220)/20</f>
        <v>7.5204509109563817</v>
      </c>
      <c r="J201" s="76">
        <f t="shared" ref="J201:J216" si="89">G201*F201*(E201/(DATE(YEAR(D201),12,31)-DATE(YEAR(D201),1,1)+1))</f>
        <v>17.318860238412988</v>
      </c>
      <c r="K201" s="116">
        <f t="shared" si="79"/>
        <v>24.839311149369369</v>
      </c>
      <c r="L201" s="76">
        <f t="shared" ref="L201:L216" si="90">VLOOKUP($B$193,A$1:F$25,5,FALSE)/20</f>
        <v>98.1</v>
      </c>
      <c r="M201" s="117">
        <f t="shared" si="80"/>
        <v>122.93931114936936</v>
      </c>
      <c r="N201" s="8">
        <f t="shared" si="81"/>
        <v>2024.1074275465846</v>
      </c>
      <c r="O201" s="75">
        <f t="shared" si="82"/>
        <v>1901.1681163972153</v>
      </c>
    </row>
    <row r="202" spans="1:15" x14ac:dyDescent="0.25">
      <c r="A202" s="17" t="s">
        <v>54</v>
      </c>
      <c r="B202" s="72" t="str">
        <f t="shared" si="87"/>
        <v>Q2/2017</v>
      </c>
      <c r="C202" s="73">
        <f t="shared" si="85"/>
        <v>42826</v>
      </c>
      <c r="D202" s="73">
        <f t="shared" si="86"/>
        <v>42916</v>
      </c>
      <c r="E202" s="72">
        <f t="shared" si="83"/>
        <v>91</v>
      </c>
      <c r="F202" s="74">
        <f>VLOOKUP(D202,'FERC Interest Rate'!$A:$B,2,TRUE)</f>
        <v>3.7100000000000001E-2</v>
      </c>
      <c r="G202" s="75">
        <f t="shared" si="84"/>
        <v>1901.1681163972153</v>
      </c>
      <c r="H202" s="75">
        <v>0</v>
      </c>
      <c r="I202" s="99">
        <f t="shared" si="88"/>
        <v>7.5204509109563817</v>
      </c>
      <c r="J202" s="76">
        <f t="shared" si="89"/>
        <v>17.585023774708599</v>
      </c>
      <c r="K202" s="116">
        <f t="shared" si="79"/>
        <v>25.10547468566498</v>
      </c>
      <c r="L202" s="76">
        <f t="shared" si="90"/>
        <v>98.1</v>
      </c>
      <c r="M202" s="117">
        <f t="shared" si="80"/>
        <v>123.20547468566497</v>
      </c>
      <c r="N202" s="8">
        <f t="shared" si="81"/>
        <v>1918.7531401719239</v>
      </c>
      <c r="O202" s="75">
        <f t="shared" si="82"/>
        <v>1795.5476654862589</v>
      </c>
    </row>
    <row r="203" spans="1:15" x14ac:dyDescent="0.25">
      <c r="A203" s="17" t="s">
        <v>55</v>
      </c>
      <c r="B203" s="72" t="str">
        <f t="shared" si="87"/>
        <v>Q3/2017</v>
      </c>
      <c r="C203" s="73">
        <f t="shared" si="85"/>
        <v>42917</v>
      </c>
      <c r="D203" s="73">
        <f t="shared" si="86"/>
        <v>43008</v>
      </c>
      <c r="E203" s="72">
        <f t="shared" si="83"/>
        <v>92</v>
      </c>
      <c r="F203" s="74">
        <f>VLOOKUP(D203,'FERC Interest Rate'!$A:$B,2,TRUE)</f>
        <v>3.9600000000000003E-2</v>
      </c>
      <c r="G203" s="75">
        <f t="shared" si="84"/>
        <v>1795.5476654862589</v>
      </c>
      <c r="H203" s="75">
        <v>0</v>
      </c>
      <c r="I203" s="99">
        <f t="shared" si="88"/>
        <v>7.5204509109563817</v>
      </c>
      <c r="J203" s="76">
        <f t="shared" si="89"/>
        <v>17.922025355889147</v>
      </c>
      <c r="K203" s="116">
        <f t="shared" si="79"/>
        <v>25.442476266845528</v>
      </c>
      <c r="L203" s="76">
        <f t="shared" si="90"/>
        <v>98.1</v>
      </c>
      <c r="M203" s="117">
        <f t="shared" si="80"/>
        <v>123.54247626684553</v>
      </c>
      <c r="N203" s="8">
        <f t="shared" si="81"/>
        <v>1813.4696908421481</v>
      </c>
      <c r="O203" s="75">
        <f t="shared" si="82"/>
        <v>1689.9272145753025</v>
      </c>
    </row>
    <row r="204" spans="1:15" x14ac:dyDescent="0.25">
      <c r="A204" s="17" t="s">
        <v>56</v>
      </c>
      <c r="B204" s="72" t="str">
        <f t="shared" si="87"/>
        <v>Q4/2017</v>
      </c>
      <c r="C204" s="73">
        <f t="shared" si="85"/>
        <v>43009</v>
      </c>
      <c r="D204" s="73">
        <f t="shared" si="86"/>
        <v>43100</v>
      </c>
      <c r="E204" s="72">
        <f t="shared" si="83"/>
        <v>92</v>
      </c>
      <c r="F204" s="74">
        <f>VLOOKUP(D204,'FERC Interest Rate'!$A:$B,2,TRUE)</f>
        <v>4.2099999999999999E-2</v>
      </c>
      <c r="G204" s="75">
        <f t="shared" si="84"/>
        <v>1689.9272145753025</v>
      </c>
      <c r="H204" s="75">
        <v>0</v>
      </c>
      <c r="I204" s="99">
        <f t="shared" si="88"/>
        <v>7.5204509109563817</v>
      </c>
      <c r="J204" s="76">
        <f>G204*F204*(E204/(DATE(YEAR(D204),12,31)-DATE(YEAR(D204),1,1)+1))</f>
        <v>17.93267421230976</v>
      </c>
      <c r="K204" s="116">
        <f t="shared" si="79"/>
        <v>25.45312512326614</v>
      </c>
      <c r="L204" s="76">
        <f t="shared" si="90"/>
        <v>98.1</v>
      </c>
      <c r="M204" s="117">
        <f t="shared" si="80"/>
        <v>123.55312512326614</v>
      </c>
      <c r="N204" s="8">
        <f t="shared" si="81"/>
        <v>1707.8598887876124</v>
      </c>
      <c r="O204" s="75">
        <f t="shared" si="82"/>
        <v>1584.3067636643461</v>
      </c>
    </row>
    <row r="205" spans="1:15" x14ac:dyDescent="0.25">
      <c r="A205" s="17" t="s">
        <v>57</v>
      </c>
      <c r="B205" s="72" t="str">
        <f t="shared" si="87"/>
        <v>Q1/2018</v>
      </c>
      <c r="C205" s="73">
        <f t="shared" si="85"/>
        <v>43101</v>
      </c>
      <c r="D205" s="73">
        <f t="shared" si="86"/>
        <v>43190</v>
      </c>
      <c r="E205" s="72">
        <f t="shared" si="83"/>
        <v>90</v>
      </c>
      <c r="F205" s="74">
        <f>VLOOKUP(D205,'FERC Interest Rate'!$A:$B,2,TRUE)</f>
        <v>4.2500000000000003E-2</v>
      </c>
      <c r="G205" s="75">
        <f t="shared" si="84"/>
        <v>1584.3067636643461</v>
      </c>
      <c r="H205" s="75">
        <v>0</v>
      </c>
      <c r="I205" s="99">
        <f t="shared" si="88"/>
        <v>7.5204509109563817</v>
      </c>
      <c r="J205" s="76">
        <f t="shared" si="89"/>
        <v>16.602666769907188</v>
      </c>
      <c r="K205" s="116">
        <f t="shared" si="79"/>
        <v>24.123117680863569</v>
      </c>
      <c r="L205" s="76">
        <f t="shared" si="90"/>
        <v>98.1</v>
      </c>
      <c r="M205" s="117">
        <f t="shared" si="80"/>
        <v>122.22311768086357</v>
      </c>
      <c r="N205" s="8">
        <f t="shared" si="81"/>
        <v>1600.9094304342534</v>
      </c>
      <c r="O205" s="75">
        <f t="shared" si="82"/>
        <v>1478.6863127533898</v>
      </c>
    </row>
    <row r="206" spans="1:15" x14ac:dyDescent="0.25">
      <c r="A206" s="17" t="s">
        <v>58</v>
      </c>
      <c r="B206" s="72" t="str">
        <f t="shared" si="87"/>
        <v>Q2/2018</v>
      </c>
      <c r="C206" s="73">
        <f t="shared" si="85"/>
        <v>43191</v>
      </c>
      <c r="D206" s="73">
        <f t="shared" si="86"/>
        <v>43281</v>
      </c>
      <c r="E206" s="72">
        <f t="shared" si="83"/>
        <v>91</v>
      </c>
      <c r="F206" s="74">
        <f>VLOOKUP(D206,'FERC Interest Rate'!$A:$B,2,TRUE)</f>
        <v>4.4699999999999997E-2</v>
      </c>
      <c r="G206" s="75">
        <f t="shared" si="84"/>
        <v>1478.6863127533898</v>
      </c>
      <c r="H206" s="75">
        <v>0</v>
      </c>
      <c r="I206" s="99">
        <f t="shared" si="88"/>
        <v>7.5204509109563817</v>
      </c>
      <c r="J206" s="76">
        <f t="shared" si="89"/>
        <v>16.479047436676609</v>
      </c>
      <c r="K206" s="116">
        <f t="shared" si="79"/>
        <v>23.99949834763299</v>
      </c>
      <c r="L206" s="76">
        <f t="shared" si="90"/>
        <v>98.1</v>
      </c>
      <c r="M206" s="117">
        <f t="shared" si="80"/>
        <v>122.09949834763299</v>
      </c>
      <c r="N206" s="8">
        <f t="shared" si="81"/>
        <v>1495.1653601900664</v>
      </c>
      <c r="O206" s="75">
        <f t="shared" si="82"/>
        <v>1373.0658618424334</v>
      </c>
    </row>
    <row r="207" spans="1:15" x14ac:dyDescent="0.25">
      <c r="A207" s="17" t="s">
        <v>59</v>
      </c>
      <c r="B207" s="72" t="str">
        <f t="shared" si="87"/>
        <v>Q3/2018</v>
      </c>
      <c r="C207" s="73">
        <f t="shared" si="85"/>
        <v>43282</v>
      </c>
      <c r="D207" s="73">
        <f t="shared" si="86"/>
        <v>43373</v>
      </c>
      <c r="E207" s="72">
        <f t="shared" si="83"/>
        <v>92</v>
      </c>
      <c r="F207" s="74">
        <f>VLOOKUP(D207,'FERC Interest Rate'!$A:$B,2,TRUE)</f>
        <v>4.6899999999999997E-2</v>
      </c>
      <c r="G207" s="75">
        <f t="shared" si="84"/>
        <v>1373.0658618424334</v>
      </c>
      <c r="H207" s="75">
        <v>0</v>
      </c>
      <c r="I207" s="99">
        <f t="shared" si="88"/>
        <v>7.5204509109563817</v>
      </c>
      <c r="J207" s="76">
        <f t="shared" si="89"/>
        <v>16.231519399117072</v>
      </c>
      <c r="K207" s="116">
        <f t="shared" si="79"/>
        <v>23.751970310073453</v>
      </c>
      <c r="L207" s="76">
        <f t="shared" si="90"/>
        <v>98.1</v>
      </c>
      <c r="M207" s="117">
        <f t="shared" si="80"/>
        <v>121.85197031007345</v>
      </c>
      <c r="N207" s="8">
        <f t="shared" si="81"/>
        <v>1389.2973812415505</v>
      </c>
      <c r="O207" s="75">
        <f t="shared" si="82"/>
        <v>1267.445410931477</v>
      </c>
    </row>
    <row r="208" spans="1:15" x14ac:dyDescent="0.25">
      <c r="A208" s="17" t="s">
        <v>60</v>
      </c>
      <c r="B208" s="72" t="str">
        <f t="shared" si="87"/>
        <v>Q4/2018</v>
      </c>
      <c r="C208" s="73">
        <f t="shared" si="85"/>
        <v>43374</v>
      </c>
      <c r="D208" s="73">
        <f t="shared" si="86"/>
        <v>43465</v>
      </c>
      <c r="E208" s="72">
        <f t="shared" si="83"/>
        <v>92</v>
      </c>
      <c r="F208" s="74">
        <f>VLOOKUP(D208,'FERC Interest Rate'!$A:$B,2,TRUE)</f>
        <v>4.9599999999999998E-2</v>
      </c>
      <c r="G208" s="75">
        <f t="shared" si="84"/>
        <v>1267.445410931477</v>
      </c>
      <c r="H208" s="75">
        <v>0</v>
      </c>
      <c r="I208" s="99">
        <f t="shared" si="88"/>
        <v>7.5204509109563817</v>
      </c>
      <c r="J208" s="76">
        <f t="shared" si="89"/>
        <v>15.845498353869907</v>
      </c>
      <c r="K208" s="116">
        <f t="shared" si="79"/>
        <v>23.365949264826288</v>
      </c>
      <c r="L208" s="76">
        <f t="shared" si="90"/>
        <v>98.1</v>
      </c>
      <c r="M208" s="117">
        <f t="shared" si="80"/>
        <v>121.46594926482628</v>
      </c>
      <c r="N208" s="8">
        <f t="shared" si="81"/>
        <v>1283.290909285347</v>
      </c>
      <c r="O208" s="75">
        <f t="shared" si="82"/>
        <v>1161.8249600205206</v>
      </c>
    </row>
    <row r="209" spans="1:15" x14ac:dyDescent="0.25">
      <c r="A209" s="17" t="s">
        <v>61</v>
      </c>
      <c r="B209" s="72" t="str">
        <f t="shared" si="87"/>
        <v>Q1/2019</v>
      </c>
      <c r="C209" s="73">
        <f t="shared" si="85"/>
        <v>43466</v>
      </c>
      <c r="D209" s="73">
        <f t="shared" si="86"/>
        <v>43555</v>
      </c>
      <c r="E209" s="72">
        <f t="shared" si="83"/>
        <v>90</v>
      </c>
      <c r="F209" s="74">
        <f>VLOOKUP(D209,'FERC Interest Rate'!$A:$B,2,TRUE)</f>
        <v>5.1799999999999999E-2</v>
      </c>
      <c r="G209" s="75">
        <f t="shared" si="84"/>
        <v>1161.8249600205206</v>
      </c>
      <c r="H209" s="75">
        <v>0</v>
      </c>
      <c r="I209" s="99">
        <f t="shared" si="88"/>
        <v>7.5204509109563817</v>
      </c>
      <c r="J209" s="76">
        <f t="shared" si="89"/>
        <v>14.839528667440183</v>
      </c>
      <c r="K209" s="116">
        <f t="shared" si="79"/>
        <v>22.359979578396565</v>
      </c>
      <c r="L209" s="76">
        <f t="shared" si="90"/>
        <v>98.1</v>
      </c>
      <c r="M209" s="117">
        <f t="shared" si="80"/>
        <v>120.45997957839656</v>
      </c>
      <c r="N209" s="8">
        <f t="shared" si="81"/>
        <v>1176.6644886879608</v>
      </c>
      <c r="O209" s="75">
        <f t="shared" si="82"/>
        <v>1056.2045091095642</v>
      </c>
    </row>
    <row r="210" spans="1:15" x14ac:dyDescent="0.25">
      <c r="A210" s="17" t="s">
        <v>62</v>
      </c>
      <c r="B210" s="72" t="str">
        <f t="shared" si="87"/>
        <v>Q2/2019</v>
      </c>
      <c r="C210" s="73">
        <f t="shared" si="85"/>
        <v>43556</v>
      </c>
      <c r="D210" s="73">
        <f t="shared" si="86"/>
        <v>43646</v>
      </c>
      <c r="E210" s="72">
        <f t="shared" si="83"/>
        <v>91</v>
      </c>
      <c r="F210" s="74">
        <f>VLOOKUP(D210,'FERC Interest Rate'!$A:$B,2,TRUE)</f>
        <v>5.45E-2</v>
      </c>
      <c r="G210" s="75">
        <f t="shared" si="84"/>
        <v>1056.2045091095642</v>
      </c>
      <c r="H210" s="75">
        <v>0</v>
      </c>
      <c r="I210" s="99">
        <f t="shared" si="88"/>
        <v>7.5204509109563817</v>
      </c>
      <c r="J210" s="76">
        <f t="shared" si="89"/>
        <v>14.351359624462695</v>
      </c>
      <c r="K210" s="116">
        <f t="shared" si="79"/>
        <v>21.871810535419076</v>
      </c>
      <c r="L210" s="76">
        <f t="shared" si="90"/>
        <v>98.1</v>
      </c>
      <c r="M210" s="117">
        <f t="shared" si="80"/>
        <v>119.97181053541907</v>
      </c>
      <c r="N210" s="8">
        <f t="shared" si="81"/>
        <v>1070.5558687340269</v>
      </c>
      <c r="O210" s="75">
        <f t="shared" si="82"/>
        <v>950.58405819860786</v>
      </c>
    </row>
    <row r="211" spans="1:15" x14ac:dyDescent="0.25">
      <c r="A211" s="17" t="s">
        <v>63</v>
      </c>
      <c r="B211" s="72" t="str">
        <f t="shared" si="87"/>
        <v>Q3/2019</v>
      </c>
      <c r="C211" s="73">
        <f t="shared" si="85"/>
        <v>43647</v>
      </c>
      <c r="D211" s="73">
        <f t="shared" si="86"/>
        <v>43738</v>
      </c>
      <c r="E211" s="72">
        <f t="shared" si="83"/>
        <v>92</v>
      </c>
      <c r="F211" s="74">
        <f>VLOOKUP(D211,'FERC Interest Rate'!$A:$B,2,TRUE)</f>
        <v>5.5E-2</v>
      </c>
      <c r="G211" s="75">
        <f t="shared" si="84"/>
        <v>950.58405819860786</v>
      </c>
      <c r="H211" s="75">
        <v>0</v>
      </c>
      <c r="I211" s="99">
        <f t="shared" si="88"/>
        <v>7.5204509109563817</v>
      </c>
      <c r="J211" s="76">
        <f t="shared" si="89"/>
        <v>13.177959820506729</v>
      </c>
      <c r="K211" s="116">
        <f t="shared" si="79"/>
        <v>20.69841073146311</v>
      </c>
      <c r="L211" s="76">
        <f t="shared" si="90"/>
        <v>98.1</v>
      </c>
      <c r="M211" s="117">
        <f t="shared" si="80"/>
        <v>118.79841073146311</v>
      </c>
      <c r="N211" s="8">
        <f t="shared" si="81"/>
        <v>963.76201801911463</v>
      </c>
      <c r="O211" s="75">
        <f t="shared" si="82"/>
        <v>844.96360728765148</v>
      </c>
    </row>
    <row r="212" spans="1:15" x14ac:dyDescent="0.25">
      <c r="A212" s="17" t="s">
        <v>64</v>
      </c>
      <c r="B212" s="72" t="str">
        <f t="shared" si="87"/>
        <v>Q4/2019</v>
      </c>
      <c r="C212" s="73">
        <f t="shared" si="85"/>
        <v>43739</v>
      </c>
      <c r="D212" s="73">
        <f t="shared" si="86"/>
        <v>43830</v>
      </c>
      <c r="E212" s="72">
        <f t="shared" si="83"/>
        <v>92</v>
      </c>
      <c r="F212" s="74">
        <f>VLOOKUP(D212,'FERC Interest Rate'!$A:$B,2,TRUE)</f>
        <v>5.4199999999999998E-2</v>
      </c>
      <c r="G212" s="75">
        <f t="shared" si="84"/>
        <v>844.96360728765148</v>
      </c>
      <c r="H212" s="75">
        <v>0</v>
      </c>
      <c r="I212" s="99">
        <f t="shared" si="88"/>
        <v>7.5204509109563817</v>
      </c>
      <c r="J212" s="76">
        <f t="shared" si="89"/>
        <v>11.543360359942865</v>
      </c>
      <c r="K212" s="116">
        <f t="shared" si="79"/>
        <v>19.063811270899247</v>
      </c>
      <c r="L212" s="76">
        <f t="shared" si="90"/>
        <v>98.1</v>
      </c>
      <c r="M212" s="117">
        <f t="shared" si="80"/>
        <v>117.16381127089925</v>
      </c>
      <c r="N212" s="8">
        <f t="shared" si="81"/>
        <v>856.50696764759437</v>
      </c>
      <c r="O212" s="75">
        <f t="shared" si="82"/>
        <v>739.34315637669511</v>
      </c>
    </row>
    <row r="213" spans="1:15" x14ac:dyDescent="0.25">
      <c r="A213" s="17" t="s">
        <v>65</v>
      </c>
      <c r="B213" s="72" t="str">
        <f t="shared" si="87"/>
        <v>Q1/2020</v>
      </c>
      <c r="C213" s="73">
        <f t="shared" si="85"/>
        <v>43831</v>
      </c>
      <c r="D213" s="73">
        <f t="shared" si="86"/>
        <v>43921</v>
      </c>
      <c r="E213" s="72">
        <f t="shared" si="83"/>
        <v>91</v>
      </c>
      <c r="F213" s="74">
        <f>VLOOKUP(D213,'FERC Interest Rate'!$A:$B,2,TRUE)</f>
        <v>4.9599999999999998E-2</v>
      </c>
      <c r="G213" s="75">
        <f t="shared" si="84"/>
        <v>739.34315637669511</v>
      </c>
      <c r="H213" s="75">
        <v>0</v>
      </c>
      <c r="I213" s="99">
        <f t="shared" si="88"/>
        <v>7.5204509109563817</v>
      </c>
      <c r="J213" s="76">
        <f t="shared" si="89"/>
        <v>9.1177575700050575</v>
      </c>
      <c r="K213" s="116">
        <f t="shared" si="79"/>
        <v>16.638208480961438</v>
      </c>
      <c r="L213" s="76">
        <f t="shared" si="90"/>
        <v>98.1</v>
      </c>
      <c r="M213" s="117">
        <f t="shared" si="80"/>
        <v>114.73820848096143</v>
      </c>
      <c r="N213" s="8">
        <f t="shared" si="81"/>
        <v>748.4609139467002</v>
      </c>
      <c r="O213" s="75">
        <f t="shared" si="82"/>
        <v>633.72270546573873</v>
      </c>
    </row>
    <row r="214" spans="1:15" x14ac:dyDescent="0.25">
      <c r="A214" s="17" t="s">
        <v>66</v>
      </c>
      <c r="B214" s="72" t="str">
        <f t="shared" ref="B214:B219" si="91">+IF(MONTH(C214)&lt;4,"Q1",IF(MONTH(C214)&lt;7,"Q2",IF(MONTH(C214)&lt;10,"Q3","Q4")))&amp;"/"&amp;YEAR(C214)</f>
        <v>Q2/2020</v>
      </c>
      <c r="C214" s="73">
        <f t="shared" si="85"/>
        <v>43922</v>
      </c>
      <c r="D214" s="73">
        <f t="shared" si="86"/>
        <v>44012</v>
      </c>
      <c r="E214" s="72">
        <f t="shared" si="83"/>
        <v>91</v>
      </c>
      <c r="F214" s="74">
        <f>VLOOKUP(D214,'FERC Interest Rate'!$A:$B,2,TRUE)</f>
        <v>4.7503500000000004E-2</v>
      </c>
      <c r="G214" s="75">
        <f t="shared" si="84"/>
        <v>633.72270546573873</v>
      </c>
      <c r="H214" s="75">
        <v>0</v>
      </c>
      <c r="I214" s="99">
        <f t="shared" si="88"/>
        <v>7.5204509109563817</v>
      </c>
      <c r="J214" s="76">
        <f t="shared" si="89"/>
        <v>7.4848858881348272</v>
      </c>
      <c r="K214" s="116">
        <f t="shared" si="79"/>
        <v>15.005336799091209</v>
      </c>
      <c r="L214" s="76">
        <f t="shared" si="90"/>
        <v>98.1</v>
      </c>
      <c r="M214" s="117">
        <f t="shared" si="80"/>
        <v>113.10533679909121</v>
      </c>
      <c r="N214" s="8">
        <f t="shared" si="81"/>
        <v>641.20759135387357</v>
      </c>
      <c r="O214" s="75">
        <f t="shared" si="82"/>
        <v>528.10225455478235</v>
      </c>
    </row>
    <row r="215" spans="1:15" x14ac:dyDescent="0.25">
      <c r="A215" s="17" t="s">
        <v>67</v>
      </c>
      <c r="B215" s="72" t="str">
        <f t="shared" si="91"/>
        <v>Q3/2020</v>
      </c>
      <c r="C215" s="73">
        <f t="shared" si="85"/>
        <v>44013</v>
      </c>
      <c r="D215" s="73">
        <f t="shared" si="86"/>
        <v>44104</v>
      </c>
      <c r="E215" s="72">
        <f t="shared" si="83"/>
        <v>92</v>
      </c>
      <c r="F215" s="74">
        <f>VLOOKUP(D215,'FERC Interest Rate'!$A:$B,2,TRUE)</f>
        <v>4.7507929999999997E-2</v>
      </c>
      <c r="G215" s="75">
        <f t="shared" si="84"/>
        <v>528.10225455478235</v>
      </c>
      <c r="H215" s="75">
        <v>0</v>
      </c>
      <c r="I215" s="99">
        <f t="shared" si="88"/>
        <v>7.5204509109563817</v>
      </c>
      <c r="J215" s="76">
        <f t="shared" si="89"/>
        <v>6.3065358871181187</v>
      </c>
      <c r="K215" s="116">
        <f t="shared" si="79"/>
        <v>13.8269867980745</v>
      </c>
      <c r="L215" s="76">
        <f t="shared" si="90"/>
        <v>98.1</v>
      </c>
      <c r="M215" s="117">
        <f t="shared" si="80"/>
        <v>111.92698679807449</v>
      </c>
      <c r="N215" s="8">
        <f t="shared" si="81"/>
        <v>534.40879044190046</v>
      </c>
      <c r="O215" s="75">
        <f t="shared" si="82"/>
        <v>422.48180364382597</v>
      </c>
    </row>
    <row r="216" spans="1:15" x14ac:dyDescent="0.25">
      <c r="A216" s="17" t="s">
        <v>68</v>
      </c>
      <c r="B216" s="72" t="str">
        <f t="shared" si="91"/>
        <v>Q4/2020</v>
      </c>
      <c r="C216" s="73">
        <f t="shared" si="85"/>
        <v>44105</v>
      </c>
      <c r="D216" s="73">
        <f t="shared" si="86"/>
        <v>44196</v>
      </c>
      <c r="E216" s="72">
        <f t="shared" si="83"/>
        <v>92</v>
      </c>
      <c r="F216" s="74">
        <f>VLOOKUP(D216,'FERC Interest Rate'!$A:$B,2,TRUE)</f>
        <v>4.7922320000000004E-2</v>
      </c>
      <c r="G216" s="75">
        <f t="shared" si="84"/>
        <v>422.48180364382597</v>
      </c>
      <c r="H216" s="75">
        <v>0</v>
      </c>
      <c r="I216" s="99">
        <f t="shared" si="88"/>
        <v>7.5204509109563817</v>
      </c>
      <c r="J216" s="76">
        <f t="shared" si="89"/>
        <v>5.0892359380669046</v>
      </c>
      <c r="K216" s="116">
        <f t="shared" si="79"/>
        <v>12.609686849023287</v>
      </c>
      <c r="L216" s="76">
        <f t="shared" si="90"/>
        <v>98.1</v>
      </c>
      <c r="M216" s="117">
        <f t="shared" si="80"/>
        <v>110.70968684902329</v>
      </c>
      <c r="N216" s="8">
        <f t="shared" si="81"/>
        <v>427.57103958189288</v>
      </c>
      <c r="O216" s="75">
        <f t="shared" si="82"/>
        <v>316.86135273286959</v>
      </c>
    </row>
    <row r="217" spans="1:15" x14ac:dyDescent="0.25">
      <c r="A217" s="17" t="s">
        <v>69</v>
      </c>
      <c r="B217" s="72" t="str">
        <f t="shared" si="91"/>
        <v>Q1/2021</v>
      </c>
      <c r="C217" s="73">
        <f>D216+1</f>
        <v>44197</v>
      </c>
      <c r="D217" s="73">
        <f t="shared" si="86"/>
        <v>44286</v>
      </c>
      <c r="E217" s="72">
        <f>D217-C217+1</f>
        <v>90</v>
      </c>
      <c r="F217" s="74">
        <f>VLOOKUP(D217,'FERC Interest Rate'!$A:$B,2,TRUE)</f>
        <v>5.0023470000000007E-2</v>
      </c>
      <c r="G217" s="75">
        <f>O216</f>
        <v>316.86135273286959</v>
      </c>
      <c r="H217" s="75">
        <v>0</v>
      </c>
      <c r="I217" s="99">
        <f t="shared" si="88"/>
        <v>7.5204509109563817</v>
      </c>
      <c r="J217" s="76">
        <f>G217*F217*(E217/(DATE(YEAR(D217),12,31)-DATE(YEAR(D217),1,1)+1))</f>
        <v>3.9083435439268244</v>
      </c>
      <c r="K217" s="116">
        <f>+SUM(I217:J217)</f>
        <v>11.428794454883207</v>
      </c>
      <c r="L217" s="76">
        <f>VLOOKUP($B$193,A$1:F$25,5,FALSE)/20</f>
        <v>98.1</v>
      </c>
      <c r="M217" s="117">
        <f>+SUM(K217:L217)</f>
        <v>109.5287944548832</v>
      </c>
      <c r="N217" s="8">
        <f>+G217+H217+J217</f>
        <v>320.76969627679642</v>
      </c>
      <c r="O217" s="75">
        <f>G217+H217-L217-I217</f>
        <v>211.24090182191321</v>
      </c>
    </row>
    <row r="218" spans="1:15" x14ac:dyDescent="0.25">
      <c r="A218" s="17" t="s">
        <v>70</v>
      </c>
      <c r="B218" s="72" t="str">
        <f t="shared" si="91"/>
        <v>Q2/2021</v>
      </c>
      <c r="C218" s="73">
        <f>D217+1</f>
        <v>44287</v>
      </c>
      <c r="D218" s="73">
        <f t="shared" si="86"/>
        <v>44377</v>
      </c>
      <c r="E218" s="72">
        <f>D218-C218+1</f>
        <v>91</v>
      </c>
      <c r="F218" s="74">
        <f>VLOOKUP(D218,'FERC Interest Rate'!$A:$B,2,TRUE)</f>
        <v>5.0403730000000001E-2</v>
      </c>
      <c r="G218" s="75">
        <f>O217</f>
        <v>211.24090182191321</v>
      </c>
      <c r="H218" s="75">
        <v>0</v>
      </c>
      <c r="I218" s="99">
        <f t="shared" si="88"/>
        <v>7.5204509109563817</v>
      </c>
      <c r="J218" s="76">
        <f>G218*F218*(E218/(DATE(YEAR(D218),12,31)-DATE(YEAR(D218),1,1)+1))</f>
        <v>2.6545396537406249</v>
      </c>
      <c r="K218" s="116">
        <f>+SUM(I218:J218)</f>
        <v>10.174990564697007</v>
      </c>
      <c r="L218" s="76">
        <f>VLOOKUP($B$193,A$1:F$25,5,FALSE)/20</f>
        <v>98.1</v>
      </c>
      <c r="M218" s="117">
        <f>+SUM(K218:L218)</f>
        <v>108.27499056469701</v>
      </c>
      <c r="N218" s="8">
        <f>+G218+H218+J218</f>
        <v>213.89544147565383</v>
      </c>
      <c r="O218" s="75">
        <f>G218+H218-L218-I218</f>
        <v>105.62045091095683</v>
      </c>
    </row>
    <row r="219" spans="1:15" x14ac:dyDescent="0.25">
      <c r="A219" s="17" t="s">
        <v>71</v>
      </c>
      <c r="B219" s="72" t="str">
        <f t="shared" si="91"/>
        <v>Q3/2021</v>
      </c>
      <c r="C219" s="73">
        <f>D218+1</f>
        <v>44378</v>
      </c>
      <c r="D219" s="73">
        <f t="shared" si="86"/>
        <v>44469</v>
      </c>
      <c r="E219" s="72">
        <f>D219-C219+1</f>
        <v>92</v>
      </c>
      <c r="F219" s="74">
        <f>VLOOKUP(D219,'FERC Interest Rate'!$A:$B,2,TRUE)</f>
        <v>5.2520850000000001E-2</v>
      </c>
      <c r="G219" s="75">
        <f>O218</f>
        <v>105.62045091095683</v>
      </c>
      <c r="H219" s="75">
        <v>0</v>
      </c>
      <c r="I219" s="99">
        <f t="shared" si="88"/>
        <v>7.5204509109563817</v>
      </c>
      <c r="J219" s="76">
        <f>G219*F219*(E219/(DATE(YEAR(D219),12,31)-DATE(YEAR(D219),1,1)+1))</f>
        <v>1.3982174768461888</v>
      </c>
      <c r="K219" s="116">
        <f>+SUM(I219:J219)</f>
        <v>8.9186683878025708</v>
      </c>
      <c r="L219" s="76">
        <f>VLOOKUP($B$193,A$1:F$25,5,FALSE)/20</f>
        <v>98.1</v>
      </c>
      <c r="M219" s="117">
        <f>+SUM(K219:L219)</f>
        <v>107.01866838780256</v>
      </c>
      <c r="N219" s="8">
        <f>+G219+H219+J219</f>
        <v>107.01866838780302</v>
      </c>
      <c r="O219" s="75">
        <f>G219+H219-L219-I219</f>
        <v>4.5741188614556449E-13</v>
      </c>
    </row>
    <row r="220" spans="1:15" x14ac:dyDescent="0.25">
      <c r="A220" s="78"/>
      <c r="B220" s="72"/>
      <c r="C220" s="73"/>
      <c r="D220" s="73"/>
      <c r="E220" s="72"/>
      <c r="F220" s="74"/>
      <c r="G220" s="75"/>
      <c r="H220" s="75"/>
      <c r="I220" s="99"/>
      <c r="J220" s="76"/>
      <c r="K220" s="116"/>
      <c r="L220" s="76"/>
      <c r="M220" s="117"/>
      <c r="N220" s="8"/>
      <c r="O220" s="75"/>
    </row>
    <row r="221" spans="1:15" ht="13.5" thickBot="1" x14ac:dyDescent="0.35">
      <c r="A221" s="142"/>
      <c r="B221" s="143"/>
      <c r="C221" s="144"/>
      <c r="D221" s="144"/>
      <c r="E221" s="145"/>
      <c r="F221" s="143"/>
      <c r="G221" s="127">
        <f t="shared" ref="G221:O221" si="92">+SUM(G192:G220)</f>
        <v>38301.397310333159</v>
      </c>
      <c r="H221" s="127">
        <f t="shared" si="92"/>
        <v>150.40901821912763</v>
      </c>
      <c r="I221" s="128">
        <f t="shared" si="92"/>
        <v>150.40901821912766</v>
      </c>
      <c r="J221" s="127">
        <f t="shared" si="92"/>
        <v>225.7890399710823</v>
      </c>
      <c r="K221" s="127">
        <f t="shared" si="92"/>
        <v>376.19805819020996</v>
      </c>
      <c r="L221" s="127">
        <f t="shared" si="92"/>
        <v>1961.9999999999993</v>
      </c>
      <c r="M221" s="129">
        <f t="shared" si="92"/>
        <v>2338.1980581902098</v>
      </c>
      <c r="N221" s="127">
        <f t="shared" si="92"/>
        <v>38677.595368523362</v>
      </c>
      <c r="O221" s="127">
        <f t="shared" si="92"/>
        <v>36339.397310333159</v>
      </c>
    </row>
    <row r="222" spans="1:15" ht="13" thickTop="1" x14ac:dyDescent="0.25">
      <c r="B222" s="103"/>
      <c r="C222" s="103"/>
      <c r="D222" s="103"/>
      <c r="E222" s="103"/>
      <c r="F222" s="103"/>
      <c r="G222" s="103"/>
      <c r="H222" s="103"/>
      <c r="I222" s="102"/>
      <c r="J222" s="103"/>
      <c r="K222" s="103"/>
      <c r="L222" s="103"/>
      <c r="M222" s="118"/>
      <c r="O222" s="103"/>
    </row>
    <row r="223" spans="1:15" ht="52" x14ac:dyDescent="0.3">
      <c r="A223" s="77" t="s">
        <v>51</v>
      </c>
      <c r="B223" s="77" t="s">
        <v>3</v>
      </c>
      <c r="C223" s="77" t="s">
        <v>4</v>
      </c>
      <c r="D223" s="77" t="s">
        <v>5</v>
      </c>
      <c r="E223" s="77" t="s">
        <v>6</v>
      </c>
      <c r="F223" s="77" t="s">
        <v>7</v>
      </c>
      <c r="G223" s="77" t="s">
        <v>92</v>
      </c>
      <c r="H223" s="77" t="s">
        <v>93</v>
      </c>
      <c r="I223" s="94" t="s">
        <v>94</v>
      </c>
      <c r="J223" s="95" t="s">
        <v>95</v>
      </c>
      <c r="K223" s="95" t="s">
        <v>96</v>
      </c>
      <c r="L223" s="95" t="s">
        <v>97</v>
      </c>
      <c r="M223" s="96" t="s">
        <v>98</v>
      </c>
      <c r="N223" s="77" t="s">
        <v>99</v>
      </c>
      <c r="O223" s="77" t="s">
        <v>100</v>
      </c>
    </row>
    <row r="224" spans="1:15" ht="13" x14ac:dyDescent="0.3">
      <c r="A224" s="347" t="s">
        <v>14</v>
      </c>
      <c r="B224" s="347"/>
      <c r="C224" s="73">
        <f>VLOOKUP(B225,A$1:F$25,2,FALSE)</f>
        <v>41956</v>
      </c>
      <c r="D224" s="73">
        <f>DATE(YEAR(C224),IF(MONTH(C224)&lt;=3,3,IF(MONTH(C224)&lt;=6,6,IF(MONTH(C224)&lt;=9,9,12))),IF(OR(MONTH(C224)&lt;=3,MONTH(C224)&gt;=10),31,30))</f>
        <v>42004</v>
      </c>
      <c r="E224" s="72">
        <f>D224-C224+1</f>
        <v>49</v>
      </c>
      <c r="F224" s="74">
        <f>VLOOKUP(D224,'FERC Interest Rate'!$A:$B,2,TRUE)</f>
        <v>3.2500000000000001E-2</v>
      </c>
      <c r="G224" s="75">
        <f>VLOOKUP(B225,$A$1:$F$29,5,FALSE)</f>
        <v>2207.5</v>
      </c>
      <c r="H224" s="75">
        <f t="shared" ref="H224:H232" si="93">G224*F224*(E224/(DATE(YEAR(D224),12,31)-DATE(YEAR(D224),1,1)+1))</f>
        <v>9.6313527397260277</v>
      </c>
      <c r="I224" s="180">
        <v>0</v>
      </c>
      <c r="J224" s="76">
        <v>0</v>
      </c>
      <c r="K224" s="116">
        <f t="shared" ref="K224:K247" si="94">+SUM(I224:J224)</f>
        <v>0</v>
      </c>
      <c r="L224" s="76">
        <v>0</v>
      </c>
      <c r="M224" s="117">
        <f t="shared" ref="M224:M247" si="95">+SUM(K224:L224)</f>
        <v>0</v>
      </c>
      <c r="N224" s="8">
        <f t="shared" ref="N224:N247" si="96">+G224+H224+J224</f>
        <v>2217.131352739726</v>
      </c>
      <c r="O224" s="75">
        <f t="shared" ref="O224:O247" si="97">G224+H224-L224-I224</f>
        <v>2217.131352739726</v>
      </c>
    </row>
    <row r="225" spans="1:15" ht="13" x14ac:dyDescent="0.3">
      <c r="A225" s="110" t="s">
        <v>40</v>
      </c>
      <c r="B225" s="141" t="s">
        <v>57</v>
      </c>
      <c r="C225" s="73">
        <f>D224+1</f>
        <v>42005</v>
      </c>
      <c r="D225" s="73">
        <f>EOMONTH(D224,3)</f>
        <v>42094</v>
      </c>
      <c r="E225" s="72">
        <f t="shared" ref="E225:E247" si="98">D225-C225+1</f>
        <v>90</v>
      </c>
      <c r="F225" s="74">
        <f>VLOOKUP(D225,'FERC Interest Rate'!$A:$B,2,TRUE)</f>
        <v>3.2500000000000001E-2</v>
      </c>
      <c r="G225" s="75">
        <f t="shared" ref="G225:G247" si="99">O224</f>
        <v>2217.131352739726</v>
      </c>
      <c r="H225" s="75">
        <f t="shared" si="93"/>
        <v>17.767422484284104</v>
      </c>
      <c r="I225" s="180">
        <v>0</v>
      </c>
      <c r="J225" s="76">
        <v>0</v>
      </c>
      <c r="K225" s="116">
        <f t="shared" si="94"/>
        <v>0</v>
      </c>
      <c r="L225" s="76">
        <v>0</v>
      </c>
      <c r="M225" s="117">
        <f t="shared" si="95"/>
        <v>0</v>
      </c>
      <c r="N225" s="8">
        <f t="shared" si="96"/>
        <v>2234.89877522401</v>
      </c>
      <c r="O225" s="75">
        <f t="shared" si="97"/>
        <v>2234.89877522401</v>
      </c>
    </row>
    <row r="226" spans="1:15" ht="13" x14ac:dyDescent="0.3">
      <c r="B226" s="301"/>
      <c r="C226" s="73">
        <f t="shared" ref="C226:C247" si="100">D225+1</f>
        <v>42095</v>
      </c>
      <c r="D226" s="73">
        <f t="shared" ref="D226:D251" si="101">EOMONTH(D225,3)</f>
        <v>42185</v>
      </c>
      <c r="E226" s="72">
        <f t="shared" si="98"/>
        <v>91</v>
      </c>
      <c r="F226" s="74">
        <f>VLOOKUP(D226,'FERC Interest Rate'!$A:$B,2,TRUE)</f>
        <v>3.2500000000000001E-2</v>
      </c>
      <c r="G226" s="75">
        <f t="shared" si="99"/>
        <v>2234.89877522401</v>
      </c>
      <c r="H226" s="75">
        <f t="shared" si="93"/>
        <v>18.10880308965756</v>
      </c>
      <c r="I226" s="180">
        <v>0</v>
      </c>
      <c r="J226" s="76">
        <v>0</v>
      </c>
      <c r="K226" s="116">
        <f t="shared" si="94"/>
        <v>0</v>
      </c>
      <c r="L226" s="76">
        <v>0</v>
      </c>
      <c r="M226" s="117">
        <f t="shared" si="95"/>
        <v>0</v>
      </c>
      <c r="N226" s="8">
        <f t="shared" si="96"/>
        <v>2253.0075783136676</v>
      </c>
      <c r="O226" s="75">
        <f t="shared" si="97"/>
        <v>2253.0075783136676</v>
      </c>
    </row>
    <row r="227" spans="1:15" ht="13" x14ac:dyDescent="0.3">
      <c r="B227" s="301"/>
      <c r="C227" s="73">
        <f t="shared" si="100"/>
        <v>42186</v>
      </c>
      <c r="D227" s="73">
        <f t="shared" si="101"/>
        <v>42277</v>
      </c>
      <c r="E227" s="72">
        <f t="shared" si="98"/>
        <v>92</v>
      </c>
      <c r="F227" s="74">
        <f>VLOOKUP(D227,'FERC Interest Rate'!$A:$B,2,TRUE)</f>
        <v>3.2500000000000001E-2</v>
      </c>
      <c r="G227" s="75">
        <f t="shared" si="99"/>
        <v>2253.0075783136676</v>
      </c>
      <c r="H227" s="75">
        <f t="shared" si="93"/>
        <v>18.456144271665387</v>
      </c>
      <c r="I227" s="180">
        <v>0</v>
      </c>
      <c r="J227" s="76">
        <v>0</v>
      </c>
      <c r="K227" s="116">
        <f t="shared" si="94"/>
        <v>0</v>
      </c>
      <c r="L227" s="76">
        <v>0</v>
      </c>
      <c r="M227" s="117">
        <f t="shared" si="95"/>
        <v>0</v>
      </c>
      <c r="N227" s="8">
        <f t="shared" si="96"/>
        <v>2271.463722585333</v>
      </c>
      <c r="O227" s="75">
        <f t="shared" si="97"/>
        <v>2271.463722585333</v>
      </c>
    </row>
    <row r="228" spans="1:15" x14ac:dyDescent="0.25">
      <c r="A228" s="78"/>
      <c r="B228" s="72"/>
      <c r="C228" s="73">
        <f t="shared" si="100"/>
        <v>42278</v>
      </c>
      <c r="D228" s="73">
        <f t="shared" si="101"/>
        <v>42369</v>
      </c>
      <c r="E228" s="72">
        <f t="shared" si="98"/>
        <v>92</v>
      </c>
      <c r="F228" s="74">
        <f>VLOOKUP(D228,'FERC Interest Rate'!$A:$B,2,TRUE)</f>
        <v>3.2500000000000001E-2</v>
      </c>
      <c r="G228" s="75">
        <f t="shared" si="99"/>
        <v>2271.463722585333</v>
      </c>
      <c r="H228" s="75">
        <f t="shared" si="93"/>
        <v>18.607332960356565</v>
      </c>
      <c r="I228" s="180">
        <v>0</v>
      </c>
      <c r="J228" s="76">
        <v>0</v>
      </c>
      <c r="K228" s="116">
        <f t="shared" si="94"/>
        <v>0</v>
      </c>
      <c r="L228" s="76">
        <v>0</v>
      </c>
      <c r="M228" s="117">
        <f t="shared" si="95"/>
        <v>0</v>
      </c>
      <c r="N228" s="8">
        <f t="shared" si="96"/>
        <v>2290.0710555456894</v>
      </c>
      <c r="O228" s="75">
        <f t="shared" si="97"/>
        <v>2290.0710555456894</v>
      </c>
    </row>
    <row r="229" spans="1:15" x14ac:dyDescent="0.25">
      <c r="A229" s="78"/>
      <c r="B229" s="72"/>
      <c r="C229" s="73">
        <f t="shared" si="100"/>
        <v>42370</v>
      </c>
      <c r="D229" s="73">
        <f t="shared" si="101"/>
        <v>42460</v>
      </c>
      <c r="E229" s="72">
        <f t="shared" si="98"/>
        <v>91</v>
      </c>
      <c r="F229" s="74">
        <f>VLOOKUP(D229,'FERC Interest Rate'!$A:$B,2,TRUE)</f>
        <v>3.2500000000000001E-2</v>
      </c>
      <c r="G229" s="75">
        <f t="shared" si="99"/>
        <v>2290.0710555456894</v>
      </c>
      <c r="H229" s="75">
        <f t="shared" si="93"/>
        <v>18.505150674252395</v>
      </c>
      <c r="I229" s="180">
        <v>0</v>
      </c>
      <c r="J229" s="76">
        <v>0</v>
      </c>
      <c r="K229" s="116">
        <f t="shared" si="94"/>
        <v>0</v>
      </c>
      <c r="L229" s="76">
        <v>0</v>
      </c>
      <c r="M229" s="117">
        <f t="shared" si="95"/>
        <v>0</v>
      </c>
      <c r="N229" s="8">
        <f t="shared" si="96"/>
        <v>2308.5762062199419</v>
      </c>
      <c r="O229" s="75">
        <f t="shared" si="97"/>
        <v>2308.5762062199419</v>
      </c>
    </row>
    <row r="230" spans="1:15" x14ac:dyDescent="0.25">
      <c r="A230" s="78"/>
      <c r="B230" s="72"/>
      <c r="C230" s="73">
        <f t="shared" si="100"/>
        <v>42461</v>
      </c>
      <c r="D230" s="73">
        <f t="shared" si="101"/>
        <v>42551</v>
      </c>
      <c r="E230" s="72">
        <f t="shared" si="98"/>
        <v>91</v>
      </c>
      <c r="F230" s="74">
        <f>VLOOKUP(D230,'FERC Interest Rate'!$A:$B,2,TRUE)</f>
        <v>3.4599999999999999E-2</v>
      </c>
      <c r="G230" s="75">
        <f t="shared" si="99"/>
        <v>2308.5762062199419</v>
      </c>
      <c r="H230" s="75">
        <f t="shared" si="93"/>
        <v>19.860062958754394</v>
      </c>
      <c r="I230" s="180">
        <v>0</v>
      </c>
      <c r="J230" s="76">
        <v>0</v>
      </c>
      <c r="K230" s="116">
        <f t="shared" si="94"/>
        <v>0</v>
      </c>
      <c r="L230" s="76">
        <v>0</v>
      </c>
      <c r="M230" s="117">
        <f t="shared" si="95"/>
        <v>0</v>
      </c>
      <c r="N230" s="8">
        <f t="shared" si="96"/>
        <v>2328.4362691786964</v>
      </c>
      <c r="O230" s="75">
        <f t="shared" si="97"/>
        <v>2328.4362691786964</v>
      </c>
    </row>
    <row r="231" spans="1:15" x14ac:dyDescent="0.25">
      <c r="A231" s="78"/>
      <c r="B231" s="72"/>
      <c r="C231" s="73">
        <f t="shared" si="100"/>
        <v>42552</v>
      </c>
      <c r="D231" s="73">
        <f t="shared" si="101"/>
        <v>42643</v>
      </c>
      <c r="E231" s="72">
        <f t="shared" si="98"/>
        <v>92</v>
      </c>
      <c r="F231" s="74">
        <f>VLOOKUP(D231,'FERC Interest Rate'!$A:$B,2,TRUE)</f>
        <v>3.5000000000000003E-2</v>
      </c>
      <c r="G231" s="75">
        <f t="shared" si="99"/>
        <v>2328.4362691786964</v>
      </c>
      <c r="H231" s="75">
        <f t="shared" si="93"/>
        <v>20.485149690588532</v>
      </c>
      <c r="I231" s="180">
        <v>0</v>
      </c>
      <c r="J231" s="76">
        <v>0</v>
      </c>
      <c r="K231" s="116">
        <f t="shared" si="94"/>
        <v>0</v>
      </c>
      <c r="L231" s="76">
        <v>0</v>
      </c>
      <c r="M231" s="117">
        <f t="shared" si="95"/>
        <v>0</v>
      </c>
      <c r="N231" s="8">
        <f t="shared" si="96"/>
        <v>2348.9214188692849</v>
      </c>
      <c r="O231" s="75">
        <f t="shared" si="97"/>
        <v>2348.9214188692849</v>
      </c>
    </row>
    <row r="232" spans="1:15" x14ac:dyDescent="0.25">
      <c r="A232" s="17" t="s">
        <v>52</v>
      </c>
      <c r="B232" s="72" t="str">
        <f t="shared" ref="B232:B244" si="102">+IF(MONTH(C232)&lt;4,"Q1",IF(MONTH(C232)&lt;7,"Q2",IF(MONTH(C232)&lt;10,"Q3","Q4")))&amp;"/"&amp;YEAR(C232)</f>
        <v>Q4/2016</v>
      </c>
      <c r="C232" s="73">
        <f t="shared" si="100"/>
        <v>42644</v>
      </c>
      <c r="D232" s="73">
        <f t="shared" si="101"/>
        <v>42735</v>
      </c>
      <c r="E232" s="72">
        <f t="shared" si="98"/>
        <v>92</v>
      </c>
      <c r="F232" s="74">
        <f>VLOOKUP(D232,'FERC Interest Rate'!$A:$B,2,TRUE)</f>
        <v>3.5000000000000003E-2</v>
      </c>
      <c r="G232" s="75">
        <f t="shared" si="99"/>
        <v>2348.9214188692849</v>
      </c>
      <c r="H232" s="75">
        <f t="shared" si="93"/>
        <v>20.665374231582238</v>
      </c>
      <c r="I232" s="99">
        <f t="shared" ref="I232:I251" si="103">SUM($H$224:$H$252)/20</f>
        <v>8.1043396550433595</v>
      </c>
      <c r="J232" s="76">
        <v>0</v>
      </c>
      <c r="K232" s="116">
        <f t="shared" si="94"/>
        <v>8.1043396550433595</v>
      </c>
      <c r="L232" s="76">
        <f>VLOOKUP($B$225,A$1:F$25,5,FALSE)/20</f>
        <v>110.375</v>
      </c>
      <c r="M232" s="117">
        <f t="shared" si="95"/>
        <v>118.47933965504336</v>
      </c>
      <c r="N232" s="8">
        <f t="shared" si="96"/>
        <v>2369.586793100867</v>
      </c>
      <c r="O232" s="75">
        <f t="shared" si="97"/>
        <v>2251.1074534458235</v>
      </c>
    </row>
    <row r="233" spans="1:15" x14ac:dyDescent="0.25">
      <c r="A233" s="17" t="s">
        <v>53</v>
      </c>
      <c r="B233" s="72" t="str">
        <f t="shared" si="102"/>
        <v>Q1/2017</v>
      </c>
      <c r="C233" s="73">
        <f t="shared" si="100"/>
        <v>42736</v>
      </c>
      <c r="D233" s="73">
        <f t="shared" si="101"/>
        <v>42825</v>
      </c>
      <c r="E233" s="72">
        <f t="shared" si="98"/>
        <v>90</v>
      </c>
      <c r="F233" s="74">
        <f>VLOOKUP(D233,'FERC Interest Rate'!$A:$B,2,TRUE)</f>
        <v>3.5000000000000003E-2</v>
      </c>
      <c r="G233" s="75">
        <f t="shared" si="99"/>
        <v>2251.1074534458235</v>
      </c>
      <c r="H233" s="75">
        <v>0</v>
      </c>
      <c r="I233" s="99">
        <f t="shared" si="103"/>
        <v>8.1043396550433595</v>
      </c>
      <c r="J233" s="76">
        <f t="shared" ref="J233:J247" si="104">G233*F233*(E233/(DATE(YEAR(D233),12,31)-DATE(YEAR(D233),1,1)+1))</f>
        <v>19.427365694121491</v>
      </c>
      <c r="K233" s="116">
        <f t="shared" si="94"/>
        <v>27.531705349164852</v>
      </c>
      <c r="L233" s="76">
        <f t="shared" ref="L233:L247" si="105">VLOOKUP($B$225,A$1:F$25,5,FALSE)/20</f>
        <v>110.375</v>
      </c>
      <c r="M233" s="117">
        <f t="shared" si="95"/>
        <v>137.90670534916484</v>
      </c>
      <c r="N233" s="8">
        <f t="shared" si="96"/>
        <v>2270.5348191399448</v>
      </c>
      <c r="O233" s="75">
        <f t="shared" si="97"/>
        <v>2132.6281137907799</v>
      </c>
    </row>
    <row r="234" spans="1:15" x14ac:dyDescent="0.25">
      <c r="A234" s="17" t="s">
        <v>54</v>
      </c>
      <c r="B234" s="72" t="str">
        <f t="shared" si="102"/>
        <v>Q2/2017</v>
      </c>
      <c r="C234" s="73">
        <f t="shared" si="100"/>
        <v>42826</v>
      </c>
      <c r="D234" s="73">
        <f t="shared" si="101"/>
        <v>42916</v>
      </c>
      <c r="E234" s="72">
        <f t="shared" si="98"/>
        <v>91</v>
      </c>
      <c r="F234" s="74">
        <f>VLOOKUP(D234,'FERC Interest Rate'!$A:$B,2,TRUE)</f>
        <v>3.7100000000000001E-2</v>
      </c>
      <c r="G234" s="75">
        <f t="shared" si="99"/>
        <v>2132.6281137907799</v>
      </c>
      <c r="H234" s="75">
        <v>0</v>
      </c>
      <c r="I234" s="99">
        <f t="shared" si="103"/>
        <v>8.1043396550433595</v>
      </c>
      <c r="J234" s="76">
        <f t="shared" si="104"/>
        <v>19.7259336300522</v>
      </c>
      <c r="K234" s="116">
        <f t="shared" si="94"/>
        <v>27.830273285095558</v>
      </c>
      <c r="L234" s="76">
        <f t="shared" si="105"/>
        <v>110.375</v>
      </c>
      <c r="M234" s="117">
        <f t="shared" si="95"/>
        <v>138.20527328509556</v>
      </c>
      <c r="N234" s="8">
        <f t="shared" si="96"/>
        <v>2152.3540474208321</v>
      </c>
      <c r="O234" s="75">
        <f t="shared" si="97"/>
        <v>2014.1487741357366</v>
      </c>
    </row>
    <row r="235" spans="1:15" x14ac:dyDescent="0.25">
      <c r="A235" s="17" t="s">
        <v>55</v>
      </c>
      <c r="B235" s="72" t="str">
        <f t="shared" si="102"/>
        <v>Q3/2017</v>
      </c>
      <c r="C235" s="73">
        <f t="shared" si="100"/>
        <v>42917</v>
      </c>
      <c r="D235" s="73">
        <f t="shared" si="101"/>
        <v>43008</v>
      </c>
      <c r="E235" s="72">
        <f t="shared" si="98"/>
        <v>92</v>
      </c>
      <c r="F235" s="74">
        <f>VLOOKUP(D235,'FERC Interest Rate'!$A:$B,2,TRUE)</f>
        <v>3.9600000000000003E-2</v>
      </c>
      <c r="G235" s="75">
        <f t="shared" si="99"/>
        <v>2014.1487741357366</v>
      </c>
      <c r="H235" s="75">
        <v>0</v>
      </c>
      <c r="I235" s="99">
        <f t="shared" si="103"/>
        <v>8.1043396550433595</v>
      </c>
      <c r="J235" s="76">
        <f>G235*F235*(E235/(DATE(YEAR(D235),12,31)-DATE(YEAR(D235),1,1)+1))</f>
        <v>20.10396387378443</v>
      </c>
      <c r="K235" s="116">
        <f t="shared" si="94"/>
        <v>28.208303528827791</v>
      </c>
      <c r="L235" s="76">
        <f t="shared" si="105"/>
        <v>110.375</v>
      </c>
      <c r="M235" s="117">
        <f t="shared" si="95"/>
        <v>138.5833035288278</v>
      </c>
      <c r="N235" s="8">
        <f t="shared" si="96"/>
        <v>2034.252738009521</v>
      </c>
      <c r="O235" s="75">
        <f t="shared" si="97"/>
        <v>1895.6694344806933</v>
      </c>
    </row>
    <row r="236" spans="1:15" x14ac:dyDescent="0.25">
      <c r="A236" s="17" t="s">
        <v>56</v>
      </c>
      <c r="B236" s="72" t="str">
        <f t="shared" si="102"/>
        <v>Q4/2017</v>
      </c>
      <c r="C236" s="73">
        <f t="shared" si="100"/>
        <v>43009</v>
      </c>
      <c r="D236" s="73">
        <f t="shared" si="101"/>
        <v>43100</v>
      </c>
      <c r="E236" s="72">
        <f t="shared" si="98"/>
        <v>92</v>
      </c>
      <c r="F236" s="74">
        <f>VLOOKUP(D236,'FERC Interest Rate'!$A:$B,2,TRUE)</f>
        <v>4.2099999999999999E-2</v>
      </c>
      <c r="G236" s="75">
        <f t="shared" si="99"/>
        <v>1895.6694344806933</v>
      </c>
      <c r="H236" s="75">
        <v>0</v>
      </c>
      <c r="I236" s="99">
        <f t="shared" si="103"/>
        <v>8.1043396550433595</v>
      </c>
      <c r="J236" s="76">
        <f t="shared" si="104"/>
        <v>20.1159091880291</v>
      </c>
      <c r="K236" s="116">
        <f t="shared" si="94"/>
        <v>28.220248843072461</v>
      </c>
      <c r="L236" s="76">
        <f t="shared" si="105"/>
        <v>110.375</v>
      </c>
      <c r="M236" s="117">
        <f t="shared" si="95"/>
        <v>138.59524884307245</v>
      </c>
      <c r="N236" s="8">
        <f t="shared" si="96"/>
        <v>1915.7853436687224</v>
      </c>
      <c r="O236" s="75">
        <f t="shared" si="97"/>
        <v>1777.19009482565</v>
      </c>
    </row>
    <row r="237" spans="1:15" x14ac:dyDescent="0.25">
      <c r="A237" s="17" t="s">
        <v>57</v>
      </c>
      <c r="B237" s="72" t="str">
        <f t="shared" si="102"/>
        <v>Q1/2018</v>
      </c>
      <c r="C237" s="73">
        <f t="shared" si="100"/>
        <v>43101</v>
      </c>
      <c r="D237" s="73">
        <f t="shared" si="101"/>
        <v>43190</v>
      </c>
      <c r="E237" s="72">
        <f t="shared" si="98"/>
        <v>90</v>
      </c>
      <c r="F237" s="74">
        <f>VLOOKUP(D237,'FERC Interest Rate'!$A:$B,2,TRUE)</f>
        <v>4.2500000000000003E-2</v>
      </c>
      <c r="G237" s="75">
        <f t="shared" si="99"/>
        <v>1777.19009482565</v>
      </c>
      <c r="H237" s="75">
        <v>0</v>
      </c>
      <c r="I237" s="99">
        <f t="shared" si="103"/>
        <v>8.1043396550433595</v>
      </c>
      <c r="J237" s="76">
        <f t="shared" si="104"/>
        <v>18.623978390981129</v>
      </c>
      <c r="K237" s="116">
        <f t="shared" si="94"/>
        <v>26.728318046024491</v>
      </c>
      <c r="L237" s="76">
        <f t="shared" si="105"/>
        <v>110.375</v>
      </c>
      <c r="M237" s="117">
        <f t="shared" si="95"/>
        <v>137.1033180460245</v>
      </c>
      <c r="N237" s="8">
        <f t="shared" si="96"/>
        <v>1795.8140732166312</v>
      </c>
      <c r="O237" s="75">
        <f t="shared" si="97"/>
        <v>1658.7107551706067</v>
      </c>
    </row>
    <row r="238" spans="1:15" x14ac:dyDescent="0.25">
      <c r="A238" s="17" t="s">
        <v>58</v>
      </c>
      <c r="B238" s="72" t="str">
        <f t="shared" si="102"/>
        <v>Q2/2018</v>
      </c>
      <c r="C238" s="73">
        <f t="shared" si="100"/>
        <v>43191</v>
      </c>
      <c r="D238" s="73">
        <f t="shared" si="101"/>
        <v>43281</v>
      </c>
      <c r="E238" s="72">
        <f t="shared" si="98"/>
        <v>91</v>
      </c>
      <c r="F238" s="74">
        <f>VLOOKUP(D238,'FERC Interest Rate'!$A:$B,2,TRUE)</f>
        <v>4.4699999999999997E-2</v>
      </c>
      <c r="G238" s="75">
        <f t="shared" si="99"/>
        <v>1658.7107551706067</v>
      </c>
      <c r="H238" s="75">
        <v>0</v>
      </c>
      <c r="I238" s="99">
        <f t="shared" si="103"/>
        <v>8.1043396550433595</v>
      </c>
      <c r="J238" s="76">
        <f t="shared" si="104"/>
        <v>18.485308873445138</v>
      </c>
      <c r="K238" s="116">
        <f t="shared" si="94"/>
        <v>26.589648528488496</v>
      </c>
      <c r="L238" s="76">
        <f t="shared" si="105"/>
        <v>110.375</v>
      </c>
      <c r="M238" s="117">
        <f t="shared" si="95"/>
        <v>136.96464852848851</v>
      </c>
      <c r="N238" s="8">
        <f t="shared" si="96"/>
        <v>1677.1960640440518</v>
      </c>
      <c r="O238" s="75">
        <f t="shared" si="97"/>
        <v>1540.2314155155634</v>
      </c>
    </row>
    <row r="239" spans="1:15" x14ac:dyDescent="0.25">
      <c r="A239" s="17" t="s">
        <v>59</v>
      </c>
      <c r="B239" s="72" t="str">
        <f t="shared" si="102"/>
        <v>Q3/2018</v>
      </c>
      <c r="C239" s="73">
        <f t="shared" si="100"/>
        <v>43282</v>
      </c>
      <c r="D239" s="73">
        <f t="shared" si="101"/>
        <v>43373</v>
      </c>
      <c r="E239" s="72">
        <f t="shared" si="98"/>
        <v>92</v>
      </c>
      <c r="F239" s="74">
        <f>VLOOKUP(D239,'FERC Interest Rate'!$A:$B,2,TRUE)</f>
        <v>4.6899999999999997E-2</v>
      </c>
      <c r="G239" s="75">
        <f t="shared" si="99"/>
        <v>1540.2314155155634</v>
      </c>
      <c r="H239" s="75">
        <v>0</v>
      </c>
      <c r="I239" s="99">
        <f t="shared" si="103"/>
        <v>8.1043396550433595</v>
      </c>
      <c r="J239" s="76">
        <f t="shared" si="104"/>
        <v>18.207645237442609</v>
      </c>
      <c r="K239" s="116">
        <f t="shared" si="94"/>
        <v>26.311984892485967</v>
      </c>
      <c r="L239" s="76">
        <f t="shared" si="105"/>
        <v>110.375</v>
      </c>
      <c r="M239" s="117">
        <f t="shared" si="95"/>
        <v>136.68698489248595</v>
      </c>
      <c r="N239" s="8">
        <f t="shared" si="96"/>
        <v>1558.4390607530061</v>
      </c>
      <c r="O239" s="75">
        <f t="shared" si="97"/>
        <v>1421.7520758605201</v>
      </c>
    </row>
    <row r="240" spans="1:15" x14ac:dyDescent="0.25">
      <c r="A240" s="17" t="s">
        <v>60</v>
      </c>
      <c r="B240" s="72" t="str">
        <f t="shared" si="102"/>
        <v>Q4/2018</v>
      </c>
      <c r="C240" s="73">
        <f t="shared" si="100"/>
        <v>43374</v>
      </c>
      <c r="D240" s="73">
        <f t="shared" si="101"/>
        <v>43465</v>
      </c>
      <c r="E240" s="72">
        <f t="shared" si="98"/>
        <v>92</v>
      </c>
      <c r="F240" s="74">
        <f>VLOOKUP(D240,'FERC Interest Rate'!$A:$B,2,TRUE)</f>
        <v>4.9599999999999998E-2</v>
      </c>
      <c r="G240" s="75">
        <f t="shared" si="99"/>
        <v>1421.7520758605201</v>
      </c>
      <c r="H240" s="75">
        <v>0</v>
      </c>
      <c r="I240" s="99">
        <f t="shared" si="103"/>
        <v>8.1043396550433595</v>
      </c>
      <c r="J240" s="76">
        <f t="shared" si="104"/>
        <v>17.77462759607322</v>
      </c>
      <c r="K240" s="116">
        <f t="shared" si="94"/>
        <v>25.878967251116578</v>
      </c>
      <c r="L240" s="76">
        <f t="shared" si="105"/>
        <v>110.375</v>
      </c>
      <c r="M240" s="117">
        <f t="shared" si="95"/>
        <v>136.25396725111659</v>
      </c>
      <c r="N240" s="8">
        <f t="shared" si="96"/>
        <v>1439.5267034565934</v>
      </c>
      <c r="O240" s="75">
        <f t="shared" si="97"/>
        <v>1303.2727362054768</v>
      </c>
    </row>
    <row r="241" spans="1:15" x14ac:dyDescent="0.25">
      <c r="A241" s="17" t="s">
        <v>61</v>
      </c>
      <c r="B241" s="72" t="str">
        <f t="shared" si="102"/>
        <v>Q1/2019</v>
      </c>
      <c r="C241" s="73">
        <f t="shared" si="100"/>
        <v>43466</v>
      </c>
      <c r="D241" s="73">
        <f t="shared" si="101"/>
        <v>43555</v>
      </c>
      <c r="E241" s="72">
        <f t="shared" si="98"/>
        <v>90</v>
      </c>
      <c r="F241" s="74">
        <f>VLOOKUP(D241,'FERC Interest Rate'!$A:$B,2,TRUE)</f>
        <v>5.1799999999999999E-2</v>
      </c>
      <c r="G241" s="75">
        <f t="shared" si="99"/>
        <v>1303.2727362054768</v>
      </c>
      <c r="H241" s="75">
        <v>0</v>
      </c>
      <c r="I241" s="99">
        <f t="shared" si="103"/>
        <v>8.1043396550433595</v>
      </c>
      <c r="J241" s="76">
        <f t="shared" si="104"/>
        <v>16.646184921068308</v>
      </c>
      <c r="K241" s="116">
        <f t="shared" si="94"/>
        <v>24.750524576111665</v>
      </c>
      <c r="L241" s="76">
        <f t="shared" si="105"/>
        <v>110.375</v>
      </c>
      <c r="M241" s="117">
        <f t="shared" si="95"/>
        <v>135.12552457611167</v>
      </c>
      <c r="N241" s="8">
        <f t="shared" si="96"/>
        <v>1319.918921126545</v>
      </c>
      <c r="O241" s="75">
        <f t="shared" si="97"/>
        <v>1184.7933965504335</v>
      </c>
    </row>
    <row r="242" spans="1:15" x14ac:dyDescent="0.25">
      <c r="A242" s="17" t="s">
        <v>62</v>
      </c>
      <c r="B242" s="72" t="str">
        <f t="shared" si="102"/>
        <v>Q2/2019</v>
      </c>
      <c r="C242" s="73">
        <f t="shared" si="100"/>
        <v>43556</v>
      </c>
      <c r="D242" s="73">
        <f t="shared" si="101"/>
        <v>43646</v>
      </c>
      <c r="E242" s="72">
        <f t="shared" si="98"/>
        <v>91</v>
      </c>
      <c r="F242" s="74">
        <f>VLOOKUP(D242,'FERC Interest Rate'!$A:$B,2,TRUE)</f>
        <v>5.45E-2</v>
      </c>
      <c r="G242" s="75">
        <f t="shared" si="99"/>
        <v>1184.7933965504335</v>
      </c>
      <c r="H242" s="75">
        <v>0</v>
      </c>
      <c r="I242" s="99">
        <f t="shared" si="103"/>
        <v>8.1043396550433595</v>
      </c>
      <c r="J242" s="76">
        <f t="shared" si="104"/>
        <v>16.098583151210615</v>
      </c>
      <c r="K242" s="116">
        <f t="shared" si="94"/>
        <v>24.202922806253973</v>
      </c>
      <c r="L242" s="76">
        <f t="shared" si="105"/>
        <v>110.375</v>
      </c>
      <c r="M242" s="117">
        <f t="shared" si="95"/>
        <v>134.57792280625398</v>
      </c>
      <c r="N242" s="8">
        <f t="shared" si="96"/>
        <v>1200.891979701644</v>
      </c>
      <c r="O242" s="75">
        <f t="shared" si="97"/>
        <v>1066.3140568953902</v>
      </c>
    </row>
    <row r="243" spans="1:15" x14ac:dyDescent="0.25">
      <c r="A243" s="17" t="s">
        <v>63</v>
      </c>
      <c r="B243" s="72" t="str">
        <f t="shared" si="102"/>
        <v>Q3/2019</v>
      </c>
      <c r="C243" s="73">
        <f t="shared" si="100"/>
        <v>43647</v>
      </c>
      <c r="D243" s="73">
        <f t="shared" si="101"/>
        <v>43738</v>
      </c>
      <c r="E243" s="72">
        <f t="shared" si="98"/>
        <v>92</v>
      </c>
      <c r="F243" s="74">
        <f>VLOOKUP(D243,'FERC Interest Rate'!$A:$B,2,TRUE)</f>
        <v>5.5E-2</v>
      </c>
      <c r="G243" s="75">
        <f t="shared" si="99"/>
        <v>1066.3140568953902</v>
      </c>
      <c r="H243" s="75">
        <v>0</v>
      </c>
      <c r="I243" s="99">
        <f t="shared" si="103"/>
        <v>8.1043396550433595</v>
      </c>
      <c r="J243" s="76">
        <f t="shared" si="104"/>
        <v>14.782326377782672</v>
      </c>
      <c r="K243" s="116">
        <f t="shared" si="94"/>
        <v>22.886666032826032</v>
      </c>
      <c r="L243" s="76">
        <f t="shared" si="105"/>
        <v>110.375</v>
      </c>
      <c r="M243" s="117">
        <f t="shared" si="95"/>
        <v>133.26166603282604</v>
      </c>
      <c r="N243" s="8">
        <f t="shared" si="96"/>
        <v>1081.0963832731729</v>
      </c>
      <c r="O243" s="75">
        <f t="shared" si="97"/>
        <v>947.83471724034689</v>
      </c>
    </row>
    <row r="244" spans="1:15" x14ac:dyDescent="0.25">
      <c r="A244" s="17" t="s">
        <v>64</v>
      </c>
      <c r="B244" s="72" t="str">
        <f t="shared" si="102"/>
        <v>Q4/2019</v>
      </c>
      <c r="C244" s="73">
        <f t="shared" si="100"/>
        <v>43739</v>
      </c>
      <c r="D244" s="73">
        <f t="shared" si="101"/>
        <v>43830</v>
      </c>
      <c r="E244" s="72">
        <f t="shared" si="98"/>
        <v>92</v>
      </c>
      <c r="F244" s="74">
        <f>VLOOKUP(D244,'FERC Interest Rate'!$A:$B,2,TRUE)</f>
        <v>5.4199999999999998E-2</v>
      </c>
      <c r="G244" s="75">
        <f t="shared" si="99"/>
        <v>947.83471724034689</v>
      </c>
      <c r="H244" s="75">
        <v>0</v>
      </c>
      <c r="I244" s="99">
        <f t="shared" si="103"/>
        <v>8.1043396550433595</v>
      </c>
      <c r="J244" s="76">
        <f t="shared" si="104"/>
        <v>12.948720641225387</v>
      </c>
      <c r="K244" s="116">
        <f t="shared" si="94"/>
        <v>21.053060296268747</v>
      </c>
      <c r="L244" s="76">
        <f t="shared" si="105"/>
        <v>110.375</v>
      </c>
      <c r="M244" s="117">
        <f t="shared" si="95"/>
        <v>131.42806029626874</v>
      </c>
      <c r="N244" s="8">
        <f t="shared" si="96"/>
        <v>960.78343788157224</v>
      </c>
      <c r="O244" s="75">
        <f t="shared" si="97"/>
        <v>829.35537758530359</v>
      </c>
    </row>
    <row r="245" spans="1:15" x14ac:dyDescent="0.25">
      <c r="A245" s="17" t="s">
        <v>65</v>
      </c>
      <c r="B245" s="72" t="str">
        <f t="shared" ref="B245:B251" si="106">+IF(MONTH(C245)&lt;4,"Q1",IF(MONTH(C245)&lt;7,"Q2",IF(MONTH(C245)&lt;10,"Q3","Q4")))&amp;"/"&amp;YEAR(C245)</f>
        <v>Q1/2020</v>
      </c>
      <c r="C245" s="73">
        <f t="shared" si="100"/>
        <v>43831</v>
      </c>
      <c r="D245" s="73">
        <f t="shared" si="101"/>
        <v>43921</v>
      </c>
      <c r="E245" s="72">
        <f t="shared" si="98"/>
        <v>91</v>
      </c>
      <c r="F245" s="74">
        <f>VLOOKUP(D245,'FERC Interest Rate'!$A:$B,2,TRUE)</f>
        <v>4.9599999999999998E-2</v>
      </c>
      <c r="G245" s="75">
        <f t="shared" si="99"/>
        <v>829.35537758530359</v>
      </c>
      <c r="H245" s="75">
        <v>0</v>
      </c>
      <c r="I245" s="99">
        <f t="shared" si="103"/>
        <v>8.1043396550433595</v>
      </c>
      <c r="J245" s="76">
        <f t="shared" si="104"/>
        <v>10.227809924232313</v>
      </c>
      <c r="K245" s="116">
        <f t="shared" si="94"/>
        <v>18.332149579275672</v>
      </c>
      <c r="L245" s="76">
        <f t="shared" si="105"/>
        <v>110.375</v>
      </c>
      <c r="M245" s="117">
        <f t="shared" si="95"/>
        <v>128.70714957927567</v>
      </c>
      <c r="N245" s="8">
        <f t="shared" si="96"/>
        <v>839.58318750953595</v>
      </c>
      <c r="O245" s="75">
        <f t="shared" si="97"/>
        <v>710.87603793026028</v>
      </c>
    </row>
    <row r="246" spans="1:15" x14ac:dyDescent="0.25">
      <c r="A246" s="17" t="s">
        <v>66</v>
      </c>
      <c r="B246" s="72" t="str">
        <f t="shared" si="106"/>
        <v>Q2/2020</v>
      </c>
      <c r="C246" s="73">
        <f t="shared" si="100"/>
        <v>43922</v>
      </c>
      <c r="D246" s="73">
        <f t="shared" si="101"/>
        <v>44012</v>
      </c>
      <c r="E246" s="72">
        <f t="shared" si="98"/>
        <v>91</v>
      </c>
      <c r="F246" s="74">
        <f>VLOOKUP(D246,'FERC Interest Rate'!$A:$B,2,TRUE)</f>
        <v>4.7503500000000004E-2</v>
      </c>
      <c r="G246" s="75">
        <f t="shared" si="99"/>
        <v>710.87603793026028</v>
      </c>
      <c r="H246" s="75">
        <v>0</v>
      </c>
      <c r="I246" s="99">
        <f t="shared" si="103"/>
        <v>8.1043396550433595</v>
      </c>
      <c r="J246" s="76">
        <f t="shared" si="104"/>
        <v>8.396142316862381</v>
      </c>
      <c r="K246" s="116">
        <f t="shared" si="94"/>
        <v>16.500481971905742</v>
      </c>
      <c r="L246" s="76">
        <f t="shared" si="105"/>
        <v>110.375</v>
      </c>
      <c r="M246" s="117">
        <f t="shared" si="95"/>
        <v>126.87548197190574</v>
      </c>
      <c r="N246" s="8">
        <f t="shared" si="96"/>
        <v>719.27218024712261</v>
      </c>
      <c r="O246" s="75">
        <f t="shared" si="97"/>
        <v>592.39669827521698</v>
      </c>
    </row>
    <row r="247" spans="1:15" x14ac:dyDescent="0.25">
      <c r="A247" s="17" t="s">
        <v>67</v>
      </c>
      <c r="B247" s="72" t="str">
        <f t="shared" si="106"/>
        <v>Q3/2020</v>
      </c>
      <c r="C247" s="73">
        <f t="shared" si="100"/>
        <v>44013</v>
      </c>
      <c r="D247" s="73">
        <f t="shared" si="101"/>
        <v>44104</v>
      </c>
      <c r="E247" s="72">
        <f t="shared" si="98"/>
        <v>92</v>
      </c>
      <c r="F247" s="74">
        <f>VLOOKUP(D247,'FERC Interest Rate'!$A:$B,2,TRUE)</f>
        <v>4.7507929999999997E-2</v>
      </c>
      <c r="G247" s="75">
        <f t="shared" si="99"/>
        <v>592.39669827521698</v>
      </c>
      <c r="H247" s="75">
        <v>0</v>
      </c>
      <c r="I247" s="99">
        <f t="shared" si="103"/>
        <v>8.1043396550433595</v>
      </c>
      <c r="J247" s="76">
        <f t="shared" si="104"/>
        <v>7.0743326786827643</v>
      </c>
      <c r="K247" s="116">
        <f t="shared" si="94"/>
        <v>15.178672333726123</v>
      </c>
      <c r="L247" s="76">
        <f t="shared" si="105"/>
        <v>110.375</v>
      </c>
      <c r="M247" s="117">
        <f t="shared" si="95"/>
        <v>125.55367233372613</v>
      </c>
      <c r="N247" s="8">
        <f t="shared" si="96"/>
        <v>599.47103095389969</v>
      </c>
      <c r="O247" s="75">
        <f t="shared" si="97"/>
        <v>473.91735862017362</v>
      </c>
    </row>
    <row r="248" spans="1:15" x14ac:dyDescent="0.25">
      <c r="A248" s="17" t="s">
        <v>68</v>
      </c>
      <c r="B248" s="72" t="str">
        <f t="shared" si="106"/>
        <v>Q4/2020</v>
      </c>
      <c r="C248" s="73">
        <f>D247+1</f>
        <v>44105</v>
      </c>
      <c r="D248" s="73">
        <f t="shared" si="101"/>
        <v>44196</v>
      </c>
      <c r="E248" s="72">
        <f>D248-C248+1</f>
        <v>92</v>
      </c>
      <c r="F248" s="74">
        <f>VLOOKUP(D248,'FERC Interest Rate'!$A:$B,2,TRUE)</f>
        <v>4.7922320000000004E-2</v>
      </c>
      <c r="G248" s="75">
        <f>O247</f>
        <v>473.91735862017362</v>
      </c>
      <c r="H248" s="75">
        <v>0</v>
      </c>
      <c r="I248" s="99">
        <f t="shared" si="103"/>
        <v>8.1043396550433595</v>
      </c>
      <c r="J248" s="76">
        <f>G248*F248*(E248/(DATE(YEAR(D248),12,31)-DATE(YEAR(D248),1,1)+1))</f>
        <v>5.7088310842302361</v>
      </c>
      <c r="K248" s="116">
        <f>+SUM(I248:J248)</f>
        <v>13.813170739273595</v>
      </c>
      <c r="L248" s="76">
        <f>VLOOKUP($B$225,A$1:F$25,5,FALSE)/20</f>
        <v>110.375</v>
      </c>
      <c r="M248" s="117">
        <f>+SUM(K248:L248)</f>
        <v>124.1881707392736</v>
      </c>
      <c r="N248" s="8">
        <f>+G248+H248+J248</f>
        <v>479.62618970440383</v>
      </c>
      <c r="O248" s="75">
        <f>G248+H248-L248-I248</f>
        <v>355.43801896513025</v>
      </c>
    </row>
    <row r="249" spans="1:15" x14ac:dyDescent="0.25">
      <c r="A249" s="17" t="s">
        <v>69</v>
      </c>
      <c r="B249" s="72" t="str">
        <f t="shared" si="106"/>
        <v>Q1/2021</v>
      </c>
      <c r="C249" s="73">
        <f>D248+1</f>
        <v>44197</v>
      </c>
      <c r="D249" s="73">
        <f t="shared" si="101"/>
        <v>44286</v>
      </c>
      <c r="E249" s="72">
        <f>D249-C249+1</f>
        <v>90</v>
      </c>
      <c r="F249" s="74">
        <f>VLOOKUP(D249,'FERC Interest Rate'!$A:$B,2,TRUE)</f>
        <v>5.0023470000000007E-2</v>
      </c>
      <c r="G249" s="75">
        <f>O248</f>
        <v>355.43801896513025</v>
      </c>
      <c r="H249" s="75">
        <v>0</v>
      </c>
      <c r="I249" s="99">
        <f t="shared" si="103"/>
        <v>8.1043396550433595</v>
      </c>
      <c r="J249" s="76">
        <f>G249*F249*(E249/(DATE(YEAR(D249),12,31)-DATE(YEAR(D249),1,1)+1))</f>
        <v>4.3841695262206741</v>
      </c>
      <c r="K249" s="116">
        <f>+SUM(I249:J249)</f>
        <v>12.488509181264034</v>
      </c>
      <c r="L249" s="76">
        <f>VLOOKUP($B$225,A$1:F$25,5,FALSE)/20</f>
        <v>110.375</v>
      </c>
      <c r="M249" s="117">
        <f>+SUM(K249:L249)</f>
        <v>122.86350918126404</v>
      </c>
      <c r="N249" s="8">
        <f>+G249+H249+J249</f>
        <v>359.82218849135091</v>
      </c>
      <c r="O249" s="75">
        <f>G249+H249-L249-I249</f>
        <v>236.95867931008689</v>
      </c>
    </row>
    <row r="250" spans="1:15" x14ac:dyDescent="0.25">
      <c r="A250" s="17" t="s">
        <v>70</v>
      </c>
      <c r="B250" s="72" t="str">
        <f t="shared" si="106"/>
        <v>Q2/2021</v>
      </c>
      <c r="C250" s="73">
        <f>D249+1</f>
        <v>44287</v>
      </c>
      <c r="D250" s="73">
        <f t="shared" si="101"/>
        <v>44377</v>
      </c>
      <c r="E250" s="72">
        <f>D250-C250+1</f>
        <v>91</v>
      </c>
      <c r="F250" s="74">
        <f>VLOOKUP(D250,'FERC Interest Rate'!$A:$B,2,TRUE)</f>
        <v>5.0403730000000001E-2</v>
      </c>
      <c r="G250" s="75">
        <f>O249</f>
        <v>236.95867931008689</v>
      </c>
      <c r="H250" s="75">
        <v>0</v>
      </c>
      <c r="I250" s="99">
        <f t="shared" si="103"/>
        <v>8.1043396550433595</v>
      </c>
      <c r="J250" s="76">
        <f>G250*F250*(E250/(DATE(YEAR(D250),12,31)-DATE(YEAR(D250),1,1)+1))</f>
        <v>2.97771977444466</v>
      </c>
      <c r="K250" s="116">
        <f>+SUM(I250:J250)</f>
        <v>11.082059429488019</v>
      </c>
      <c r="L250" s="76">
        <f>VLOOKUP($B$225,A$1:F$25,5,FALSE)/20</f>
        <v>110.375</v>
      </c>
      <c r="M250" s="117">
        <f>+SUM(K250:L250)</f>
        <v>121.45705942948803</v>
      </c>
      <c r="N250" s="8">
        <f>+G250+H250+J250</f>
        <v>239.93639908453156</v>
      </c>
      <c r="O250" s="75">
        <f>G250+H250-L250-I250</f>
        <v>118.47933965504353</v>
      </c>
    </row>
    <row r="251" spans="1:15" x14ac:dyDescent="0.25">
      <c r="A251" s="17" t="s">
        <v>71</v>
      </c>
      <c r="B251" s="72" t="str">
        <f t="shared" si="106"/>
        <v>Q3/2021</v>
      </c>
      <c r="C251" s="73">
        <f>D250+1</f>
        <v>44378</v>
      </c>
      <c r="D251" s="73">
        <f t="shared" si="101"/>
        <v>44469</v>
      </c>
      <c r="E251" s="72">
        <f>D251-C251+1</f>
        <v>92</v>
      </c>
      <c r="F251" s="74">
        <f>VLOOKUP(D251,'FERC Interest Rate'!$A:$B,2,TRUE)</f>
        <v>5.2520850000000001E-2</v>
      </c>
      <c r="G251" s="75">
        <f>O250</f>
        <v>118.47933965504353</v>
      </c>
      <c r="H251" s="75">
        <v>0</v>
      </c>
      <c r="I251" s="99">
        <f t="shared" si="103"/>
        <v>8.1043396550433595</v>
      </c>
      <c r="J251" s="76">
        <f>G251*F251*(E251/(DATE(YEAR(D251),12,31)-DATE(YEAR(D251),1,1)+1))</f>
        <v>1.5684451441183196</v>
      </c>
      <c r="K251" s="116">
        <f>+SUM(I251:J251)</f>
        <v>9.6727847991616791</v>
      </c>
      <c r="L251" s="76">
        <f>VLOOKUP($B$225,A$1:F$25,5,FALSE)/20</f>
        <v>110.375</v>
      </c>
      <c r="M251" s="117">
        <f>+SUM(K251:L251)</f>
        <v>120.04778479916168</v>
      </c>
      <c r="N251" s="8">
        <f>+G251+H251+J251</f>
        <v>120.04778479916185</v>
      </c>
      <c r="O251" s="75">
        <f>G251+H251-L251-I251</f>
        <v>1.723066134218243E-13</v>
      </c>
    </row>
    <row r="252" spans="1:15" x14ac:dyDescent="0.25">
      <c r="A252" s="78"/>
      <c r="B252" s="72"/>
      <c r="C252" s="73"/>
      <c r="D252" s="73"/>
      <c r="E252" s="72"/>
      <c r="F252" s="74"/>
      <c r="G252" s="75"/>
      <c r="H252" s="75"/>
      <c r="I252" s="99"/>
      <c r="J252" s="76"/>
      <c r="K252" s="116"/>
      <c r="L252" s="76"/>
      <c r="M252" s="117"/>
      <c r="N252" s="8"/>
      <c r="O252" s="75"/>
    </row>
    <row r="253" spans="1:15" ht="13.5" thickBot="1" x14ac:dyDescent="0.35">
      <c r="A253" s="142"/>
      <c r="B253" s="143"/>
      <c r="C253" s="144"/>
      <c r="D253" s="144"/>
      <c r="E253" s="145"/>
      <c r="F253" s="143"/>
      <c r="G253" s="127">
        <f t="shared" ref="G253:O253" si="107">+SUM(G224:G252)</f>
        <v>42971.080913134589</v>
      </c>
      <c r="H253" s="127">
        <f t="shared" si="107"/>
        <v>162.0867931008672</v>
      </c>
      <c r="I253" s="128">
        <f t="shared" si="107"/>
        <v>162.0867931008672</v>
      </c>
      <c r="J253" s="127">
        <f t="shared" si="107"/>
        <v>253.27799802400764</v>
      </c>
      <c r="K253" s="127">
        <f t="shared" si="107"/>
        <v>415.36479112487484</v>
      </c>
      <c r="L253" s="127">
        <f t="shared" si="107"/>
        <v>2207.5</v>
      </c>
      <c r="M253" s="129">
        <f t="shared" si="107"/>
        <v>2622.8647911248745</v>
      </c>
      <c r="N253" s="127">
        <f t="shared" si="107"/>
        <v>43386.445704259466</v>
      </c>
      <c r="O253" s="127">
        <f t="shared" si="107"/>
        <v>40763.580913134589</v>
      </c>
    </row>
    <row r="254" spans="1:15" ht="13" thickTop="1" x14ac:dyDescent="0.25">
      <c r="B254" s="103"/>
      <c r="C254" s="103"/>
      <c r="D254" s="103"/>
      <c r="E254" s="103"/>
      <c r="F254" s="103"/>
      <c r="G254" s="103"/>
      <c r="H254" s="103"/>
      <c r="I254" s="102"/>
      <c r="J254" s="103"/>
      <c r="K254" s="103"/>
      <c r="L254" s="103"/>
      <c r="M254" s="118"/>
      <c r="O254" s="103"/>
    </row>
    <row r="255" spans="1:15" ht="52" x14ac:dyDescent="0.3">
      <c r="A255" s="77" t="s">
        <v>51</v>
      </c>
      <c r="B255" s="77" t="s">
        <v>3</v>
      </c>
      <c r="C255" s="77" t="s">
        <v>4</v>
      </c>
      <c r="D255" s="77" t="s">
        <v>5</v>
      </c>
      <c r="E255" s="77" t="s">
        <v>6</v>
      </c>
      <c r="F255" s="77" t="s">
        <v>7</v>
      </c>
      <c r="G255" s="77" t="s">
        <v>92</v>
      </c>
      <c r="H255" s="77" t="s">
        <v>93</v>
      </c>
      <c r="I255" s="94" t="s">
        <v>94</v>
      </c>
      <c r="J255" s="95" t="s">
        <v>95</v>
      </c>
      <c r="K255" s="95" t="s">
        <v>96</v>
      </c>
      <c r="L255" s="95" t="s">
        <v>97</v>
      </c>
      <c r="M255" s="96" t="s">
        <v>98</v>
      </c>
      <c r="N255" s="77" t="s">
        <v>99</v>
      </c>
      <c r="O255" s="77" t="s">
        <v>100</v>
      </c>
    </row>
    <row r="256" spans="1:15" ht="13" x14ac:dyDescent="0.3">
      <c r="A256" s="347" t="s">
        <v>14</v>
      </c>
      <c r="B256" s="347"/>
      <c r="C256" s="73">
        <f>VLOOKUP(B257,A$1:F$25,2,FALSE)</f>
        <v>41968</v>
      </c>
      <c r="D256" s="73">
        <f>DATE(YEAR(C256),IF(MONTH(C256)&lt;=3,3,IF(MONTH(C256)&lt;=6,6,IF(MONTH(C256)&lt;=9,9,12))),IF(OR(MONTH(C256)&lt;=3,MONTH(C256)&gt;=10),31,30))</f>
        <v>42004</v>
      </c>
      <c r="E256" s="72">
        <f>D256-C256+1</f>
        <v>37</v>
      </c>
      <c r="F256" s="74">
        <f>VLOOKUP(D256,'FERC Interest Rate'!$A:$B,2,TRUE)</f>
        <v>3.2500000000000001E-2</v>
      </c>
      <c r="G256" s="75">
        <f>VLOOKUP(B257,$A$1:$F$29,5,FALSE)</f>
        <v>2375</v>
      </c>
      <c r="H256" s="75">
        <f t="shared" ref="H256:H264" si="108">G256*F256*(E256/(DATE(YEAR(D256),12,31)-DATE(YEAR(D256),1,1)+1))</f>
        <v>7.8244863013698627</v>
      </c>
      <c r="I256" s="180">
        <v>0</v>
      </c>
      <c r="J256" s="76">
        <v>0</v>
      </c>
      <c r="K256" s="116">
        <f t="shared" ref="K256:K264" si="109">+SUM(I256:J256)</f>
        <v>0</v>
      </c>
      <c r="L256" s="76">
        <v>0</v>
      </c>
      <c r="M256" s="117">
        <f t="shared" ref="M256:M278" si="110">+SUM(K256:L256)</f>
        <v>0</v>
      </c>
      <c r="N256" s="8">
        <f t="shared" ref="N256:N278" si="111">+G256+H256+J256</f>
        <v>2382.8244863013697</v>
      </c>
      <c r="O256" s="75">
        <f t="shared" ref="O256:O278" si="112">G256+H256-L256-I256</f>
        <v>2382.8244863013697</v>
      </c>
    </row>
    <row r="257" spans="1:15" ht="13" x14ac:dyDescent="0.3">
      <c r="A257" s="110" t="s">
        <v>40</v>
      </c>
      <c r="B257" s="141" t="s">
        <v>58</v>
      </c>
      <c r="C257" s="73">
        <f>D256+1</f>
        <v>42005</v>
      </c>
      <c r="D257" s="73">
        <f>EOMONTH(D256,3)</f>
        <v>42094</v>
      </c>
      <c r="E257" s="72">
        <f t="shared" ref="E257:E278" si="113">D257-C257+1</f>
        <v>90</v>
      </c>
      <c r="F257" s="74">
        <f>VLOOKUP(D257,'FERC Interest Rate'!$A:$B,2,TRUE)</f>
        <v>3.2500000000000001E-2</v>
      </c>
      <c r="G257" s="75">
        <f t="shared" ref="G257:G278" si="114">O256</f>
        <v>2382.8244863013697</v>
      </c>
      <c r="H257" s="75">
        <f t="shared" si="108"/>
        <v>19.095237321730156</v>
      </c>
      <c r="I257" s="180">
        <v>0</v>
      </c>
      <c r="J257" s="76">
        <v>0</v>
      </c>
      <c r="K257" s="116">
        <f t="shared" si="109"/>
        <v>0</v>
      </c>
      <c r="L257" s="76">
        <v>0</v>
      </c>
      <c r="M257" s="117">
        <f t="shared" si="110"/>
        <v>0</v>
      </c>
      <c r="N257" s="8">
        <f t="shared" si="111"/>
        <v>2401.9197236230998</v>
      </c>
      <c r="O257" s="75">
        <f t="shared" si="112"/>
        <v>2401.9197236230998</v>
      </c>
    </row>
    <row r="258" spans="1:15" ht="13" x14ac:dyDescent="0.3">
      <c r="B258" s="301"/>
      <c r="C258" s="73">
        <f t="shared" ref="C258:C278" si="115">D257+1</f>
        <v>42095</v>
      </c>
      <c r="D258" s="73">
        <f t="shared" ref="D258:D283" si="116">EOMONTH(D257,3)</f>
        <v>42185</v>
      </c>
      <c r="E258" s="72">
        <f t="shared" si="113"/>
        <v>91</v>
      </c>
      <c r="F258" s="74">
        <f>VLOOKUP(D258,'FERC Interest Rate'!$A:$B,2,TRUE)</f>
        <v>3.2500000000000001E-2</v>
      </c>
      <c r="G258" s="75">
        <f t="shared" si="114"/>
        <v>2401.9197236230998</v>
      </c>
      <c r="H258" s="75">
        <f t="shared" si="108"/>
        <v>19.462130363329639</v>
      </c>
      <c r="I258" s="180">
        <v>0</v>
      </c>
      <c r="J258" s="76">
        <v>0</v>
      </c>
      <c r="K258" s="116">
        <f t="shared" si="109"/>
        <v>0</v>
      </c>
      <c r="L258" s="76">
        <v>0</v>
      </c>
      <c r="M258" s="117">
        <f t="shared" si="110"/>
        <v>0</v>
      </c>
      <c r="N258" s="8">
        <f t="shared" si="111"/>
        <v>2421.3818539864296</v>
      </c>
      <c r="O258" s="75">
        <f t="shared" si="112"/>
        <v>2421.3818539864296</v>
      </c>
    </row>
    <row r="259" spans="1:15" x14ac:dyDescent="0.25">
      <c r="A259" s="78"/>
      <c r="B259" s="72"/>
      <c r="C259" s="73">
        <f t="shared" si="115"/>
        <v>42186</v>
      </c>
      <c r="D259" s="73">
        <f t="shared" si="116"/>
        <v>42277</v>
      </c>
      <c r="E259" s="72">
        <f t="shared" si="113"/>
        <v>92</v>
      </c>
      <c r="F259" s="74">
        <f>VLOOKUP(D259,'FERC Interest Rate'!$A:$B,2,TRUE)</f>
        <v>3.2500000000000001E-2</v>
      </c>
      <c r="G259" s="75">
        <f t="shared" si="114"/>
        <v>2421.3818539864296</v>
      </c>
      <c r="H259" s="75">
        <f t="shared" si="108"/>
        <v>19.835429434025823</v>
      </c>
      <c r="I259" s="180">
        <v>0</v>
      </c>
      <c r="J259" s="76">
        <v>0</v>
      </c>
      <c r="K259" s="116">
        <f t="shared" si="109"/>
        <v>0</v>
      </c>
      <c r="L259" s="76">
        <v>0</v>
      </c>
      <c r="M259" s="117">
        <f t="shared" si="110"/>
        <v>0</v>
      </c>
      <c r="N259" s="8">
        <f t="shared" si="111"/>
        <v>2441.2172834204553</v>
      </c>
      <c r="O259" s="75">
        <f t="shared" si="112"/>
        <v>2441.2172834204553</v>
      </c>
    </row>
    <row r="260" spans="1:15" x14ac:dyDescent="0.25">
      <c r="A260" s="78"/>
      <c r="B260" s="72"/>
      <c r="C260" s="73">
        <f t="shared" si="115"/>
        <v>42278</v>
      </c>
      <c r="D260" s="73">
        <f t="shared" si="116"/>
        <v>42369</v>
      </c>
      <c r="E260" s="72">
        <f t="shared" si="113"/>
        <v>92</v>
      </c>
      <c r="F260" s="74">
        <f>VLOOKUP(D260,'FERC Interest Rate'!$A:$B,2,TRUE)</f>
        <v>3.2500000000000001E-2</v>
      </c>
      <c r="G260" s="75">
        <f t="shared" si="114"/>
        <v>2441.2172834204553</v>
      </c>
      <c r="H260" s="75">
        <f t="shared" si="108"/>
        <v>19.997916924457979</v>
      </c>
      <c r="I260" s="180">
        <v>0</v>
      </c>
      <c r="J260" s="76">
        <v>0</v>
      </c>
      <c r="K260" s="116">
        <f t="shared" si="109"/>
        <v>0</v>
      </c>
      <c r="L260" s="76">
        <v>0</v>
      </c>
      <c r="M260" s="117">
        <f t="shared" si="110"/>
        <v>0</v>
      </c>
      <c r="N260" s="8">
        <f t="shared" si="111"/>
        <v>2461.2152003449132</v>
      </c>
      <c r="O260" s="75">
        <f t="shared" si="112"/>
        <v>2461.2152003449132</v>
      </c>
    </row>
    <row r="261" spans="1:15" x14ac:dyDescent="0.25">
      <c r="A261" s="78"/>
      <c r="B261" s="72"/>
      <c r="C261" s="73">
        <f t="shared" si="115"/>
        <v>42370</v>
      </c>
      <c r="D261" s="73">
        <f t="shared" si="116"/>
        <v>42460</v>
      </c>
      <c r="E261" s="72">
        <f t="shared" si="113"/>
        <v>91</v>
      </c>
      <c r="F261" s="74">
        <f>VLOOKUP(D261,'FERC Interest Rate'!$A:$B,2,TRUE)</f>
        <v>3.2500000000000001E-2</v>
      </c>
      <c r="G261" s="75">
        <f t="shared" si="114"/>
        <v>2461.2152003449132</v>
      </c>
      <c r="H261" s="75">
        <f t="shared" si="108"/>
        <v>19.888098237759785</v>
      </c>
      <c r="I261" s="180">
        <v>0</v>
      </c>
      <c r="J261" s="76">
        <v>0</v>
      </c>
      <c r="K261" s="116">
        <f t="shared" si="109"/>
        <v>0</v>
      </c>
      <c r="L261" s="76">
        <v>0</v>
      </c>
      <c r="M261" s="117">
        <f t="shared" si="110"/>
        <v>0</v>
      </c>
      <c r="N261" s="8">
        <f t="shared" si="111"/>
        <v>2481.1032985826732</v>
      </c>
      <c r="O261" s="75">
        <f t="shared" si="112"/>
        <v>2481.1032985826732</v>
      </c>
    </row>
    <row r="262" spans="1:15" x14ac:dyDescent="0.25">
      <c r="A262" s="78"/>
      <c r="B262" s="72"/>
      <c r="C262" s="73">
        <f t="shared" si="115"/>
        <v>42461</v>
      </c>
      <c r="D262" s="73">
        <f t="shared" si="116"/>
        <v>42551</v>
      </c>
      <c r="E262" s="72">
        <f t="shared" si="113"/>
        <v>91</v>
      </c>
      <c r="F262" s="74">
        <f>VLOOKUP(D262,'FERC Interest Rate'!$A:$B,2,TRUE)</f>
        <v>3.4599999999999999E-2</v>
      </c>
      <c r="G262" s="75">
        <f t="shared" si="114"/>
        <v>2481.1032985826732</v>
      </c>
      <c r="H262" s="75">
        <f t="shared" si="108"/>
        <v>21.344267338572145</v>
      </c>
      <c r="I262" s="180">
        <v>0</v>
      </c>
      <c r="J262" s="76">
        <v>0</v>
      </c>
      <c r="K262" s="116">
        <f t="shared" si="109"/>
        <v>0</v>
      </c>
      <c r="L262" s="76">
        <v>0</v>
      </c>
      <c r="M262" s="117">
        <f t="shared" si="110"/>
        <v>0</v>
      </c>
      <c r="N262" s="8">
        <f t="shared" si="111"/>
        <v>2502.4475659212453</v>
      </c>
      <c r="O262" s="75">
        <f t="shared" si="112"/>
        <v>2502.4475659212453</v>
      </c>
    </row>
    <row r="263" spans="1:15" x14ac:dyDescent="0.25">
      <c r="A263" s="78"/>
      <c r="B263" s="72"/>
      <c r="C263" s="73">
        <f t="shared" si="115"/>
        <v>42552</v>
      </c>
      <c r="D263" s="73">
        <f t="shared" si="116"/>
        <v>42643</v>
      </c>
      <c r="E263" s="72">
        <f t="shared" si="113"/>
        <v>92</v>
      </c>
      <c r="F263" s="74">
        <f>VLOOKUP(D263,'FERC Interest Rate'!$A:$B,2,TRUE)</f>
        <v>3.5000000000000003E-2</v>
      </c>
      <c r="G263" s="75">
        <f t="shared" si="114"/>
        <v>2502.4475659212453</v>
      </c>
      <c r="H263" s="75">
        <f t="shared" si="108"/>
        <v>22.016068749361775</v>
      </c>
      <c r="I263" s="180">
        <v>0</v>
      </c>
      <c r="J263" s="76">
        <v>0</v>
      </c>
      <c r="K263" s="116">
        <f t="shared" si="109"/>
        <v>0</v>
      </c>
      <c r="L263" s="76">
        <v>0</v>
      </c>
      <c r="M263" s="117">
        <f t="shared" si="110"/>
        <v>0</v>
      </c>
      <c r="N263" s="8">
        <f t="shared" si="111"/>
        <v>2524.463634670607</v>
      </c>
      <c r="O263" s="75">
        <f t="shared" si="112"/>
        <v>2524.463634670607</v>
      </c>
    </row>
    <row r="264" spans="1:15" x14ac:dyDescent="0.25">
      <c r="A264" s="17" t="s">
        <v>52</v>
      </c>
      <c r="B264" s="72" t="str">
        <f t="shared" ref="B264:B275" si="117">+IF(MONTH(C264)&lt;4,"Q1",IF(MONTH(C264)&lt;7,"Q2",IF(MONTH(C264)&lt;10,"Q3","Q4")))&amp;"/"&amp;YEAR(C264)</f>
        <v>Q4/2016</v>
      </c>
      <c r="C264" s="73">
        <f t="shared" si="115"/>
        <v>42644</v>
      </c>
      <c r="D264" s="73">
        <f t="shared" si="116"/>
        <v>42735</v>
      </c>
      <c r="E264" s="72">
        <f t="shared" si="113"/>
        <v>92</v>
      </c>
      <c r="F264" s="74">
        <f>VLOOKUP(D264,'FERC Interest Rate'!$A:$B,2,TRUE)</f>
        <v>3.5000000000000003E-2</v>
      </c>
      <c r="G264" s="75">
        <f t="shared" si="114"/>
        <v>2524.463634670607</v>
      </c>
      <c r="H264" s="75">
        <f t="shared" si="108"/>
        <v>22.209762031801517</v>
      </c>
      <c r="I264" s="99">
        <f>SUM($H$256:$H$284)/20</f>
        <v>8.5836698351204355</v>
      </c>
      <c r="J264" s="76">
        <v>0</v>
      </c>
      <c r="K264" s="116">
        <f t="shared" si="109"/>
        <v>8.5836698351204355</v>
      </c>
      <c r="L264" s="76">
        <f t="shared" ref="L264:L283" si="118">VLOOKUP($B$257,A$1:F$25,5,FALSE)/20</f>
        <v>118.75</v>
      </c>
      <c r="M264" s="117">
        <f t="shared" si="110"/>
        <v>127.33366983512043</v>
      </c>
      <c r="N264" s="8">
        <f t="shared" si="111"/>
        <v>2546.6733967024084</v>
      </c>
      <c r="O264" s="75">
        <f t="shared" si="112"/>
        <v>2419.3397268672879</v>
      </c>
    </row>
    <row r="265" spans="1:15" x14ac:dyDescent="0.25">
      <c r="A265" s="17" t="s">
        <v>53</v>
      </c>
      <c r="B265" s="72" t="str">
        <f t="shared" si="117"/>
        <v>Q1/2017</v>
      </c>
      <c r="C265" s="73">
        <f t="shared" si="115"/>
        <v>42736</v>
      </c>
      <c r="D265" s="73">
        <f t="shared" si="116"/>
        <v>42825</v>
      </c>
      <c r="E265" s="72">
        <f t="shared" si="113"/>
        <v>90</v>
      </c>
      <c r="F265" s="74">
        <f>VLOOKUP(D265,'FERC Interest Rate'!$A:$B,2,TRUE)</f>
        <v>3.5000000000000003E-2</v>
      </c>
      <c r="G265" s="75">
        <f t="shared" si="114"/>
        <v>2419.3397268672879</v>
      </c>
      <c r="H265" s="75">
        <v>0</v>
      </c>
      <c r="I265" s="99">
        <f t="shared" ref="I265:I283" si="119">SUM($H$256:$H$284)/20</f>
        <v>8.5836698351204355</v>
      </c>
      <c r="J265" s="76">
        <f t="shared" ref="J265:J278" si="120">G265*F265*(E265/(DATE(YEAR(D265),12,31)-DATE(YEAR(D265),1,1)+1))</f>
        <v>20.879233259265636</v>
      </c>
      <c r="K265" s="116">
        <f t="shared" ref="K265:K278" si="121">+SUM(I265:J265)</f>
        <v>29.462903094386071</v>
      </c>
      <c r="L265" s="76">
        <f t="shared" si="118"/>
        <v>118.75</v>
      </c>
      <c r="M265" s="117">
        <f t="shared" si="110"/>
        <v>148.21290309438606</v>
      </c>
      <c r="N265" s="8">
        <f t="shared" si="111"/>
        <v>2440.2189601265536</v>
      </c>
      <c r="O265" s="75">
        <f t="shared" si="112"/>
        <v>2292.0060570321675</v>
      </c>
    </row>
    <row r="266" spans="1:15" x14ac:dyDescent="0.25">
      <c r="A266" s="17" t="s">
        <v>54</v>
      </c>
      <c r="B266" s="72" t="str">
        <f t="shared" si="117"/>
        <v>Q2/2017</v>
      </c>
      <c r="C266" s="73">
        <f t="shared" si="115"/>
        <v>42826</v>
      </c>
      <c r="D266" s="73">
        <f t="shared" si="116"/>
        <v>42916</v>
      </c>
      <c r="E266" s="72">
        <f t="shared" si="113"/>
        <v>91</v>
      </c>
      <c r="F266" s="74">
        <f>VLOOKUP(D266,'FERC Interest Rate'!$A:$B,2,TRUE)</f>
        <v>3.7100000000000001E-2</v>
      </c>
      <c r="G266" s="75">
        <f t="shared" si="114"/>
        <v>2292.0060570321675</v>
      </c>
      <c r="H266" s="75">
        <v>0</v>
      </c>
      <c r="I266" s="99">
        <f t="shared" si="119"/>
        <v>8.5836698351204355</v>
      </c>
      <c r="J266" s="76">
        <f t="shared" si="120"/>
        <v>21.20011410725014</v>
      </c>
      <c r="K266" s="116">
        <f t="shared" si="121"/>
        <v>29.783783942370576</v>
      </c>
      <c r="L266" s="76">
        <f t="shared" si="118"/>
        <v>118.75</v>
      </c>
      <c r="M266" s="117">
        <f t="shared" si="110"/>
        <v>148.53378394237058</v>
      </c>
      <c r="N266" s="8">
        <f t="shared" si="111"/>
        <v>2313.2061711394176</v>
      </c>
      <c r="O266" s="75">
        <f t="shared" si="112"/>
        <v>2164.6723871970471</v>
      </c>
    </row>
    <row r="267" spans="1:15" x14ac:dyDescent="0.25">
      <c r="A267" s="17" t="s">
        <v>55</v>
      </c>
      <c r="B267" s="72" t="str">
        <f t="shared" si="117"/>
        <v>Q3/2017</v>
      </c>
      <c r="C267" s="73">
        <f t="shared" si="115"/>
        <v>42917</v>
      </c>
      <c r="D267" s="73">
        <f t="shared" si="116"/>
        <v>43008</v>
      </c>
      <c r="E267" s="72">
        <f t="shared" si="113"/>
        <v>92</v>
      </c>
      <c r="F267" s="74">
        <f>VLOOKUP(D267,'FERC Interest Rate'!$A:$B,2,TRUE)</f>
        <v>3.9600000000000003E-2</v>
      </c>
      <c r="G267" s="75">
        <f t="shared" si="114"/>
        <v>2164.6723871970471</v>
      </c>
      <c r="H267" s="75">
        <v>0</v>
      </c>
      <c r="I267" s="99">
        <f t="shared" si="119"/>
        <v>8.5836698351204355</v>
      </c>
      <c r="J267" s="76">
        <f t="shared" si="120"/>
        <v>21.606395728866527</v>
      </c>
      <c r="K267" s="116">
        <f t="shared" si="121"/>
        <v>30.190065563986963</v>
      </c>
      <c r="L267" s="76">
        <f t="shared" si="118"/>
        <v>118.75</v>
      </c>
      <c r="M267" s="117">
        <f t="shared" si="110"/>
        <v>148.94006556398696</v>
      </c>
      <c r="N267" s="8">
        <f t="shared" si="111"/>
        <v>2186.2787829259137</v>
      </c>
      <c r="O267" s="75">
        <f t="shared" si="112"/>
        <v>2037.3387173619267</v>
      </c>
    </row>
    <row r="268" spans="1:15" x14ac:dyDescent="0.25">
      <c r="A268" s="17" t="s">
        <v>56</v>
      </c>
      <c r="B268" s="72" t="str">
        <f t="shared" si="117"/>
        <v>Q4/2017</v>
      </c>
      <c r="C268" s="73">
        <f t="shared" si="115"/>
        <v>43009</v>
      </c>
      <c r="D268" s="73">
        <f t="shared" si="116"/>
        <v>43100</v>
      </c>
      <c r="E268" s="72">
        <f t="shared" si="113"/>
        <v>92</v>
      </c>
      <c r="F268" s="74">
        <f>VLOOKUP(D268,'FERC Interest Rate'!$A:$B,2,TRUE)</f>
        <v>4.2099999999999999E-2</v>
      </c>
      <c r="G268" s="75">
        <f t="shared" si="114"/>
        <v>2037.3387173619267</v>
      </c>
      <c r="H268" s="75">
        <v>0</v>
      </c>
      <c r="I268" s="99">
        <f t="shared" si="119"/>
        <v>8.5836698351204355</v>
      </c>
      <c r="J268" s="76">
        <f t="shared" si="120"/>
        <v>21.619233753660865</v>
      </c>
      <c r="K268" s="116">
        <f t="shared" si="121"/>
        <v>30.2029035887813</v>
      </c>
      <c r="L268" s="76">
        <f t="shared" si="118"/>
        <v>118.75</v>
      </c>
      <c r="M268" s="117">
        <f t="shared" si="110"/>
        <v>148.95290358878131</v>
      </c>
      <c r="N268" s="8">
        <f t="shared" si="111"/>
        <v>2058.9579511155875</v>
      </c>
      <c r="O268" s="75">
        <f t="shared" si="112"/>
        <v>1910.0050475268063</v>
      </c>
    </row>
    <row r="269" spans="1:15" x14ac:dyDescent="0.25">
      <c r="A269" s="17" t="s">
        <v>57</v>
      </c>
      <c r="B269" s="72" t="str">
        <f t="shared" si="117"/>
        <v>Q1/2018</v>
      </c>
      <c r="C269" s="73">
        <f t="shared" si="115"/>
        <v>43101</v>
      </c>
      <c r="D269" s="73">
        <f t="shared" si="116"/>
        <v>43190</v>
      </c>
      <c r="E269" s="72">
        <f t="shared" si="113"/>
        <v>90</v>
      </c>
      <c r="F269" s="74">
        <f>VLOOKUP(D269,'FERC Interest Rate'!$A:$B,2,TRUE)</f>
        <v>4.2500000000000003E-2</v>
      </c>
      <c r="G269" s="75">
        <f t="shared" si="114"/>
        <v>1910.0050475268063</v>
      </c>
      <c r="H269" s="75">
        <v>0</v>
      </c>
      <c r="I269" s="99">
        <f t="shared" si="119"/>
        <v>8.5836698351204355</v>
      </c>
      <c r="J269" s="76">
        <f t="shared" si="120"/>
        <v>20.015806319972693</v>
      </c>
      <c r="K269" s="116">
        <f t="shared" si="121"/>
        <v>28.599476155093129</v>
      </c>
      <c r="L269" s="76">
        <f t="shared" si="118"/>
        <v>118.75</v>
      </c>
      <c r="M269" s="117">
        <f t="shared" si="110"/>
        <v>147.34947615509313</v>
      </c>
      <c r="N269" s="8">
        <f t="shared" si="111"/>
        <v>1930.0208538467789</v>
      </c>
      <c r="O269" s="75">
        <f t="shared" si="112"/>
        <v>1782.6713776916858</v>
      </c>
    </row>
    <row r="270" spans="1:15" x14ac:dyDescent="0.25">
      <c r="A270" s="17" t="s">
        <v>58</v>
      </c>
      <c r="B270" s="72" t="str">
        <f t="shared" si="117"/>
        <v>Q2/2018</v>
      </c>
      <c r="C270" s="73">
        <f t="shared" si="115"/>
        <v>43191</v>
      </c>
      <c r="D270" s="73">
        <f t="shared" si="116"/>
        <v>43281</v>
      </c>
      <c r="E270" s="72">
        <f t="shared" si="113"/>
        <v>91</v>
      </c>
      <c r="F270" s="74">
        <f>VLOOKUP(D270,'FERC Interest Rate'!$A:$B,2,TRUE)</f>
        <v>4.4699999999999997E-2</v>
      </c>
      <c r="G270" s="75">
        <f t="shared" si="114"/>
        <v>1782.6713776916858</v>
      </c>
      <c r="H270" s="75">
        <v>0</v>
      </c>
      <c r="I270" s="99">
        <f t="shared" si="119"/>
        <v>8.5836698351204355</v>
      </c>
      <c r="J270" s="76">
        <f t="shared" si="120"/>
        <v>19.86677359736019</v>
      </c>
      <c r="K270" s="116">
        <f t="shared" si="121"/>
        <v>28.450443432480625</v>
      </c>
      <c r="L270" s="76">
        <f t="shared" si="118"/>
        <v>118.75</v>
      </c>
      <c r="M270" s="117">
        <f t="shared" si="110"/>
        <v>147.20044343248063</v>
      </c>
      <c r="N270" s="8">
        <f t="shared" si="111"/>
        <v>1802.538151289046</v>
      </c>
      <c r="O270" s="75">
        <f t="shared" si="112"/>
        <v>1655.3377078565654</v>
      </c>
    </row>
    <row r="271" spans="1:15" x14ac:dyDescent="0.25">
      <c r="A271" s="17" t="s">
        <v>59</v>
      </c>
      <c r="B271" s="72" t="str">
        <f t="shared" si="117"/>
        <v>Q3/2018</v>
      </c>
      <c r="C271" s="73">
        <f t="shared" si="115"/>
        <v>43282</v>
      </c>
      <c r="D271" s="73">
        <f t="shared" si="116"/>
        <v>43373</v>
      </c>
      <c r="E271" s="72">
        <f t="shared" si="113"/>
        <v>92</v>
      </c>
      <c r="F271" s="74">
        <f>VLOOKUP(D271,'FERC Interest Rate'!$A:$B,2,TRUE)</f>
        <v>4.6899999999999997E-2</v>
      </c>
      <c r="G271" s="75">
        <f t="shared" si="114"/>
        <v>1655.3377078565654</v>
      </c>
      <c r="H271" s="75">
        <v>0</v>
      </c>
      <c r="I271" s="99">
        <f t="shared" si="119"/>
        <v>8.5836698351204355</v>
      </c>
      <c r="J271" s="76">
        <f t="shared" si="120"/>
        <v>19.568359292765777</v>
      </c>
      <c r="K271" s="116">
        <f t="shared" si="121"/>
        <v>28.152029127886212</v>
      </c>
      <c r="L271" s="76">
        <f t="shared" si="118"/>
        <v>118.75</v>
      </c>
      <c r="M271" s="117">
        <f t="shared" si="110"/>
        <v>146.90202912788621</v>
      </c>
      <c r="N271" s="8">
        <f t="shared" si="111"/>
        <v>1674.9060671493312</v>
      </c>
      <c r="O271" s="75">
        <f t="shared" si="112"/>
        <v>1528.004038021445</v>
      </c>
    </row>
    <row r="272" spans="1:15" x14ac:dyDescent="0.25">
      <c r="A272" s="17" t="s">
        <v>60</v>
      </c>
      <c r="B272" s="72" t="str">
        <f t="shared" si="117"/>
        <v>Q4/2018</v>
      </c>
      <c r="C272" s="73">
        <f t="shared" si="115"/>
        <v>43374</v>
      </c>
      <c r="D272" s="73">
        <f t="shared" si="116"/>
        <v>43465</v>
      </c>
      <c r="E272" s="72">
        <f t="shared" si="113"/>
        <v>92</v>
      </c>
      <c r="F272" s="74">
        <f>VLOOKUP(D272,'FERC Interest Rate'!$A:$B,2,TRUE)</f>
        <v>4.9599999999999998E-2</v>
      </c>
      <c r="G272" s="75">
        <f t="shared" si="114"/>
        <v>1528.004038021445</v>
      </c>
      <c r="H272" s="75">
        <v>0</v>
      </c>
      <c r="I272" s="99">
        <f t="shared" si="119"/>
        <v>8.5836698351204355</v>
      </c>
      <c r="J272" s="76">
        <f t="shared" si="120"/>
        <v>19.102980893971118</v>
      </c>
      <c r="K272" s="116">
        <f t="shared" si="121"/>
        <v>27.686650729091554</v>
      </c>
      <c r="L272" s="76">
        <f t="shared" si="118"/>
        <v>118.75</v>
      </c>
      <c r="M272" s="117">
        <f t="shared" si="110"/>
        <v>146.43665072909155</v>
      </c>
      <c r="N272" s="8">
        <f t="shared" si="111"/>
        <v>1547.1070189154161</v>
      </c>
      <c r="O272" s="75">
        <f t="shared" si="112"/>
        <v>1400.6703681863246</v>
      </c>
    </row>
    <row r="273" spans="1:15" x14ac:dyDescent="0.25">
      <c r="A273" s="17" t="s">
        <v>61</v>
      </c>
      <c r="B273" s="72" t="str">
        <f t="shared" si="117"/>
        <v>Q1/2019</v>
      </c>
      <c r="C273" s="73">
        <f t="shared" si="115"/>
        <v>43466</v>
      </c>
      <c r="D273" s="73">
        <f t="shared" si="116"/>
        <v>43555</v>
      </c>
      <c r="E273" s="72">
        <f t="shared" si="113"/>
        <v>90</v>
      </c>
      <c r="F273" s="74">
        <f>VLOOKUP(D273,'FERC Interest Rate'!$A:$B,2,TRUE)</f>
        <v>5.1799999999999999E-2</v>
      </c>
      <c r="G273" s="75">
        <f t="shared" si="114"/>
        <v>1400.6703681863246</v>
      </c>
      <c r="H273" s="75">
        <v>0</v>
      </c>
      <c r="I273" s="99">
        <f t="shared" si="119"/>
        <v>8.5836698351204355</v>
      </c>
      <c r="J273" s="76">
        <f t="shared" si="120"/>
        <v>17.890206182149711</v>
      </c>
      <c r="K273" s="116">
        <f t="shared" si="121"/>
        <v>26.473876017270147</v>
      </c>
      <c r="L273" s="76">
        <f t="shared" si="118"/>
        <v>118.75</v>
      </c>
      <c r="M273" s="117">
        <f t="shared" si="110"/>
        <v>145.22387601727016</v>
      </c>
      <c r="N273" s="8">
        <f t="shared" si="111"/>
        <v>1418.5605743684744</v>
      </c>
      <c r="O273" s="75">
        <f t="shared" si="112"/>
        <v>1273.3366983512042</v>
      </c>
    </row>
    <row r="274" spans="1:15" x14ac:dyDescent="0.25">
      <c r="A274" s="17" t="s">
        <v>62</v>
      </c>
      <c r="B274" s="72" t="str">
        <f t="shared" si="117"/>
        <v>Q2/2019</v>
      </c>
      <c r="C274" s="73">
        <f t="shared" si="115"/>
        <v>43556</v>
      </c>
      <c r="D274" s="73">
        <f t="shared" si="116"/>
        <v>43646</v>
      </c>
      <c r="E274" s="72">
        <f t="shared" si="113"/>
        <v>91</v>
      </c>
      <c r="F274" s="74">
        <f>VLOOKUP(D274,'FERC Interest Rate'!$A:$B,2,TRUE)</f>
        <v>5.45E-2</v>
      </c>
      <c r="G274" s="75">
        <f t="shared" si="114"/>
        <v>1273.3366983512042</v>
      </c>
      <c r="H274" s="75">
        <v>0</v>
      </c>
      <c r="I274" s="99">
        <f t="shared" si="119"/>
        <v>8.5836698351204355</v>
      </c>
      <c r="J274" s="76">
        <f t="shared" si="120"/>
        <v>17.301680425952867</v>
      </c>
      <c r="K274" s="116">
        <f t="shared" si="121"/>
        <v>25.885350261073302</v>
      </c>
      <c r="L274" s="76">
        <f t="shared" si="118"/>
        <v>118.75</v>
      </c>
      <c r="M274" s="117">
        <f t="shared" si="110"/>
        <v>144.63535026107331</v>
      </c>
      <c r="N274" s="8">
        <f t="shared" si="111"/>
        <v>1290.638378777157</v>
      </c>
      <c r="O274" s="75">
        <f t="shared" si="112"/>
        <v>1146.0030285160838</v>
      </c>
    </row>
    <row r="275" spans="1:15" x14ac:dyDescent="0.25">
      <c r="A275" s="17" t="s">
        <v>63</v>
      </c>
      <c r="B275" s="72" t="str">
        <f t="shared" si="117"/>
        <v>Q3/2019</v>
      </c>
      <c r="C275" s="73">
        <f t="shared" si="115"/>
        <v>43647</v>
      </c>
      <c r="D275" s="73">
        <f t="shared" si="116"/>
        <v>43738</v>
      </c>
      <c r="E275" s="72">
        <f t="shared" si="113"/>
        <v>92</v>
      </c>
      <c r="F275" s="74">
        <f>VLOOKUP(D275,'FERC Interest Rate'!$A:$B,2,TRUE)</f>
        <v>5.5E-2</v>
      </c>
      <c r="G275" s="75">
        <f t="shared" si="114"/>
        <v>1146.0030285160838</v>
      </c>
      <c r="H275" s="75">
        <v>0</v>
      </c>
      <c r="I275" s="99">
        <f t="shared" si="119"/>
        <v>8.5836698351204355</v>
      </c>
      <c r="J275" s="76">
        <f t="shared" si="120"/>
        <v>15.887055682990095</v>
      </c>
      <c r="K275" s="116">
        <f t="shared" si="121"/>
        <v>24.47072551811053</v>
      </c>
      <c r="L275" s="76">
        <f t="shared" si="118"/>
        <v>118.75</v>
      </c>
      <c r="M275" s="117">
        <f t="shared" si="110"/>
        <v>143.22072551811053</v>
      </c>
      <c r="N275" s="8">
        <f t="shared" si="111"/>
        <v>1161.890084199074</v>
      </c>
      <c r="O275" s="75">
        <f t="shared" si="112"/>
        <v>1018.6693586809633</v>
      </c>
    </row>
    <row r="276" spans="1:15" x14ac:dyDescent="0.25">
      <c r="A276" s="17" t="s">
        <v>64</v>
      </c>
      <c r="B276" s="72" t="str">
        <f t="shared" ref="B276:B283" si="122">+IF(MONTH(C276)&lt;4,"Q1",IF(MONTH(C276)&lt;7,"Q2",IF(MONTH(C276)&lt;10,"Q3","Q4")))&amp;"/"&amp;YEAR(C276)</f>
        <v>Q4/2019</v>
      </c>
      <c r="C276" s="73">
        <f t="shared" si="115"/>
        <v>43739</v>
      </c>
      <c r="D276" s="73">
        <f t="shared" si="116"/>
        <v>43830</v>
      </c>
      <c r="E276" s="72">
        <f t="shared" si="113"/>
        <v>92</v>
      </c>
      <c r="F276" s="74">
        <f>VLOOKUP(D276,'FERC Interest Rate'!$A:$B,2,TRUE)</f>
        <v>5.4199999999999998E-2</v>
      </c>
      <c r="G276" s="75">
        <f t="shared" si="114"/>
        <v>1018.6693586809633</v>
      </c>
      <c r="H276" s="75">
        <v>0</v>
      </c>
      <c r="I276" s="99">
        <f t="shared" si="119"/>
        <v>8.5836698351204355</v>
      </c>
      <c r="J276" s="76">
        <f t="shared" si="120"/>
        <v>13.916418877059606</v>
      </c>
      <c r="K276" s="116">
        <f t="shared" si="121"/>
        <v>22.500088712180041</v>
      </c>
      <c r="L276" s="76">
        <f t="shared" si="118"/>
        <v>118.75</v>
      </c>
      <c r="M276" s="117">
        <f t="shared" si="110"/>
        <v>141.25008871218003</v>
      </c>
      <c r="N276" s="8">
        <f t="shared" si="111"/>
        <v>1032.585777558023</v>
      </c>
      <c r="O276" s="75">
        <f t="shared" si="112"/>
        <v>891.33568884584292</v>
      </c>
    </row>
    <row r="277" spans="1:15" x14ac:dyDescent="0.25">
      <c r="A277" s="17" t="s">
        <v>65</v>
      </c>
      <c r="B277" s="72" t="str">
        <f t="shared" si="122"/>
        <v>Q1/2020</v>
      </c>
      <c r="C277" s="73">
        <f t="shared" si="115"/>
        <v>43831</v>
      </c>
      <c r="D277" s="73">
        <f t="shared" si="116"/>
        <v>43921</v>
      </c>
      <c r="E277" s="72">
        <f t="shared" si="113"/>
        <v>91</v>
      </c>
      <c r="F277" s="74">
        <f>VLOOKUP(D277,'FERC Interest Rate'!$A:$B,2,TRUE)</f>
        <v>4.9599999999999998E-2</v>
      </c>
      <c r="G277" s="75">
        <f t="shared" si="114"/>
        <v>891.33568884584292</v>
      </c>
      <c r="H277" s="75">
        <v>0</v>
      </c>
      <c r="I277" s="99">
        <f t="shared" si="119"/>
        <v>8.5836698351204355</v>
      </c>
      <c r="J277" s="76">
        <f t="shared" si="120"/>
        <v>10.992166025067204</v>
      </c>
      <c r="K277" s="116">
        <f t="shared" si="121"/>
        <v>19.575835860187638</v>
      </c>
      <c r="L277" s="76">
        <f t="shared" si="118"/>
        <v>118.75</v>
      </c>
      <c r="M277" s="117">
        <f t="shared" si="110"/>
        <v>138.32583586018762</v>
      </c>
      <c r="N277" s="8">
        <f t="shared" si="111"/>
        <v>902.32785487091007</v>
      </c>
      <c r="O277" s="75">
        <f t="shared" si="112"/>
        <v>764.00201901072251</v>
      </c>
    </row>
    <row r="278" spans="1:15" x14ac:dyDescent="0.25">
      <c r="A278" s="17" t="s">
        <v>66</v>
      </c>
      <c r="B278" s="72" t="str">
        <f t="shared" si="122"/>
        <v>Q2/2020</v>
      </c>
      <c r="C278" s="73">
        <f t="shared" si="115"/>
        <v>43922</v>
      </c>
      <c r="D278" s="73">
        <f t="shared" si="116"/>
        <v>44012</v>
      </c>
      <c r="E278" s="72">
        <f t="shared" si="113"/>
        <v>91</v>
      </c>
      <c r="F278" s="74">
        <f>VLOOKUP(D278,'FERC Interest Rate'!$A:$B,2,TRUE)</f>
        <v>4.7503500000000004E-2</v>
      </c>
      <c r="G278" s="75">
        <f t="shared" si="114"/>
        <v>764.00201901072251</v>
      </c>
      <c r="H278" s="75">
        <v>0</v>
      </c>
      <c r="I278" s="99">
        <f t="shared" si="119"/>
        <v>8.5836698351204355</v>
      </c>
      <c r="J278" s="76">
        <f t="shared" si="120"/>
        <v>9.0236121907565661</v>
      </c>
      <c r="K278" s="116">
        <f t="shared" si="121"/>
        <v>17.607282025877002</v>
      </c>
      <c r="L278" s="76">
        <f t="shared" si="118"/>
        <v>118.75</v>
      </c>
      <c r="M278" s="117">
        <f t="shared" si="110"/>
        <v>136.357282025877</v>
      </c>
      <c r="N278" s="8">
        <f t="shared" si="111"/>
        <v>773.02563120147909</v>
      </c>
      <c r="O278" s="75">
        <f t="shared" si="112"/>
        <v>636.66834917560209</v>
      </c>
    </row>
    <row r="279" spans="1:15" x14ac:dyDescent="0.25">
      <c r="A279" s="17" t="s">
        <v>67</v>
      </c>
      <c r="B279" s="72" t="str">
        <f t="shared" si="122"/>
        <v>Q3/2020</v>
      </c>
      <c r="C279" s="73">
        <f>D278+1</f>
        <v>44013</v>
      </c>
      <c r="D279" s="73">
        <f t="shared" si="116"/>
        <v>44104</v>
      </c>
      <c r="E279" s="72">
        <f>D279-C279+1</f>
        <v>92</v>
      </c>
      <c r="F279" s="74">
        <f>VLOOKUP(D279,'FERC Interest Rate'!$A:$B,2,TRUE)</f>
        <v>4.7507929999999997E-2</v>
      </c>
      <c r="G279" s="75">
        <f>O278</f>
        <v>636.66834917560209</v>
      </c>
      <c r="H279" s="75">
        <v>0</v>
      </c>
      <c r="I279" s="99">
        <f t="shared" si="119"/>
        <v>8.5836698351204355</v>
      </c>
      <c r="J279" s="76">
        <f>G279*F279*(E279/(DATE(YEAR(D279),12,31)-DATE(YEAR(D279),1,1)+1))</f>
        <v>7.6030196001590307</v>
      </c>
      <c r="K279" s="116">
        <f>+SUM(I279:J279)</f>
        <v>16.186689435279465</v>
      </c>
      <c r="L279" s="76">
        <f t="shared" si="118"/>
        <v>118.75</v>
      </c>
      <c r="M279" s="117">
        <f>+SUM(K279:L279)</f>
        <v>134.93668943527948</v>
      </c>
      <c r="N279" s="8">
        <f>+G279+H279+J279</f>
        <v>644.27136877576118</v>
      </c>
      <c r="O279" s="75">
        <f>G279+H279-L279-I279</f>
        <v>509.33467934048167</v>
      </c>
    </row>
    <row r="280" spans="1:15" x14ac:dyDescent="0.25">
      <c r="A280" s="17" t="s">
        <v>68</v>
      </c>
      <c r="B280" s="72" t="str">
        <f t="shared" si="122"/>
        <v>Q4/2020</v>
      </c>
      <c r="C280" s="73">
        <f>D279+1</f>
        <v>44105</v>
      </c>
      <c r="D280" s="73">
        <f t="shared" si="116"/>
        <v>44196</v>
      </c>
      <c r="E280" s="72">
        <f>D280-C280+1</f>
        <v>92</v>
      </c>
      <c r="F280" s="74">
        <f>VLOOKUP(D280,'FERC Interest Rate'!$A:$B,2,TRUE)</f>
        <v>4.7922320000000004E-2</v>
      </c>
      <c r="G280" s="75">
        <f>O279</f>
        <v>509.33467934048167</v>
      </c>
      <c r="H280" s="75">
        <v>0</v>
      </c>
      <c r="I280" s="99">
        <f t="shared" si="119"/>
        <v>8.5836698351204355</v>
      </c>
      <c r="J280" s="76">
        <f>G280*F280*(E280/(DATE(YEAR(D280),12,31)-DATE(YEAR(D280),1,1)+1))</f>
        <v>6.1354698172720763</v>
      </c>
      <c r="K280" s="116">
        <f>+SUM(I280:J280)</f>
        <v>14.719139652392512</v>
      </c>
      <c r="L280" s="76">
        <f t="shared" si="118"/>
        <v>118.75</v>
      </c>
      <c r="M280" s="117">
        <f>+SUM(K280:L280)</f>
        <v>133.4691396523925</v>
      </c>
      <c r="N280" s="8">
        <f>+G280+H280+J280</f>
        <v>515.47014915775378</v>
      </c>
      <c r="O280" s="75">
        <f>G280+H280-L280-I280</f>
        <v>382.00100950536125</v>
      </c>
    </row>
    <row r="281" spans="1:15" x14ac:dyDescent="0.25">
      <c r="A281" s="17" t="s">
        <v>69</v>
      </c>
      <c r="B281" s="72" t="str">
        <f t="shared" si="122"/>
        <v>Q1/2021</v>
      </c>
      <c r="C281" s="73">
        <f>D280+1</f>
        <v>44197</v>
      </c>
      <c r="D281" s="73">
        <f t="shared" si="116"/>
        <v>44286</v>
      </c>
      <c r="E281" s="72">
        <f>D281-C281+1</f>
        <v>90</v>
      </c>
      <c r="F281" s="74">
        <f>VLOOKUP(D281,'FERC Interest Rate'!$A:$B,2,TRUE)</f>
        <v>5.0023470000000007E-2</v>
      </c>
      <c r="G281" s="75">
        <f>O280</f>
        <v>382.00100950536125</v>
      </c>
      <c r="H281" s="75">
        <v>0</v>
      </c>
      <c r="I281" s="99">
        <f t="shared" si="119"/>
        <v>8.5836698351204355</v>
      </c>
      <c r="J281" s="76">
        <f>G281*F281*(E281/(DATE(YEAR(D281),12,31)-DATE(YEAR(D281),1,1)+1))</f>
        <v>4.7118121739904213</v>
      </c>
      <c r="K281" s="116">
        <f>+SUM(I281:J281)</f>
        <v>13.295482009110856</v>
      </c>
      <c r="L281" s="76">
        <f t="shared" si="118"/>
        <v>118.75</v>
      </c>
      <c r="M281" s="117">
        <f>+SUM(K281:L281)</f>
        <v>132.04548200911086</v>
      </c>
      <c r="N281" s="8">
        <f>+G281+H281+J281</f>
        <v>386.71282167935169</v>
      </c>
      <c r="O281" s="75">
        <f>G281+H281-L281-I281</f>
        <v>254.66733967024081</v>
      </c>
    </row>
    <row r="282" spans="1:15" x14ac:dyDescent="0.25">
      <c r="A282" s="17" t="s">
        <v>70</v>
      </c>
      <c r="B282" s="72" t="str">
        <f t="shared" si="122"/>
        <v>Q2/2021</v>
      </c>
      <c r="C282" s="73">
        <f>D281+1</f>
        <v>44287</v>
      </c>
      <c r="D282" s="73">
        <f t="shared" si="116"/>
        <v>44377</v>
      </c>
      <c r="E282" s="72">
        <f>D282-C282+1</f>
        <v>91</v>
      </c>
      <c r="F282" s="74">
        <f>VLOOKUP(D282,'FERC Interest Rate'!$A:$B,2,TRUE)</f>
        <v>5.0403730000000001E-2</v>
      </c>
      <c r="G282" s="75">
        <f>O281</f>
        <v>254.66733967024081</v>
      </c>
      <c r="H282" s="75">
        <v>0</v>
      </c>
      <c r="I282" s="99">
        <f t="shared" si="119"/>
        <v>8.5836698351204355</v>
      </c>
      <c r="J282" s="76">
        <f>G282*F282*(E282/(DATE(YEAR(D282),12,31)-DATE(YEAR(D282),1,1)+1))</f>
        <v>3.2002540504073886</v>
      </c>
      <c r="K282" s="116">
        <f>+SUM(I282:J282)</f>
        <v>11.783923885527823</v>
      </c>
      <c r="L282" s="76">
        <f t="shared" si="118"/>
        <v>118.75</v>
      </c>
      <c r="M282" s="117">
        <f>+SUM(K282:L282)</f>
        <v>130.53392388552783</v>
      </c>
      <c r="N282" s="8">
        <f>+G282+H282+J282</f>
        <v>257.86759372064819</v>
      </c>
      <c r="O282" s="75">
        <f>G282+H282-L282-I282</f>
        <v>127.33366983512038</v>
      </c>
    </row>
    <row r="283" spans="1:15" x14ac:dyDescent="0.25">
      <c r="A283" s="17" t="s">
        <v>71</v>
      </c>
      <c r="B283" s="72" t="str">
        <f t="shared" si="122"/>
        <v>Q3/2021</v>
      </c>
      <c r="C283" s="73">
        <f>D282+1</f>
        <v>44378</v>
      </c>
      <c r="D283" s="73">
        <f t="shared" si="116"/>
        <v>44469</v>
      </c>
      <c r="E283" s="72">
        <f>D283-C283+1</f>
        <v>92</v>
      </c>
      <c r="F283" s="74">
        <f>VLOOKUP(D283,'FERC Interest Rate'!$A:$B,2,TRUE)</f>
        <v>5.2520850000000001E-2</v>
      </c>
      <c r="G283" s="75">
        <f>O282</f>
        <v>127.33366983512038</v>
      </c>
      <c r="H283" s="75">
        <v>0</v>
      </c>
      <c r="I283" s="99">
        <f t="shared" si="119"/>
        <v>8.5836698351204355</v>
      </c>
      <c r="J283" s="76">
        <f>G283*F283*(E283/(DATE(YEAR(D283),12,31)-DATE(YEAR(D283),1,1)+1))</f>
        <v>1.6856599362989293</v>
      </c>
      <c r="K283" s="116">
        <f>+SUM(I283:J283)</f>
        <v>10.269329771419365</v>
      </c>
      <c r="L283" s="76">
        <f t="shared" si="118"/>
        <v>118.75</v>
      </c>
      <c r="M283" s="117">
        <f>+SUM(K283:L283)</f>
        <v>129.01932977141936</v>
      </c>
      <c r="N283" s="8">
        <f>+G283+H283+J283</f>
        <v>129.01932977141931</v>
      </c>
      <c r="O283" s="75">
        <f>G283+H283-L283-I283</f>
        <v>-6.0396132539608516E-14</v>
      </c>
    </row>
    <row r="284" spans="1:15" x14ac:dyDescent="0.25">
      <c r="A284" s="78"/>
      <c r="B284" s="72"/>
      <c r="C284" s="73"/>
      <c r="D284" s="73"/>
      <c r="E284" s="72"/>
      <c r="F284" s="74"/>
      <c r="G284" s="75"/>
      <c r="H284" s="75"/>
      <c r="I284" s="99"/>
      <c r="J284" s="76"/>
      <c r="K284" s="116"/>
      <c r="L284" s="76"/>
      <c r="M284" s="117"/>
      <c r="N284" s="8"/>
      <c r="O284" s="75"/>
    </row>
    <row r="285" spans="1:15" ht="13.5" thickBot="1" x14ac:dyDescent="0.35">
      <c r="A285" s="142"/>
      <c r="B285" s="143"/>
      <c r="C285" s="144"/>
      <c r="D285" s="144"/>
      <c r="E285" s="145"/>
      <c r="F285" s="143"/>
      <c r="G285" s="127">
        <f t="shared" ref="G285:O285" si="123">+SUM(G256:G284)</f>
        <v>46184.970315523678</v>
      </c>
      <c r="H285" s="127">
        <f t="shared" si="123"/>
        <v>171.6733967024087</v>
      </c>
      <c r="I285" s="128">
        <f t="shared" si="123"/>
        <v>171.67339670240872</v>
      </c>
      <c r="J285" s="127">
        <f t="shared" si="123"/>
        <v>272.20625191521685</v>
      </c>
      <c r="K285" s="127">
        <f t="shared" si="123"/>
        <v>443.87964861762555</v>
      </c>
      <c r="L285" s="127">
        <f t="shared" si="123"/>
        <v>2375</v>
      </c>
      <c r="M285" s="129">
        <f t="shared" si="123"/>
        <v>2818.8796486176257</v>
      </c>
      <c r="N285" s="127">
        <f t="shared" si="123"/>
        <v>46628.849964141293</v>
      </c>
      <c r="O285" s="127">
        <f t="shared" si="123"/>
        <v>43809.970315523678</v>
      </c>
    </row>
    <row r="286" spans="1:15" ht="13" thickTop="1" x14ac:dyDescent="0.25">
      <c r="B286" s="103"/>
      <c r="C286" s="103"/>
      <c r="D286" s="103"/>
      <c r="E286" s="103"/>
      <c r="F286" s="103"/>
      <c r="G286" s="103"/>
      <c r="H286" s="103"/>
      <c r="I286" s="102"/>
      <c r="J286" s="103"/>
      <c r="K286" s="103"/>
      <c r="L286" s="103"/>
      <c r="M286" s="118"/>
      <c r="O286" s="103"/>
    </row>
    <row r="287" spans="1:15" ht="52" x14ac:dyDescent="0.3">
      <c r="A287" s="77" t="s">
        <v>51</v>
      </c>
      <c r="B287" s="77" t="s">
        <v>3</v>
      </c>
      <c r="C287" s="77" t="s">
        <v>4</v>
      </c>
      <c r="D287" s="77" t="s">
        <v>5</v>
      </c>
      <c r="E287" s="77" t="s">
        <v>6</v>
      </c>
      <c r="F287" s="77" t="s">
        <v>7</v>
      </c>
      <c r="G287" s="77" t="s">
        <v>92</v>
      </c>
      <c r="H287" s="77" t="s">
        <v>93</v>
      </c>
      <c r="I287" s="94" t="s">
        <v>94</v>
      </c>
      <c r="J287" s="95" t="s">
        <v>95</v>
      </c>
      <c r="K287" s="95" t="s">
        <v>96</v>
      </c>
      <c r="L287" s="95" t="s">
        <v>97</v>
      </c>
      <c r="M287" s="96" t="s">
        <v>98</v>
      </c>
      <c r="N287" s="77" t="s">
        <v>99</v>
      </c>
      <c r="O287" s="77" t="s">
        <v>100</v>
      </c>
    </row>
    <row r="288" spans="1:15" ht="13" x14ac:dyDescent="0.3">
      <c r="A288" s="347" t="s">
        <v>14</v>
      </c>
      <c r="B288" s="347"/>
      <c r="C288" s="73">
        <f>VLOOKUP(B289,A$1:F$29,2,FALSE)</f>
        <v>42004</v>
      </c>
      <c r="D288" s="73">
        <f>DATE(YEAR(C288),IF(MONTH(C288)&lt;=3,3,IF(MONTH(C288)&lt;=6,6,IF(MONTH(C288)&lt;=9,9,12))),IF(OR(MONTH(C288)&lt;=3,MONTH(C288)&gt;=10),31,30))</f>
        <v>42004</v>
      </c>
      <c r="E288" s="72">
        <f>D288-C288+1</f>
        <v>1</v>
      </c>
      <c r="F288" s="74">
        <f>VLOOKUP(D288,'FERC Interest Rate'!$A:$B,2,TRUE)</f>
        <v>3.2500000000000001E-2</v>
      </c>
      <c r="G288" s="75">
        <f>VLOOKUP(B289,$A$1:$F$29,5,FALSE)</f>
        <v>2507.5</v>
      </c>
      <c r="H288" s="75">
        <f t="shared" ref="H288:H296" si="124">G288*F288*(E288/(DATE(YEAR(D288),12,31)-DATE(YEAR(D288),1,1)+1))</f>
        <v>0.22327054794520548</v>
      </c>
      <c r="I288" s="180">
        <v>0</v>
      </c>
      <c r="J288" s="76">
        <v>0</v>
      </c>
      <c r="K288" s="116">
        <f t="shared" ref="K288:K296" si="125">+SUM(I288:J288)</f>
        <v>0</v>
      </c>
      <c r="L288" s="76">
        <v>0</v>
      </c>
      <c r="M288" s="117">
        <f t="shared" ref="M288:M309" si="126">+SUM(K288:L288)</f>
        <v>0</v>
      </c>
      <c r="N288" s="8">
        <f t="shared" ref="N288:N309" si="127">+G288+H288+J288</f>
        <v>2507.723270547945</v>
      </c>
      <c r="O288" s="75">
        <f t="shared" ref="O288:O309" si="128">G288+H288-L288-I288</f>
        <v>2507.723270547945</v>
      </c>
    </row>
    <row r="289" spans="1:15" ht="13" x14ac:dyDescent="0.3">
      <c r="A289" s="110" t="s">
        <v>40</v>
      </c>
      <c r="B289" s="141" t="s">
        <v>59</v>
      </c>
      <c r="C289" s="73">
        <f>D288+1</f>
        <v>42005</v>
      </c>
      <c r="D289" s="73">
        <f>EOMONTH(D288,3)</f>
        <v>42094</v>
      </c>
      <c r="E289" s="72">
        <f t="shared" ref="E289:E309" si="129">D289-C289+1</f>
        <v>90</v>
      </c>
      <c r="F289" s="74">
        <f>VLOOKUP(D289,'FERC Interest Rate'!$A:$B,2,TRUE)</f>
        <v>3.2500000000000001E-2</v>
      </c>
      <c r="G289" s="75">
        <f t="shared" ref="G289:G309" si="130">O288</f>
        <v>2507.723270547945</v>
      </c>
      <c r="H289" s="75">
        <f t="shared" si="124"/>
        <v>20.096138537952708</v>
      </c>
      <c r="I289" s="180">
        <v>0</v>
      </c>
      <c r="J289" s="76">
        <v>0</v>
      </c>
      <c r="K289" s="116">
        <f t="shared" si="125"/>
        <v>0</v>
      </c>
      <c r="L289" s="76">
        <v>0</v>
      </c>
      <c r="M289" s="117">
        <f t="shared" si="126"/>
        <v>0</v>
      </c>
      <c r="N289" s="8">
        <f t="shared" si="127"/>
        <v>2527.8194090858979</v>
      </c>
      <c r="O289" s="75">
        <f t="shared" si="128"/>
        <v>2527.8194090858979</v>
      </c>
    </row>
    <row r="290" spans="1:15" x14ac:dyDescent="0.25">
      <c r="A290" s="78"/>
      <c r="B290" s="72"/>
      <c r="C290" s="73">
        <f t="shared" ref="C290:C309" si="131">D289+1</f>
        <v>42095</v>
      </c>
      <c r="D290" s="73">
        <f t="shared" ref="D290:D315" si="132">EOMONTH(D289,3)</f>
        <v>42185</v>
      </c>
      <c r="E290" s="72">
        <f t="shared" si="129"/>
        <v>91</v>
      </c>
      <c r="F290" s="74">
        <f>VLOOKUP(D290,'FERC Interest Rate'!$A:$B,2,TRUE)</f>
        <v>3.2500000000000001E-2</v>
      </c>
      <c r="G290" s="75">
        <f t="shared" si="130"/>
        <v>2527.8194090858979</v>
      </c>
      <c r="H290" s="75">
        <f t="shared" si="124"/>
        <v>20.482262746223405</v>
      </c>
      <c r="I290" s="180">
        <v>0</v>
      </c>
      <c r="J290" s="76">
        <v>0</v>
      </c>
      <c r="K290" s="116">
        <f t="shared" si="125"/>
        <v>0</v>
      </c>
      <c r="L290" s="76">
        <v>0</v>
      </c>
      <c r="M290" s="117">
        <f t="shared" si="126"/>
        <v>0</v>
      </c>
      <c r="N290" s="8">
        <f t="shared" si="127"/>
        <v>2548.3016718321214</v>
      </c>
      <c r="O290" s="75">
        <f t="shared" si="128"/>
        <v>2548.3016718321214</v>
      </c>
    </row>
    <row r="291" spans="1:15" x14ac:dyDescent="0.25">
      <c r="A291" s="78"/>
      <c r="B291" s="72"/>
      <c r="C291" s="73">
        <f t="shared" si="131"/>
        <v>42186</v>
      </c>
      <c r="D291" s="73">
        <f t="shared" si="132"/>
        <v>42277</v>
      </c>
      <c r="E291" s="72">
        <f t="shared" si="129"/>
        <v>92</v>
      </c>
      <c r="F291" s="74">
        <f>VLOOKUP(D291,'FERC Interest Rate'!$A:$B,2,TRUE)</f>
        <v>3.2500000000000001E-2</v>
      </c>
      <c r="G291" s="75">
        <f t="shared" si="130"/>
        <v>2548.3016718321214</v>
      </c>
      <c r="H291" s="75">
        <f t="shared" si="124"/>
        <v>20.875128763775461</v>
      </c>
      <c r="I291" s="180">
        <v>0</v>
      </c>
      <c r="J291" s="76">
        <v>0</v>
      </c>
      <c r="K291" s="116">
        <f t="shared" si="125"/>
        <v>0</v>
      </c>
      <c r="L291" s="76">
        <v>0</v>
      </c>
      <c r="M291" s="117">
        <f t="shared" si="126"/>
        <v>0</v>
      </c>
      <c r="N291" s="8">
        <f t="shared" si="127"/>
        <v>2569.176800595897</v>
      </c>
      <c r="O291" s="75">
        <f t="shared" si="128"/>
        <v>2569.176800595897</v>
      </c>
    </row>
    <row r="292" spans="1:15" x14ac:dyDescent="0.25">
      <c r="A292" s="78"/>
      <c r="B292" s="72"/>
      <c r="C292" s="73">
        <f t="shared" si="131"/>
        <v>42278</v>
      </c>
      <c r="D292" s="73">
        <f t="shared" si="132"/>
        <v>42369</v>
      </c>
      <c r="E292" s="72">
        <f t="shared" si="129"/>
        <v>92</v>
      </c>
      <c r="F292" s="74">
        <f>VLOOKUP(D292,'FERC Interest Rate'!$A:$B,2,TRUE)</f>
        <v>3.2500000000000001E-2</v>
      </c>
      <c r="G292" s="75">
        <f t="shared" si="130"/>
        <v>2569.176800595897</v>
      </c>
      <c r="H292" s="75">
        <f t="shared" si="124"/>
        <v>21.046133243237627</v>
      </c>
      <c r="I292" s="180">
        <v>0</v>
      </c>
      <c r="J292" s="76">
        <v>0</v>
      </c>
      <c r="K292" s="116">
        <f t="shared" si="125"/>
        <v>0</v>
      </c>
      <c r="L292" s="76">
        <v>0</v>
      </c>
      <c r="M292" s="117">
        <f t="shared" si="126"/>
        <v>0</v>
      </c>
      <c r="N292" s="8">
        <f t="shared" si="127"/>
        <v>2590.2229338391348</v>
      </c>
      <c r="O292" s="75">
        <f t="shared" si="128"/>
        <v>2590.2229338391348</v>
      </c>
    </row>
    <row r="293" spans="1:15" x14ac:dyDescent="0.25">
      <c r="A293" s="78"/>
      <c r="B293" s="72"/>
      <c r="C293" s="73">
        <f t="shared" si="131"/>
        <v>42370</v>
      </c>
      <c r="D293" s="73">
        <f t="shared" si="132"/>
        <v>42460</v>
      </c>
      <c r="E293" s="72">
        <f t="shared" si="129"/>
        <v>91</v>
      </c>
      <c r="F293" s="74">
        <f>VLOOKUP(D293,'FERC Interest Rate'!$A:$B,2,TRUE)</f>
        <v>3.2500000000000001E-2</v>
      </c>
      <c r="G293" s="75">
        <f t="shared" si="130"/>
        <v>2590.2229338391348</v>
      </c>
      <c r="H293" s="75">
        <f t="shared" si="124"/>
        <v>20.930558270025251</v>
      </c>
      <c r="I293" s="180">
        <v>0</v>
      </c>
      <c r="J293" s="76">
        <v>0</v>
      </c>
      <c r="K293" s="116">
        <f>+SUM(I293:J293)</f>
        <v>0</v>
      </c>
      <c r="L293" s="76">
        <v>0</v>
      </c>
      <c r="M293" s="117">
        <f t="shared" si="126"/>
        <v>0</v>
      </c>
      <c r="N293" s="8">
        <f t="shared" si="127"/>
        <v>2611.1534921091602</v>
      </c>
      <c r="O293" s="75">
        <f t="shared" si="128"/>
        <v>2611.1534921091602</v>
      </c>
    </row>
    <row r="294" spans="1:15" x14ac:dyDescent="0.25">
      <c r="A294" s="78"/>
      <c r="B294" s="72"/>
      <c r="C294" s="73">
        <f t="shared" si="131"/>
        <v>42461</v>
      </c>
      <c r="D294" s="73">
        <f t="shared" si="132"/>
        <v>42551</v>
      </c>
      <c r="E294" s="72">
        <f t="shared" si="129"/>
        <v>91</v>
      </c>
      <c r="F294" s="74">
        <f>VLOOKUP(D294,'FERC Interest Rate'!$A:$B,2,TRUE)</f>
        <v>3.4599999999999999E-2</v>
      </c>
      <c r="G294" s="75">
        <f t="shared" si="130"/>
        <v>2611.1534921091602</v>
      </c>
      <c r="H294" s="75">
        <f t="shared" si="124"/>
        <v>22.463054331297542</v>
      </c>
      <c r="I294" s="180">
        <v>0</v>
      </c>
      <c r="J294" s="76">
        <v>0</v>
      </c>
      <c r="K294" s="116">
        <f>+SUM(I294:J294)</f>
        <v>0</v>
      </c>
      <c r="L294" s="76">
        <v>0</v>
      </c>
      <c r="M294" s="117">
        <f t="shared" si="126"/>
        <v>0</v>
      </c>
      <c r="N294" s="8">
        <f t="shared" si="127"/>
        <v>2633.6165464404576</v>
      </c>
      <c r="O294" s="75">
        <f t="shared" si="128"/>
        <v>2633.6165464404576</v>
      </c>
    </row>
    <row r="295" spans="1:15" x14ac:dyDescent="0.25">
      <c r="A295" s="78"/>
      <c r="B295" s="72"/>
      <c r="C295" s="73">
        <f t="shared" si="131"/>
        <v>42552</v>
      </c>
      <c r="D295" s="73">
        <f t="shared" si="132"/>
        <v>42643</v>
      </c>
      <c r="E295" s="72">
        <f t="shared" si="129"/>
        <v>92</v>
      </c>
      <c r="F295" s="74">
        <f>VLOOKUP(D295,'FERC Interest Rate'!$A:$B,2,TRUE)</f>
        <v>3.5000000000000003E-2</v>
      </c>
      <c r="G295" s="75">
        <f t="shared" si="130"/>
        <v>2633.6165464404576</v>
      </c>
      <c r="H295" s="75">
        <f t="shared" si="124"/>
        <v>23.170069069776705</v>
      </c>
      <c r="I295" s="180">
        <v>0</v>
      </c>
      <c r="J295" s="76">
        <v>0</v>
      </c>
      <c r="K295" s="116">
        <f>+SUM(I295:J295)</f>
        <v>0</v>
      </c>
      <c r="L295" s="76">
        <v>0</v>
      </c>
      <c r="M295" s="117">
        <f t="shared" si="126"/>
        <v>0</v>
      </c>
      <c r="N295" s="8">
        <f t="shared" si="127"/>
        <v>2656.7866155102342</v>
      </c>
      <c r="O295" s="75">
        <f t="shared" si="128"/>
        <v>2656.7866155102342</v>
      </c>
    </row>
    <row r="296" spans="1:15" x14ac:dyDescent="0.25">
      <c r="A296" s="17" t="s">
        <v>52</v>
      </c>
      <c r="B296" s="72" t="str">
        <f t="shared" ref="B296:B306" si="133">+IF(MONTH(C296)&lt;4,"Q1",IF(MONTH(C296)&lt;7,"Q2",IF(MONTH(C296)&lt;10,"Q3","Q4")))&amp;"/"&amp;YEAR(C296)</f>
        <v>Q4/2016</v>
      </c>
      <c r="C296" s="73">
        <f t="shared" si="131"/>
        <v>42644</v>
      </c>
      <c r="D296" s="73">
        <f t="shared" si="132"/>
        <v>42735</v>
      </c>
      <c r="E296" s="72">
        <f t="shared" si="129"/>
        <v>92</v>
      </c>
      <c r="F296" s="74">
        <f>VLOOKUP(D296,'FERC Interest Rate'!$A:$B,2,TRUE)</f>
        <v>3.5000000000000003E-2</v>
      </c>
      <c r="G296" s="75">
        <f t="shared" si="130"/>
        <v>2656.7866155102342</v>
      </c>
      <c r="H296" s="75">
        <f t="shared" si="124"/>
        <v>23.373915032631025</v>
      </c>
      <c r="I296" s="99">
        <f>SUM($H$288:$H$316)/20</f>
        <v>8.6330265271432474</v>
      </c>
      <c r="J296" s="76">
        <v>0</v>
      </c>
      <c r="K296" s="116">
        <f t="shared" si="125"/>
        <v>8.6330265271432474</v>
      </c>
      <c r="L296" s="76">
        <f t="shared" ref="L296:L315" si="134">VLOOKUP($B$289,A$1:F$25,5,FALSE)/20</f>
        <v>125.375</v>
      </c>
      <c r="M296" s="117">
        <f t="shared" si="126"/>
        <v>134.00802652714324</v>
      </c>
      <c r="N296" s="8">
        <f t="shared" si="127"/>
        <v>2680.1605305428652</v>
      </c>
      <c r="O296" s="75">
        <f t="shared" si="128"/>
        <v>2546.1525040157221</v>
      </c>
    </row>
    <row r="297" spans="1:15" x14ac:dyDescent="0.25">
      <c r="A297" s="17" t="s">
        <v>53</v>
      </c>
      <c r="B297" s="72" t="str">
        <f t="shared" si="133"/>
        <v>Q1/2017</v>
      </c>
      <c r="C297" s="73">
        <f t="shared" si="131"/>
        <v>42736</v>
      </c>
      <c r="D297" s="73">
        <f t="shared" si="132"/>
        <v>42825</v>
      </c>
      <c r="E297" s="72">
        <f t="shared" si="129"/>
        <v>90</v>
      </c>
      <c r="F297" s="74">
        <f>VLOOKUP(D297,'FERC Interest Rate'!$A:$B,2,TRUE)</f>
        <v>3.5000000000000003E-2</v>
      </c>
      <c r="G297" s="75">
        <f t="shared" si="130"/>
        <v>2546.1525040157221</v>
      </c>
      <c r="H297" s="75">
        <v>0</v>
      </c>
      <c r="I297" s="99">
        <f t="shared" ref="I297:I315" si="135">SUM($H$288:$H$316)/20</f>
        <v>8.6330265271432474</v>
      </c>
      <c r="J297" s="76">
        <f t="shared" ref="J297:J309" si="136">G297*F297*(E297/(DATE(YEAR(D297),12,31)-DATE(YEAR(D297),1,1)+1))</f>
        <v>21.973644897669931</v>
      </c>
      <c r="K297" s="116">
        <f t="shared" ref="K297:K309" si="137">+SUM(I297:J297)</f>
        <v>30.606671424813179</v>
      </c>
      <c r="L297" s="76">
        <f t="shared" si="134"/>
        <v>125.375</v>
      </c>
      <c r="M297" s="117">
        <f t="shared" si="126"/>
        <v>155.98167142481319</v>
      </c>
      <c r="N297" s="8">
        <f t="shared" si="127"/>
        <v>2568.1261489133922</v>
      </c>
      <c r="O297" s="75">
        <f t="shared" si="128"/>
        <v>2412.144477488579</v>
      </c>
    </row>
    <row r="298" spans="1:15" x14ac:dyDescent="0.25">
      <c r="A298" s="17" t="s">
        <v>54</v>
      </c>
      <c r="B298" s="72" t="str">
        <f t="shared" si="133"/>
        <v>Q2/2017</v>
      </c>
      <c r="C298" s="73">
        <f t="shared" si="131"/>
        <v>42826</v>
      </c>
      <c r="D298" s="73">
        <f t="shared" si="132"/>
        <v>42916</v>
      </c>
      <c r="E298" s="72">
        <f t="shared" si="129"/>
        <v>91</v>
      </c>
      <c r="F298" s="74">
        <f>VLOOKUP(D298,'FERC Interest Rate'!$A:$B,2,TRUE)</f>
        <v>3.7100000000000001E-2</v>
      </c>
      <c r="G298" s="75">
        <f t="shared" si="130"/>
        <v>2412.144477488579</v>
      </c>
      <c r="H298" s="75">
        <v>0</v>
      </c>
      <c r="I298" s="99">
        <f t="shared" si="135"/>
        <v>8.6330265271432474</v>
      </c>
      <c r="J298" s="76">
        <f t="shared" si="136"/>
        <v>22.311345124518333</v>
      </c>
      <c r="K298" s="116">
        <f t="shared" si="137"/>
        <v>30.94437165166158</v>
      </c>
      <c r="L298" s="76">
        <f t="shared" si="134"/>
        <v>125.375</v>
      </c>
      <c r="M298" s="117">
        <f t="shared" si="126"/>
        <v>156.31937165166158</v>
      </c>
      <c r="N298" s="8">
        <f t="shared" si="127"/>
        <v>2434.4558226130976</v>
      </c>
      <c r="O298" s="75">
        <f t="shared" si="128"/>
        <v>2278.1364509614359</v>
      </c>
    </row>
    <row r="299" spans="1:15" x14ac:dyDescent="0.25">
      <c r="A299" s="17" t="s">
        <v>55</v>
      </c>
      <c r="B299" s="72" t="str">
        <f t="shared" si="133"/>
        <v>Q3/2017</v>
      </c>
      <c r="C299" s="73">
        <f t="shared" si="131"/>
        <v>42917</v>
      </c>
      <c r="D299" s="73">
        <f t="shared" si="132"/>
        <v>43008</v>
      </c>
      <c r="E299" s="72">
        <f t="shared" si="129"/>
        <v>92</v>
      </c>
      <c r="F299" s="74">
        <f>VLOOKUP(D299,'FERC Interest Rate'!$A:$B,2,TRUE)</f>
        <v>3.9600000000000003E-2</v>
      </c>
      <c r="G299" s="75">
        <f t="shared" si="130"/>
        <v>2278.1364509614359</v>
      </c>
      <c r="H299" s="75">
        <v>0</v>
      </c>
      <c r="I299" s="99">
        <f t="shared" si="135"/>
        <v>8.6330265271432474</v>
      </c>
      <c r="J299" s="76">
        <f t="shared" si="136"/>
        <v>22.738922515459464</v>
      </c>
      <c r="K299" s="116">
        <f t="shared" si="137"/>
        <v>31.371949042602711</v>
      </c>
      <c r="L299" s="76">
        <f t="shared" si="134"/>
        <v>125.375</v>
      </c>
      <c r="M299" s="117">
        <f t="shared" si="126"/>
        <v>156.74694904260272</v>
      </c>
      <c r="N299" s="8">
        <f t="shared" si="127"/>
        <v>2300.8753734768952</v>
      </c>
      <c r="O299" s="75">
        <f t="shared" si="128"/>
        <v>2144.1284244342928</v>
      </c>
    </row>
    <row r="300" spans="1:15" x14ac:dyDescent="0.25">
      <c r="A300" s="17" t="s">
        <v>56</v>
      </c>
      <c r="B300" s="72" t="str">
        <f t="shared" si="133"/>
        <v>Q4/2017</v>
      </c>
      <c r="C300" s="73">
        <f t="shared" si="131"/>
        <v>43009</v>
      </c>
      <c r="D300" s="73">
        <f t="shared" si="132"/>
        <v>43100</v>
      </c>
      <c r="E300" s="72">
        <f t="shared" si="129"/>
        <v>92</v>
      </c>
      <c r="F300" s="74">
        <f>VLOOKUP(D300,'FERC Interest Rate'!$A:$B,2,TRUE)</f>
        <v>4.2099999999999999E-2</v>
      </c>
      <c r="G300" s="75">
        <f t="shared" si="130"/>
        <v>2144.1284244342928</v>
      </c>
      <c r="H300" s="75">
        <v>0</v>
      </c>
      <c r="I300" s="99">
        <f t="shared" si="135"/>
        <v>8.6330265271432474</v>
      </c>
      <c r="J300" s="76">
        <f t="shared" si="136"/>
        <v>22.752433461695624</v>
      </c>
      <c r="K300" s="116">
        <f t="shared" si="137"/>
        <v>31.385459988838871</v>
      </c>
      <c r="L300" s="76">
        <f t="shared" si="134"/>
        <v>125.375</v>
      </c>
      <c r="M300" s="117">
        <f t="shared" si="126"/>
        <v>156.76045998883887</v>
      </c>
      <c r="N300" s="8">
        <f t="shared" si="127"/>
        <v>2166.8808578959884</v>
      </c>
      <c r="O300" s="75">
        <f t="shared" si="128"/>
        <v>2010.1203979071495</v>
      </c>
    </row>
    <row r="301" spans="1:15" x14ac:dyDescent="0.25">
      <c r="A301" s="17" t="s">
        <v>57</v>
      </c>
      <c r="B301" s="72" t="str">
        <f t="shared" si="133"/>
        <v>Q1/2018</v>
      </c>
      <c r="C301" s="73">
        <f t="shared" si="131"/>
        <v>43101</v>
      </c>
      <c r="D301" s="73">
        <f t="shared" si="132"/>
        <v>43190</v>
      </c>
      <c r="E301" s="72">
        <f t="shared" si="129"/>
        <v>90</v>
      </c>
      <c r="F301" s="74">
        <f>VLOOKUP(D301,'FERC Interest Rate'!$A:$B,2,TRUE)</f>
        <v>4.2500000000000003E-2</v>
      </c>
      <c r="G301" s="75">
        <f t="shared" si="130"/>
        <v>2010.1203979071495</v>
      </c>
      <c r="H301" s="75">
        <v>0</v>
      </c>
      <c r="I301" s="99">
        <f t="shared" si="135"/>
        <v>8.6330265271432474</v>
      </c>
      <c r="J301" s="76">
        <f t="shared" si="136"/>
        <v>21.064960334232456</v>
      </c>
      <c r="K301" s="116">
        <f t="shared" si="137"/>
        <v>29.697986861375703</v>
      </c>
      <c r="L301" s="76">
        <f t="shared" si="134"/>
        <v>125.375</v>
      </c>
      <c r="M301" s="117">
        <f t="shared" si="126"/>
        <v>155.07298686137571</v>
      </c>
      <c r="N301" s="8">
        <f t="shared" si="127"/>
        <v>2031.1853582413819</v>
      </c>
      <c r="O301" s="75">
        <f t="shared" si="128"/>
        <v>1876.1123713800062</v>
      </c>
    </row>
    <row r="302" spans="1:15" x14ac:dyDescent="0.25">
      <c r="A302" s="17" t="s">
        <v>58</v>
      </c>
      <c r="B302" s="72" t="str">
        <f t="shared" si="133"/>
        <v>Q2/2018</v>
      </c>
      <c r="C302" s="73">
        <f t="shared" si="131"/>
        <v>43191</v>
      </c>
      <c r="D302" s="73">
        <f t="shared" si="132"/>
        <v>43281</v>
      </c>
      <c r="E302" s="72">
        <f t="shared" si="129"/>
        <v>91</v>
      </c>
      <c r="F302" s="74">
        <f>VLOOKUP(D302,'FERC Interest Rate'!$A:$B,2,TRUE)</f>
        <v>4.4699999999999997E-2</v>
      </c>
      <c r="G302" s="75">
        <f t="shared" si="130"/>
        <v>1876.1123713800062</v>
      </c>
      <c r="H302" s="75">
        <v>0</v>
      </c>
      <c r="I302" s="99">
        <f t="shared" si="135"/>
        <v>8.6330265271432474</v>
      </c>
      <c r="J302" s="76">
        <f t="shared" si="136"/>
        <v>20.908115871403975</v>
      </c>
      <c r="K302" s="116">
        <f t="shared" si="137"/>
        <v>29.541142398547223</v>
      </c>
      <c r="L302" s="76">
        <f t="shared" si="134"/>
        <v>125.375</v>
      </c>
      <c r="M302" s="117">
        <f t="shared" si="126"/>
        <v>154.91614239854721</v>
      </c>
      <c r="N302" s="8">
        <f t="shared" si="127"/>
        <v>1897.02048725141</v>
      </c>
      <c r="O302" s="75">
        <f t="shared" si="128"/>
        <v>1742.1043448528628</v>
      </c>
    </row>
    <row r="303" spans="1:15" x14ac:dyDescent="0.25">
      <c r="A303" s="17" t="s">
        <v>59</v>
      </c>
      <c r="B303" s="72" t="str">
        <f t="shared" si="133"/>
        <v>Q3/2018</v>
      </c>
      <c r="C303" s="73">
        <f t="shared" si="131"/>
        <v>43282</v>
      </c>
      <c r="D303" s="73">
        <f t="shared" si="132"/>
        <v>43373</v>
      </c>
      <c r="E303" s="72">
        <f t="shared" si="129"/>
        <v>92</v>
      </c>
      <c r="F303" s="74">
        <f>VLOOKUP(D303,'FERC Interest Rate'!$A:$B,2,TRUE)</f>
        <v>4.6899999999999997E-2</v>
      </c>
      <c r="G303" s="75">
        <f t="shared" si="130"/>
        <v>1742.1043448528628</v>
      </c>
      <c r="H303" s="75">
        <v>0</v>
      </c>
      <c r="I303" s="99">
        <f t="shared" si="135"/>
        <v>8.6330265271432474</v>
      </c>
      <c r="J303" s="76">
        <f t="shared" si="136"/>
        <v>20.594059800468855</v>
      </c>
      <c r="K303" s="116">
        <f t="shared" si="137"/>
        <v>29.227086327612103</v>
      </c>
      <c r="L303" s="76">
        <f t="shared" si="134"/>
        <v>125.375</v>
      </c>
      <c r="M303" s="117">
        <f t="shared" si="126"/>
        <v>154.60208632761211</v>
      </c>
      <c r="N303" s="8">
        <f t="shared" si="127"/>
        <v>1762.6984046533316</v>
      </c>
      <c r="O303" s="75">
        <f t="shared" si="128"/>
        <v>1608.0963183257195</v>
      </c>
    </row>
    <row r="304" spans="1:15" x14ac:dyDescent="0.25">
      <c r="A304" s="17" t="s">
        <v>60</v>
      </c>
      <c r="B304" s="72" t="str">
        <f t="shared" si="133"/>
        <v>Q4/2018</v>
      </c>
      <c r="C304" s="73">
        <f t="shared" si="131"/>
        <v>43374</v>
      </c>
      <c r="D304" s="73">
        <f t="shared" si="132"/>
        <v>43465</v>
      </c>
      <c r="E304" s="72">
        <f t="shared" si="129"/>
        <v>92</v>
      </c>
      <c r="F304" s="74">
        <f>VLOOKUP(D304,'FERC Interest Rate'!$A:$B,2,TRUE)</f>
        <v>4.9599999999999998E-2</v>
      </c>
      <c r="G304" s="75">
        <f t="shared" si="130"/>
        <v>1608.0963183257195</v>
      </c>
      <c r="H304" s="75">
        <v>0</v>
      </c>
      <c r="I304" s="99">
        <f t="shared" si="135"/>
        <v>8.6330265271432474</v>
      </c>
      <c r="J304" s="76">
        <f t="shared" si="136"/>
        <v>20.104287999408012</v>
      </c>
      <c r="K304" s="116">
        <f t="shared" si="137"/>
        <v>28.737314526551259</v>
      </c>
      <c r="L304" s="76">
        <f t="shared" si="134"/>
        <v>125.375</v>
      </c>
      <c r="M304" s="117">
        <f t="shared" si="126"/>
        <v>154.11231452655124</v>
      </c>
      <c r="N304" s="8">
        <f t="shared" si="127"/>
        <v>1628.2006063251274</v>
      </c>
      <c r="O304" s="75">
        <f t="shared" si="128"/>
        <v>1474.0882917985762</v>
      </c>
    </row>
    <row r="305" spans="1:15" x14ac:dyDescent="0.25">
      <c r="A305" s="17" t="s">
        <v>61</v>
      </c>
      <c r="B305" s="72" t="str">
        <f t="shared" si="133"/>
        <v>Q1/2019</v>
      </c>
      <c r="C305" s="73">
        <f t="shared" si="131"/>
        <v>43466</v>
      </c>
      <c r="D305" s="73">
        <f t="shared" si="132"/>
        <v>43555</v>
      </c>
      <c r="E305" s="72">
        <f t="shared" si="129"/>
        <v>90</v>
      </c>
      <c r="F305" s="74">
        <f>VLOOKUP(D305,'FERC Interest Rate'!$A:$B,2,TRUE)</f>
        <v>5.1799999999999999E-2</v>
      </c>
      <c r="G305" s="75">
        <f t="shared" si="130"/>
        <v>1474.0882917985762</v>
      </c>
      <c r="H305" s="75">
        <v>0</v>
      </c>
      <c r="I305" s="99">
        <f t="shared" si="135"/>
        <v>8.6330265271432474</v>
      </c>
      <c r="J305" s="76">
        <f t="shared" si="136"/>
        <v>18.827944154424554</v>
      </c>
      <c r="K305" s="116">
        <f t="shared" si="137"/>
        <v>27.460970681567801</v>
      </c>
      <c r="L305" s="76">
        <f t="shared" si="134"/>
        <v>125.375</v>
      </c>
      <c r="M305" s="117">
        <f t="shared" si="126"/>
        <v>152.8359706815678</v>
      </c>
      <c r="N305" s="8">
        <f t="shared" si="127"/>
        <v>1492.9162359530008</v>
      </c>
      <c r="O305" s="75">
        <f t="shared" si="128"/>
        <v>1340.0802652714328</v>
      </c>
    </row>
    <row r="306" spans="1:15" x14ac:dyDescent="0.25">
      <c r="A306" s="17" t="s">
        <v>62</v>
      </c>
      <c r="B306" s="72" t="str">
        <f t="shared" si="133"/>
        <v>Q2/2019</v>
      </c>
      <c r="C306" s="73">
        <f t="shared" si="131"/>
        <v>43556</v>
      </c>
      <c r="D306" s="73">
        <f t="shared" si="132"/>
        <v>43646</v>
      </c>
      <c r="E306" s="72">
        <f t="shared" si="129"/>
        <v>91</v>
      </c>
      <c r="F306" s="74">
        <f>VLOOKUP(D306,'FERC Interest Rate'!$A:$B,2,TRUE)</f>
        <v>5.45E-2</v>
      </c>
      <c r="G306" s="75">
        <f t="shared" si="130"/>
        <v>1340.0802652714328</v>
      </c>
      <c r="H306" s="75">
        <v>0</v>
      </c>
      <c r="I306" s="99">
        <f t="shared" si="135"/>
        <v>8.6330265271432474</v>
      </c>
      <c r="J306" s="76">
        <f t="shared" si="136"/>
        <v>18.208570070174439</v>
      </c>
      <c r="K306" s="116">
        <f t="shared" si="137"/>
        <v>26.841596597317686</v>
      </c>
      <c r="L306" s="76">
        <f t="shared" si="134"/>
        <v>125.375</v>
      </c>
      <c r="M306" s="117">
        <f t="shared" si="126"/>
        <v>152.21659659731768</v>
      </c>
      <c r="N306" s="8">
        <f t="shared" si="127"/>
        <v>1358.2888353416072</v>
      </c>
      <c r="O306" s="75">
        <f t="shared" si="128"/>
        <v>1206.0722387442895</v>
      </c>
    </row>
    <row r="307" spans="1:15" x14ac:dyDescent="0.25">
      <c r="A307" s="17" t="s">
        <v>63</v>
      </c>
      <c r="B307" s="72" t="str">
        <f>+IF(MONTH(C307)&lt;4,"Q1",IF(MONTH(C307)&lt;7,"Q2",IF(MONTH(C307)&lt;10,"Q3","Q4")))&amp;"/"&amp;YEAR(C307)</f>
        <v>Q3/2019</v>
      </c>
      <c r="C307" s="73">
        <f t="shared" si="131"/>
        <v>43647</v>
      </c>
      <c r="D307" s="73">
        <f t="shared" si="132"/>
        <v>43738</v>
      </c>
      <c r="E307" s="72">
        <f t="shared" si="129"/>
        <v>92</v>
      </c>
      <c r="F307" s="74">
        <f>VLOOKUP(D307,'FERC Interest Rate'!$A:$B,2,TRUE)</f>
        <v>5.5E-2</v>
      </c>
      <c r="G307" s="75">
        <f t="shared" si="130"/>
        <v>1206.0722387442895</v>
      </c>
      <c r="H307" s="75">
        <v>0</v>
      </c>
      <c r="I307" s="99">
        <f t="shared" si="135"/>
        <v>8.6330265271432474</v>
      </c>
      <c r="J307" s="76">
        <f t="shared" si="136"/>
        <v>16.719795967249603</v>
      </c>
      <c r="K307" s="116">
        <f t="shared" si="137"/>
        <v>25.35282249439285</v>
      </c>
      <c r="L307" s="76">
        <f t="shared" si="134"/>
        <v>125.375</v>
      </c>
      <c r="M307" s="117">
        <f t="shared" si="126"/>
        <v>150.72782249439285</v>
      </c>
      <c r="N307" s="8">
        <f t="shared" si="127"/>
        <v>1222.7920347115391</v>
      </c>
      <c r="O307" s="75">
        <f t="shared" si="128"/>
        <v>1072.0642122171462</v>
      </c>
    </row>
    <row r="308" spans="1:15" x14ac:dyDescent="0.25">
      <c r="A308" s="17" t="s">
        <v>64</v>
      </c>
      <c r="B308" s="72" t="str">
        <f>+IF(MONTH(C308)&lt;4,"Q1",IF(MONTH(C308)&lt;7,"Q2",IF(MONTH(C308)&lt;10,"Q3","Q4")))&amp;"/"&amp;YEAR(C308)</f>
        <v>Q4/2019</v>
      </c>
      <c r="C308" s="73">
        <f t="shared" si="131"/>
        <v>43739</v>
      </c>
      <c r="D308" s="73">
        <f t="shared" si="132"/>
        <v>43830</v>
      </c>
      <c r="E308" s="72">
        <f t="shared" si="129"/>
        <v>92</v>
      </c>
      <c r="F308" s="74">
        <f>VLOOKUP(D308,'FERC Interest Rate'!$A:$B,2,TRUE)</f>
        <v>5.4199999999999998E-2</v>
      </c>
      <c r="G308" s="75">
        <f t="shared" si="130"/>
        <v>1072.0642122171462</v>
      </c>
      <c r="H308" s="75">
        <v>0</v>
      </c>
      <c r="I308" s="99">
        <f t="shared" si="135"/>
        <v>8.6330265271432474</v>
      </c>
      <c r="J308" s="76">
        <f t="shared" si="136"/>
        <v>14.645865719998843</v>
      </c>
      <c r="K308" s="116">
        <f t="shared" si="137"/>
        <v>23.278892247142089</v>
      </c>
      <c r="L308" s="76">
        <f t="shared" si="134"/>
        <v>125.375</v>
      </c>
      <c r="M308" s="117">
        <f t="shared" si="126"/>
        <v>148.6538922471421</v>
      </c>
      <c r="N308" s="8">
        <f t="shared" si="127"/>
        <v>1086.7100779371451</v>
      </c>
      <c r="O308" s="75">
        <f t="shared" si="128"/>
        <v>938.05618569000296</v>
      </c>
    </row>
    <row r="309" spans="1:15" x14ac:dyDescent="0.25">
      <c r="A309" s="17" t="s">
        <v>65</v>
      </c>
      <c r="B309" s="72" t="str">
        <f>+IF(MONTH(C309)&lt;4,"Q1",IF(MONTH(C309)&lt;7,"Q2",IF(MONTH(C309)&lt;10,"Q3","Q4")))&amp;"/"&amp;YEAR(C309)</f>
        <v>Q1/2020</v>
      </c>
      <c r="C309" s="73">
        <f t="shared" si="131"/>
        <v>43831</v>
      </c>
      <c r="D309" s="73">
        <f t="shared" si="132"/>
        <v>43921</v>
      </c>
      <c r="E309" s="72">
        <f t="shared" si="129"/>
        <v>91</v>
      </c>
      <c r="F309" s="74">
        <f>VLOOKUP(D309,'FERC Interest Rate'!$A:$B,2,TRUE)</f>
        <v>4.9599999999999998E-2</v>
      </c>
      <c r="G309" s="75">
        <f t="shared" si="130"/>
        <v>938.05618569000296</v>
      </c>
      <c r="H309" s="75">
        <v>0</v>
      </c>
      <c r="I309" s="99">
        <f t="shared" si="135"/>
        <v>8.6330265271432474</v>
      </c>
      <c r="J309" s="76">
        <f t="shared" si="136"/>
        <v>11.568334425492887</v>
      </c>
      <c r="K309" s="116">
        <f t="shared" si="137"/>
        <v>20.201360952636136</v>
      </c>
      <c r="L309" s="76">
        <f t="shared" si="134"/>
        <v>125.375</v>
      </c>
      <c r="M309" s="117">
        <f t="shared" si="126"/>
        <v>145.57636095263615</v>
      </c>
      <c r="N309" s="8">
        <f t="shared" si="127"/>
        <v>949.6245201154959</v>
      </c>
      <c r="O309" s="75">
        <f t="shared" si="128"/>
        <v>804.04815916285975</v>
      </c>
    </row>
    <row r="310" spans="1:15" x14ac:dyDescent="0.25">
      <c r="A310" s="17" t="s">
        <v>66</v>
      </c>
      <c r="B310" s="72" t="str">
        <f t="shared" ref="B310:B315" si="138">+IF(MONTH(C310)&lt;4,"Q1",IF(MONTH(C310)&lt;7,"Q2",IF(MONTH(C310)&lt;10,"Q3","Q4")))&amp;"/"&amp;YEAR(C310)</f>
        <v>Q2/2020</v>
      </c>
      <c r="C310" s="73">
        <f t="shared" ref="C310:C315" si="139">D309+1</f>
        <v>43922</v>
      </c>
      <c r="D310" s="73">
        <f t="shared" si="132"/>
        <v>44012</v>
      </c>
      <c r="E310" s="72">
        <f t="shared" ref="E310:E315" si="140">D310-C310+1</f>
        <v>91</v>
      </c>
      <c r="F310" s="74">
        <f>VLOOKUP(D310,'FERC Interest Rate'!$A:$B,2,TRUE)</f>
        <v>4.7503500000000004E-2</v>
      </c>
      <c r="G310" s="75">
        <f t="shared" ref="G310:G315" si="141">O309</f>
        <v>804.04815916285975</v>
      </c>
      <c r="H310" s="75">
        <v>0</v>
      </c>
      <c r="I310" s="99">
        <f t="shared" si="135"/>
        <v>8.6330265271432474</v>
      </c>
      <c r="J310" s="76">
        <f t="shared" ref="J310:J315" si="142">G310*F310*(E310/(DATE(YEAR(D310),12,31)-DATE(YEAR(D310),1,1)+1))</f>
        <v>9.4965963314758337</v>
      </c>
      <c r="K310" s="116">
        <f t="shared" ref="K310:K315" si="143">+SUM(I310:J310)</f>
        <v>18.129622858619079</v>
      </c>
      <c r="L310" s="76">
        <f t="shared" si="134"/>
        <v>125.375</v>
      </c>
      <c r="M310" s="117">
        <f t="shared" ref="M310:M315" si="144">+SUM(K310:L310)</f>
        <v>143.50462285861909</v>
      </c>
      <c r="N310" s="8">
        <f t="shared" ref="N310:N315" si="145">+G310+H310+J310</f>
        <v>813.54475549433562</v>
      </c>
      <c r="O310" s="75">
        <f t="shared" ref="O310:O315" si="146">G310+H310-L310-I310</f>
        <v>670.04013263571653</v>
      </c>
    </row>
    <row r="311" spans="1:15" x14ac:dyDescent="0.25">
      <c r="A311" s="17" t="s">
        <v>67</v>
      </c>
      <c r="B311" s="72" t="str">
        <f t="shared" si="138"/>
        <v>Q3/2020</v>
      </c>
      <c r="C311" s="73">
        <f t="shared" si="139"/>
        <v>44013</v>
      </c>
      <c r="D311" s="73">
        <f t="shared" si="132"/>
        <v>44104</v>
      </c>
      <c r="E311" s="72">
        <f t="shared" si="140"/>
        <v>92</v>
      </c>
      <c r="F311" s="74">
        <f>VLOOKUP(D311,'FERC Interest Rate'!$A:$B,2,TRUE)</f>
        <v>4.7507929999999997E-2</v>
      </c>
      <c r="G311" s="75">
        <f t="shared" si="141"/>
        <v>670.04013263571653</v>
      </c>
      <c r="H311" s="75">
        <v>0</v>
      </c>
      <c r="I311" s="99">
        <f t="shared" si="135"/>
        <v>8.6330265271432474</v>
      </c>
      <c r="J311" s="76">
        <f t="shared" si="142"/>
        <v>8.0015415685717137</v>
      </c>
      <c r="K311" s="116">
        <f t="shared" si="143"/>
        <v>16.634568095714961</v>
      </c>
      <c r="L311" s="76">
        <f t="shared" si="134"/>
        <v>125.375</v>
      </c>
      <c r="M311" s="117">
        <f t="shared" si="144"/>
        <v>142.00956809571497</v>
      </c>
      <c r="N311" s="8">
        <f t="shared" si="145"/>
        <v>678.04167420428826</v>
      </c>
      <c r="O311" s="75">
        <f t="shared" si="146"/>
        <v>536.03210610857332</v>
      </c>
    </row>
    <row r="312" spans="1:15" x14ac:dyDescent="0.25">
      <c r="A312" s="17" t="s">
        <v>68</v>
      </c>
      <c r="B312" s="72" t="str">
        <f t="shared" si="138"/>
        <v>Q4/2020</v>
      </c>
      <c r="C312" s="73">
        <f t="shared" si="139"/>
        <v>44105</v>
      </c>
      <c r="D312" s="73">
        <f t="shared" si="132"/>
        <v>44196</v>
      </c>
      <c r="E312" s="72">
        <f t="shared" si="140"/>
        <v>92</v>
      </c>
      <c r="F312" s="74">
        <f>VLOOKUP(D312,'FERC Interest Rate'!$A:$B,2,TRUE)</f>
        <v>4.7922320000000004E-2</v>
      </c>
      <c r="G312" s="75">
        <f t="shared" si="141"/>
        <v>536.03210610857332</v>
      </c>
      <c r="H312" s="75">
        <v>0</v>
      </c>
      <c r="I312" s="99">
        <f t="shared" si="135"/>
        <v>8.6330265271432474</v>
      </c>
      <c r="J312" s="76">
        <f t="shared" si="142"/>
        <v>6.4570682922601872</v>
      </c>
      <c r="K312" s="116">
        <f t="shared" si="143"/>
        <v>15.090094819403435</v>
      </c>
      <c r="L312" s="76">
        <f t="shared" si="134"/>
        <v>125.375</v>
      </c>
      <c r="M312" s="117">
        <f t="shared" si="144"/>
        <v>140.46509481940345</v>
      </c>
      <c r="N312" s="8">
        <f t="shared" si="145"/>
        <v>542.48917440083346</v>
      </c>
      <c r="O312" s="75">
        <f t="shared" si="146"/>
        <v>402.02407958143004</v>
      </c>
    </row>
    <row r="313" spans="1:15" x14ac:dyDescent="0.25">
      <c r="A313" s="17" t="s">
        <v>69</v>
      </c>
      <c r="B313" s="72" t="str">
        <f t="shared" si="138"/>
        <v>Q1/2021</v>
      </c>
      <c r="C313" s="73">
        <f t="shared" si="139"/>
        <v>44197</v>
      </c>
      <c r="D313" s="73">
        <f t="shared" si="132"/>
        <v>44286</v>
      </c>
      <c r="E313" s="72">
        <f t="shared" si="140"/>
        <v>90</v>
      </c>
      <c r="F313" s="74">
        <f>VLOOKUP(D313,'FERC Interest Rate'!$A:$B,2,TRUE)</f>
        <v>5.0023470000000007E-2</v>
      </c>
      <c r="G313" s="75">
        <f t="shared" si="141"/>
        <v>402.02407958143004</v>
      </c>
      <c r="H313" s="75">
        <v>0</v>
      </c>
      <c r="I313" s="99">
        <f t="shared" si="135"/>
        <v>8.6330265271432474</v>
      </c>
      <c r="J313" s="76">
        <f t="shared" si="142"/>
        <v>4.9587878180266713</v>
      </c>
      <c r="K313" s="116">
        <f t="shared" si="143"/>
        <v>13.591814345169919</v>
      </c>
      <c r="L313" s="76">
        <f t="shared" si="134"/>
        <v>125.375</v>
      </c>
      <c r="M313" s="117">
        <f t="shared" si="144"/>
        <v>138.96681434516992</v>
      </c>
      <c r="N313" s="8">
        <f t="shared" si="145"/>
        <v>406.98286739945672</v>
      </c>
      <c r="O313" s="75">
        <f t="shared" si="146"/>
        <v>268.01605305428677</v>
      </c>
    </row>
    <row r="314" spans="1:15" x14ac:dyDescent="0.25">
      <c r="A314" s="17" t="s">
        <v>70</v>
      </c>
      <c r="B314" s="72" t="str">
        <f t="shared" si="138"/>
        <v>Q2/2021</v>
      </c>
      <c r="C314" s="73">
        <f t="shared" si="139"/>
        <v>44287</v>
      </c>
      <c r="D314" s="73">
        <f t="shared" si="132"/>
        <v>44377</v>
      </c>
      <c r="E314" s="72">
        <f t="shared" si="140"/>
        <v>91</v>
      </c>
      <c r="F314" s="74">
        <f>VLOOKUP(D314,'FERC Interest Rate'!$A:$B,2,TRUE)</f>
        <v>5.0403730000000001E-2</v>
      </c>
      <c r="G314" s="75">
        <f t="shared" si="141"/>
        <v>268.01605305428677</v>
      </c>
      <c r="H314" s="75">
        <v>0</v>
      </c>
      <c r="I314" s="99">
        <f t="shared" si="135"/>
        <v>8.6330265271432474</v>
      </c>
      <c r="J314" s="76">
        <f t="shared" si="142"/>
        <v>3.3679994477179975</v>
      </c>
      <c r="K314" s="116">
        <f t="shared" si="143"/>
        <v>12.001025974861244</v>
      </c>
      <c r="L314" s="76">
        <f t="shared" si="134"/>
        <v>125.375</v>
      </c>
      <c r="M314" s="117">
        <f t="shared" si="144"/>
        <v>137.37602597486125</v>
      </c>
      <c r="N314" s="8">
        <f t="shared" si="145"/>
        <v>271.38405250200475</v>
      </c>
      <c r="O314" s="75">
        <f t="shared" si="146"/>
        <v>134.00802652714353</v>
      </c>
    </row>
    <row r="315" spans="1:15" x14ac:dyDescent="0.25">
      <c r="A315" s="17" t="s">
        <v>71</v>
      </c>
      <c r="B315" s="72" t="str">
        <f t="shared" si="138"/>
        <v>Q3/2021</v>
      </c>
      <c r="C315" s="73">
        <f t="shared" si="139"/>
        <v>44378</v>
      </c>
      <c r="D315" s="73">
        <f t="shared" si="132"/>
        <v>44469</v>
      </c>
      <c r="E315" s="72">
        <f t="shared" si="140"/>
        <v>92</v>
      </c>
      <c r="F315" s="74">
        <f>VLOOKUP(D315,'FERC Interest Rate'!$A:$B,2,TRUE)</f>
        <v>5.2520850000000001E-2</v>
      </c>
      <c r="G315" s="75">
        <f t="shared" si="141"/>
        <v>134.00802652714353</v>
      </c>
      <c r="H315" s="75">
        <v>0</v>
      </c>
      <c r="I315" s="99">
        <f t="shared" si="135"/>
        <v>8.6330265271432474</v>
      </c>
      <c r="J315" s="76">
        <f t="shared" si="142"/>
        <v>1.7740159515687333</v>
      </c>
      <c r="K315" s="116">
        <f t="shared" si="143"/>
        <v>10.407042478711981</v>
      </c>
      <c r="L315" s="76">
        <f t="shared" si="134"/>
        <v>125.375</v>
      </c>
      <c r="M315" s="117">
        <f t="shared" si="144"/>
        <v>135.78204247871199</v>
      </c>
      <c r="N315" s="8">
        <f t="shared" si="145"/>
        <v>135.78204247871227</v>
      </c>
      <c r="O315" s="75">
        <f t="shared" si="146"/>
        <v>2.8066438062523957E-13</v>
      </c>
    </row>
    <row r="316" spans="1:15" x14ac:dyDescent="0.25">
      <c r="A316" s="78"/>
      <c r="B316" s="72"/>
      <c r="C316" s="73"/>
      <c r="D316" s="73"/>
      <c r="E316" s="72"/>
      <c r="F316" s="74"/>
      <c r="G316" s="75"/>
      <c r="H316" s="75"/>
      <c r="I316" s="99"/>
      <c r="J316" s="76"/>
      <c r="K316" s="116"/>
      <c r="L316" s="76"/>
      <c r="M316" s="117"/>
      <c r="N316" s="8"/>
      <c r="O316" s="75"/>
    </row>
    <row r="317" spans="1:15" ht="13.5" thickBot="1" x14ac:dyDescent="0.35">
      <c r="A317" s="142"/>
      <c r="B317" s="143"/>
      <c r="C317" s="144"/>
      <c r="D317" s="144"/>
      <c r="E317" s="145"/>
      <c r="F317" s="143"/>
      <c r="G317" s="127">
        <f t="shared" ref="G317:O317" si="147">+SUM(G288:G316)</f>
        <v>48613.825780118073</v>
      </c>
      <c r="H317" s="127">
        <f t="shared" si="147"/>
        <v>172.66053054286493</v>
      </c>
      <c r="I317" s="128">
        <f t="shared" si="147"/>
        <v>172.6605305428649</v>
      </c>
      <c r="J317" s="127">
        <f t="shared" si="147"/>
        <v>286.47428975181816</v>
      </c>
      <c r="K317" s="127">
        <f t="shared" si="147"/>
        <v>459.13482029468304</v>
      </c>
      <c r="L317" s="127">
        <f t="shared" si="147"/>
        <v>2507.5</v>
      </c>
      <c r="M317" s="129">
        <f t="shared" si="147"/>
        <v>2966.6348202946833</v>
      </c>
      <c r="N317" s="127">
        <f t="shared" si="147"/>
        <v>49072.960600412756</v>
      </c>
      <c r="O317" s="127">
        <f t="shared" si="147"/>
        <v>46106.325780118081</v>
      </c>
    </row>
    <row r="318" spans="1:15" ht="13" thickTop="1" x14ac:dyDescent="0.25"/>
    <row r="319" spans="1:15" ht="52" x14ac:dyDescent="0.3">
      <c r="A319" s="77" t="s">
        <v>51</v>
      </c>
      <c r="B319" s="77" t="s">
        <v>3</v>
      </c>
      <c r="C319" s="77" t="s">
        <v>4</v>
      </c>
      <c r="D319" s="77" t="s">
        <v>5</v>
      </c>
      <c r="E319" s="77" t="s">
        <v>6</v>
      </c>
      <c r="F319" s="77" t="s">
        <v>7</v>
      </c>
      <c r="G319" s="77" t="s">
        <v>92</v>
      </c>
      <c r="H319" s="77" t="s">
        <v>93</v>
      </c>
      <c r="I319" s="94" t="s">
        <v>94</v>
      </c>
      <c r="J319" s="95" t="s">
        <v>95</v>
      </c>
      <c r="K319" s="95" t="s">
        <v>96</v>
      </c>
      <c r="L319" s="95" t="s">
        <v>97</v>
      </c>
      <c r="M319" s="96" t="s">
        <v>98</v>
      </c>
      <c r="N319" s="77" t="s">
        <v>99</v>
      </c>
      <c r="O319" s="77" t="s">
        <v>100</v>
      </c>
    </row>
    <row r="320" spans="1:15" ht="13" x14ac:dyDescent="0.3">
      <c r="A320" s="347" t="s">
        <v>14</v>
      </c>
      <c r="B320" s="347"/>
      <c r="C320" s="73">
        <f>VLOOKUP(B321,A$1:F$25,2,FALSE)</f>
        <v>42052</v>
      </c>
      <c r="D320" s="73">
        <f>DATE(YEAR(C320),IF(MONTH(C320)&lt;=3,3,IF(MONTH(C320)&lt;=6,6,IF(MONTH(C320)&lt;=9,9,12))),IF(OR(MONTH(C320)&lt;=3,MONTH(C320)&gt;=10),31,30))</f>
        <v>42094</v>
      </c>
      <c r="E320" s="72">
        <f>D320-C320+1</f>
        <v>43</v>
      </c>
      <c r="F320" s="74">
        <f>VLOOKUP(D320,'FERC Interest Rate'!$A:$B,2,TRUE)</f>
        <v>3.2500000000000001E-2</v>
      </c>
      <c r="G320" s="75">
        <f>VLOOKUP(B321,$A$1:$F$25,5,FALSE)</f>
        <v>2446</v>
      </c>
      <c r="H320" s="75">
        <f t="shared" ref="H320:H327" si="148">G320*F320*(E320/(DATE(YEAR(D320),12,31)-DATE(YEAR(D320),1,1)+1))</f>
        <v>9.3651643835616447</v>
      </c>
      <c r="I320" s="180">
        <v>0</v>
      </c>
      <c r="J320" s="76">
        <v>0</v>
      </c>
      <c r="K320" s="76">
        <f t="shared" ref="K320:K346" si="149">+SUM(I320:J320)</f>
        <v>0</v>
      </c>
      <c r="L320" s="76">
        <v>0</v>
      </c>
      <c r="M320" s="100">
        <f t="shared" ref="M320:M346" si="150">+SUM(K320:L320)</f>
        <v>0</v>
      </c>
      <c r="N320" s="76">
        <f t="shared" ref="N320:N346" si="151">+G320+H320+J320</f>
        <v>2455.3651643835615</v>
      </c>
      <c r="O320" s="75">
        <f t="shared" ref="O320:O346" si="152">G320+H320-L320-I320</f>
        <v>2455.3651643835615</v>
      </c>
    </row>
    <row r="321" spans="1:15" ht="13" x14ac:dyDescent="0.3">
      <c r="A321" s="110" t="s">
        <v>40</v>
      </c>
      <c r="B321" s="141" t="s">
        <v>60</v>
      </c>
      <c r="C321" s="73">
        <f>D320+1</f>
        <v>42095</v>
      </c>
      <c r="D321" s="73">
        <f>EOMONTH(D320,3)</f>
        <v>42185</v>
      </c>
      <c r="E321" s="72">
        <f t="shared" ref="E321:E346" si="153">D321-C321+1</f>
        <v>91</v>
      </c>
      <c r="F321" s="74">
        <f>VLOOKUP(D321,'FERC Interest Rate'!$A:$B,2,TRUE)</f>
        <v>3.2500000000000001E-2</v>
      </c>
      <c r="G321" s="75">
        <f t="shared" ref="G321:G346" si="154">O320</f>
        <v>2455.3651643835615</v>
      </c>
      <c r="H321" s="75">
        <f t="shared" si="148"/>
        <v>19.895184859354476</v>
      </c>
      <c r="I321" s="180">
        <v>0</v>
      </c>
      <c r="J321" s="76">
        <v>0</v>
      </c>
      <c r="K321" s="76">
        <f t="shared" si="149"/>
        <v>0</v>
      </c>
      <c r="L321" s="76">
        <v>0</v>
      </c>
      <c r="M321" s="100">
        <f t="shared" si="150"/>
        <v>0</v>
      </c>
      <c r="N321" s="76">
        <f t="shared" si="151"/>
        <v>2475.2603492429162</v>
      </c>
      <c r="O321" s="75">
        <f t="shared" si="152"/>
        <v>2475.2603492429162</v>
      </c>
    </row>
    <row r="322" spans="1:15" ht="13" x14ac:dyDescent="0.3">
      <c r="A322" s="321"/>
      <c r="B322" s="301"/>
      <c r="C322" s="73">
        <f t="shared" ref="C322:C346" si="155">D321+1</f>
        <v>42186</v>
      </c>
      <c r="D322" s="73">
        <f t="shared" ref="D322:D346" si="156">EOMONTH(D321,3)</f>
        <v>42277</v>
      </c>
      <c r="E322" s="72">
        <f t="shared" si="153"/>
        <v>92</v>
      </c>
      <c r="F322" s="74">
        <f>VLOOKUP(D322,'FERC Interest Rate'!$A:$B,2,TRUE)</f>
        <v>3.2500000000000001E-2</v>
      </c>
      <c r="G322" s="75">
        <f t="shared" si="154"/>
        <v>2475.2603492429162</v>
      </c>
      <c r="H322" s="75">
        <f t="shared" si="148"/>
        <v>20.276790258181698</v>
      </c>
      <c r="I322" s="180">
        <v>0</v>
      </c>
      <c r="J322" s="76">
        <v>0</v>
      </c>
      <c r="K322" s="76">
        <f t="shared" si="149"/>
        <v>0</v>
      </c>
      <c r="L322" s="76">
        <v>0</v>
      </c>
      <c r="M322" s="100">
        <f t="shared" si="150"/>
        <v>0</v>
      </c>
      <c r="N322" s="76">
        <f t="shared" si="151"/>
        <v>2495.537139501098</v>
      </c>
      <c r="O322" s="75">
        <f t="shared" si="152"/>
        <v>2495.537139501098</v>
      </c>
    </row>
    <row r="323" spans="1:15" ht="13" x14ac:dyDescent="0.3">
      <c r="A323" s="321"/>
      <c r="B323" s="301"/>
      <c r="C323" s="73">
        <f t="shared" si="155"/>
        <v>42278</v>
      </c>
      <c r="D323" s="73">
        <f t="shared" si="156"/>
        <v>42369</v>
      </c>
      <c r="E323" s="72">
        <f t="shared" si="153"/>
        <v>92</v>
      </c>
      <c r="F323" s="74">
        <f>VLOOKUP(D323,'FERC Interest Rate'!$A:$B,2,TRUE)</f>
        <v>3.2500000000000001E-2</v>
      </c>
      <c r="G323" s="75">
        <f t="shared" si="154"/>
        <v>2495.537139501098</v>
      </c>
      <c r="H323" s="75">
        <f t="shared" si="148"/>
        <v>20.44289327974872</v>
      </c>
      <c r="I323" s="180">
        <v>0</v>
      </c>
      <c r="J323" s="76">
        <v>0</v>
      </c>
      <c r="K323" s="76">
        <f t="shared" si="149"/>
        <v>0</v>
      </c>
      <c r="L323" s="76">
        <v>0</v>
      </c>
      <c r="M323" s="100">
        <f t="shared" si="150"/>
        <v>0</v>
      </c>
      <c r="N323" s="76">
        <f t="shared" si="151"/>
        <v>2515.9800327808466</v>
      </c>
      <c r="O323" s="75">
        <f t="shared" si="152"/>
        <v>2515.9800327808466</v>
      </c>
    </row>
    <row r="324" spans="1:15" ht="13" x14ac:dyDescent="0.3">
      <c r="A324" s="321"/>
      <c r="B324" s="301"/>
      <c r="C324" s="73">
        <f t="shared" si="155"/>
        <v>42370</v>
      </c>
      <c r="D324" s="73">
        <f t="shared" si="156"/>
        <v>42460</v>
      </c>
      <c r="E324" s="72">
        <f t="shared" si="153"/>
        <v>91</v>
      </c>
      <c r="F324" s="74">
        <f>VLOOKUP(D324,'FERC Interest Rate'!$A:$B,2,TRUE)</f>
        <v>3.2500000000000001E-2</v>
      </c>
      <c r="G324" s="75">
        <f t="shared" si="154"/>
        <v>2515.9800327808466</v>
      </c>
      <c r="H324" s="75">
        <f t="shared" si="148"/>
        <v>20.330631002593865</v>
      </c>
      <c r="I324" s="180">
        <v>0</v>
      </c>
      <c r="J324" s="76">
        <v>0</v>
      </c>
      <c r="K324" s="76">
        <f t="shared" si="149"/>
        <v>0</v>
      </c>
      <c r="L324" s="76">
        <v>0</v>
      </c>
      <c r="M324" s="100">
        <f t="shared" si="150"/>
        <v>0</v>
      </c>
      <c r="N324" s="76">
        <f t="shared" si="151"/>
        <v>2536.3106637834403</v>
      </c>
      <c r="O324" s="75">
        <f t="shared" si="152"/>
        <v>2536.3106637834403</v>
      </c>
    </row>
    <row r="325" spans="1:15" ht="13" x14ac:dyDescent="0.3">
      <c r="A325" s="321"/>
      <c r="B325" s="301"/>
      <c r="C325" s="73">
        <f t="shared" si="155"/>
        <v>42461</v>
      </c>
      <c r="D325" s="73">
        <f t="shared" si="156"/>
        <v>42551</v>
      </c>
      <c r="E325" s="72">
        <f t="shared" si="153"/>
        <v>91</v>
      </c>
      <c r="F325" s="74">
        <f>VLOOKUP(D325,'FERC Interest Rate'!$A:$B,2,TRUE)</f>
        <v>3.4599999999999999E-2</v>
      </c>
      <c r="G325" s="75">
        <f t="shared" si="154"/>
        <v>2536.3106637834403</v>
      </c>
      <c r="H325" s="75">
        <f t="shared" si="148"/>
        <v>21.819201519094371</v>
      </c>
      <c r="I325" s="180">
        <v>0</v>
      </c>
      <c r="J325" s="76">
        <v>0</v>
      </c>
      <c r="K325" s="76">
        <f t="shared" si="149"/>
        <v>0</v>
      </c>
      <c r="L325" s="76">
        <v>0</v>
      </c>
      <c r="M325" s="100">
        <f t="shared" si="150"/>
        <v>0</v>
      </c>
      <c r="N325" s="76">
        <f t="shared" si="151"/>
        <v>2558.1298653025347</v>
      </c>
      <c r="O325" s="75">
        <f t="shared" si="152"/>
        <v>2558.1298653025347</v>
      </c>
    </row>
    <row r="326" spans="1:15" ht="13" x14ac:dyDescent="0.3">
      <c r="A326" s="321"/>
      <c r="B326" s="301"/>
      <c r="C326" s="73">
        <f t="shared" si="155"/>
        <v>42552</v>
      </c>
      <c r="D326" s="73">
        <f t="shared" si="156"/>
        <v>42643</v>
      </c>
      <c r="E326" s="72">
        <f t="shared" si="153"/>
        <v>92</v>
      </c>
      <c r="F326" s="74">
        <f>VLOOKUP(D326,'FERC Interest Rate'!$A:$B,2,TRUE)</f>
        <v>3.5000000000000003E-2</v>
      </c>
      <c r="G326" s="75">
        <f t="shared" si="154"/>
        <v>2558.1298653025347</v>
      </c>
      <c r="H326" s="75">
        <f t="shared" si="148"/>
        <v>22.505951273973121</v>
      </c>
      <c r="I326" s="180">
        <v>0</v>
      </c>
      <c r="J326" s="76">
        <v>0</v>
      </c>
      <c r="K326" s="76">
        <f t="shared" si="149"/>
        <v>0</v>
      </c>
      <c r="L326" s="76">
        <v>0</v>
      </c>
      <c r="M326" s="100">
        <f t="shared" si="150"/>
        <v>0</v>
      </c>
      <c r="N326" s="76">
        <f t="shared" si="151"/>
        <v>2580.6358165765078</v>
      </c>
      <c r="O326" s="75">
        <f t="shared" si="152"/>
        <v>2580.6358165765078</v>
      </c>
    </row>
    <row r="327" spans="1:15" x14ac:dyDescent="0.25">
      <c r="A327" s="17" t="s">
        <v>52</v>
      </c>
      <c r="B327" s="72" t="str">
        <f>+IF(MONTH(C327)&lt;4,"Q1",IF(MONTH(C327)&lt;7,"Q2",IF(MONTH(C327)&lt;10,"Q3","Q4")))&amp;"/"&amp;YEAR(C327)</f>
        <v>Q4/2016</v>
      </c>
      <c r="C327" s="73">
        <f t="shared" si="155"/>
        <v>42644</v>
      </c>
      <c r="D327" s="73">
        <f t="shared" si="156"/>
        <v>42735</v>
      </c>
      <c r="E327" s="72">
        <f t="shared" si="153"/>
        <v>92</v>
      </c>
      <c r="F327" s="74">
        <f>VLOOKUP(D327,'FERC Interest Rate'!$A:$B,2,TRUE)</f>
        <v>3.5000000000000003E-2</v>
      </c>
      <c r="G327" s="75">
        <f t="shared" si="154"/>
        <v>2580.6358165765078</v>
      </c>
      <c r="H327" s="75">
        <f t="shared" si="148"/>
        <v>22.70395445184797</v>
      </c>
      <c r="I327" s="180">
        <f>(SUM($H$320:$H$347)/20)</f>
        <v>7.8669885514177933</v>
      </c>
      <c r="J327" s="76">
        <v>0</v>
      </c>
      <c r="K327" s="76">
        <f>+SUM(I327:J327)</f>
        <v>7.8669885514177933</v>
      </c>
      <c r="L327" s="76">
        <f t="shared" ref="L327:L346" si="157">VLOOKUP($B$321,A$1:F$25,5,FALSE)/20</f>
        <v>122.3</v>
      </c>
      <c r="M327" s="100">
        <f>+SUM(K327:L327)</f>
        <v>130.1669885514178</v>
      </c>
      <c r="N327" s="76">
        <f t="shared" si="151"/>
        <v>2603.3397710283557</v>
      </c>
      <c r="O327" s="75">
        <f t="shared" si="152"/>
        <v>2473.1727824769378</v>
      </c>
    </row>
    <row r="328" spans="1:15" x14ac:dyDescent="0.25">
      <c r="A328" s="17" t="s">
        <v>53</v>
      </c>
      <c r="B328" s="72" t="str">
        <f>+IF(MONTH(C328)&lt;4,"Q1",IF(MONTH(C328)&lt;7,"Q2",IF(MONTH(C328)&lt;10,"Q3","Q4")))&amp;"/"&amp;YEAR(C328)</f>
        <v>Q1/2017</v>
      </c>
      <c r="C328" s="73">
        <f t="shared" si="155"/>
        <v>42736</v>
      </c>
      <c r="D328" s="73">
        <f t="shared" si="156"/>
        <v>42825</v>
      </c>
      <c r="E328" s="72">
        <f t="shared" si="153"/>
        <v>90</v>
      </c>
      <c r="F328" s="74">
        <f>VLOOKUP(D328,'FERC Interest Rate'!$A:$B,2,TRUE)</f>
        <v>3.5000000000000003E-2</v>
      </c>
      <c r="G328" s="75">
        <f t="shared" si="154"/>
        <v>2473.1727824769378</v>
      </c>
      <c r="H328" s="75">
        <v>0</v>
      </c>
      <c r="I328" s="99">
        <f t="shared" ref="I328:I346" si="158">(SUM($H$320:$H$347)/20)</f>
        <v>7.8669885514177933</v>
      </c>
      <c r="J328" s="76">
        <f>G328*F328*(E328/(DATE(YEAR(D328),12,31)-DATE(YEAR(D328),1,1)+1))</f>
        <v>21.343819903568097</v>
      </c>
      <c r="K328" s="76">
        <f>+SUM(I328:J328)</f>
        <v>29.210808454985891</v>
      </c>
      <c r="L328" s="76">
        <f t="shared" si="157"/>
        <v>122.3</v>
      </c>
      <c r="M328" s="100">
        <f>+SUM(K328:L328)</f>
        <v>151.51080845498589</v>
      </c>
      <c r="N328" s="76">
        <f t="shared" si="151"/>
        <v>2494.5166023805059</v>
      </c>
      <c r="O328" s="75">
        <f t="shared" si="152"/>
        <v>2343.0057939255198</v>
      </c>
    </row>
    <row r="329" spans="1:15" x14ac:dyDescent="0.25">
      <c r="A329" s="17" t="s">
        <v>54</v>
      </c>
      <c r="B329" s="72" t="str">
        <f>+IF(MONTH(C329)&lt;4,"Q1",IF(MONTH(C329)&lt;7,"Q2",IF(MONTH(C329)&lt;10,"Q3","Q4")))&amp;"/"&amp;YEAR(C329)</f>
        <v>Q2/2017</v>
      </c>
      <c r="C329" s="73">
        <f t="shared" si="155"/>
        <v>42826</v>
      </c>
      <c r="D329" s="73">
        <f t="shared" si="156"/>
        <v>42916</v>
      </c>
      <c r="E329" s="72">
        <f t="shared" si="153"/>
        <v>91</v>
      </c>
      <c r="F329" s="74">
        <f>VLOOKUP(D329,'FERC Interest Rate'!$A:$B,2,TRUE)</f>
        <v>3.7100000000000001E-2</v>
      </c>
      <c r="G329" s="75">
        <f t="shared" si="154"/>
        <v>2343.0057939255198</v>
      </c>
      <c r="H329" s="75">
        <v>0</v>
      </c>
      <c r="I329" s="99">
        <f t="shared" si="158"/>
        <v>7.8669885514177933</v>
      </c>
      <c r="J329" s="76">
        <f>G329*F329*(E329/(DATE(YEAR(D329),12,31)-DATE(YEAR(D329),1,1)+1))</f>
        <v>21.671840714717664</v>
      </c>
      <c r="K329" s="76">
        <f>+SUM(I329:J329)</f>
        <v>29.538829266135458</v>
      </c>
      <c r="L329" s="76">
        <f t="shared" si="157"/>
        <v>122.3</v>
      </c>
      <c r="M329" s="100">
        <f>+SUM(K329:L329)</f>
        <v>151.83882926613546</v>
      </c>
      <c r="N329" s="76">
        <f t="shared" si="151"/>
        <v>2364.6776346402376</v>
      </c>
      <c r="O329" s="75">
        <f t="shared" si="152"/>
        <v>2212.8388053741019</v>
      </c>
    </row>
    <row r="330" spans="1:15" x14ac:dyDescent="0.25">
      <c r="A330" s="17" t="s">
        <v>55</v>
      </c>
      <c r="B330" s="72" t="str">
        <f t="shared" ref="B330:B343" si="159">+IF(MONTH(C330)&lt;4,"Q1",IF(MONTH(C330)&lt;7,"Q2",IF(MONTH(C330)&lt;10,"Q3","Q4")))&amp;"/"&amp;YEAR(C330)</f>
        <v>Q3/2017</v>
      </c>
      <c r="C330" s="73">
        <f t="shared" si="155"/>
        <v>42917</v>
      </c>
      <c r="D330" s="73">
        <f t="shared" si="156"/>
        <v>43008</v>
      </c>
      <c r="E330" s="72">
        <f t="shared" si="153"/>
        <v>92</v>
      </c>
      <c r="F330" s="74">
        <f>VLOOKUP(D330,'FERC Interest Rate'!$A:$B,2,TRUE)</f>
        <v>3.9600000000000003E-2</v>
      </c>
      <c r="G330" s="75">
        <f t="shared" si="154"/>
        <v>2212.8388053741019</v>
      </c>
      <c r="H330" s="75">
        <v>0</v>
      </c>
      <c r="I330" s="99">
        <f t="shared" si="158"/>
        <v>7.8669885514177933</v>
      </c>
      <c r="J330" s="76">
        <f>G330*F330*(E330/(DATE(YEAR(D330),12,31)-DATE(YEAR(D330),1,1)+1))</f>
        <v>22.087162563668301</v>
      </c>
      <c r="K330" s="76">
        <f>+SUM(I330:J330)</f>
        <v>29.954151115086095</v>
      </c>
      <c r="L330" s="76">
        <f t="shared" si="157"/>
        <v>122.3</v>
      </c>
      <c r="M330" s="100">
        <f>+SUM(K330:L330)</f>
        <v>152.2541511150861</v>
      </c>
      <c r="N330" s="76">
        <f t="shared" si="151"/>
        <v>2234.9259679377701</v>
      </c>
      <c r="O330" s="75">
        <f t="shared" si="152"/>
        <v>2082.6718168226839</v>
      </c>
    </row>
    <row r="331" spans="1:15" x14ac:dyDescent="0.25">
      <c r="A331" s="17" t="s">
        <v>56</v>
      </c>
      <c r="B331" s="72" t="str">
        <f t="shared" si="159"/>
        <v>Q4/2017</v>
      </c>
      <c r="C331" s="73">
        <f t="shared" si="155"/>
        <v>43009</v>
      </c>
      <c r="D331" s="73">
        <f t="shared" si="156"/>
        <v>43100</v>
      </c>
      <c r="E331" s="72">
        <f t="shared" si="153"/>
        <v>92</v>
      </c>
      <c r="F331" s="74">
        <f>VLOOKUP(D331,'FERC Interest Rate'!$A:$B,2,TRUE)</f>
        <v>4.2099999999999999E-2</v>
      </c>
      <c r="G331" s="75">
        <f t="shared" si="154"/>
        <v>2082.6718168226839</v>
      </c>
      <c r="H331" s="75">
        <v>0</v>
      </c>
      <c r="I331" s="99">
        <f t="shared" si="158"/>
        <v>7.8669885514177933</v>
      </c>
      <c r="J331" s="76">
        <f t="shared" ref="J331:J346" si="160">G331*F331*(E331/(DATE(YEAR(D331),12,31)-DATE(YEAR(D331),1,1)+1))</f>
        <v>22.100286249089368</v>
      </c>
      <c r="K331" s="116">
        <f t="shared" si="149"/>
        <v>29.967274800507163</v>
      </c>
      <c r="L331" s="76">
        <f t="shared" si="157"/>
        <v>122.3</v>
      </c>
      <c r="M331" s="117">
        <f t="shared" si="150"/>
        <v>152.26727480050715</v>
      </c>
      <c r="N331" s="8">
        <f t="shared" si="151"/>
        <v>2104.7721030717735</v>
      </c>
      <c r="O331" s="75">
        <f t="shared" si="152"/>
        <v>1952.5048282712662</v>
      </c>
    </row>
    <row r="332" spans="1:15" x14ac:dyDescent="0.25">
      <c r="A332" s="17" t="s">
        <v>57</v>
      </c>
      <c r="B332" s="72" t="str">
        <f t="shared" si="159"/>
        <v>Q1/2018</v>
      </c>
      <c r="C332" s="73">
        <f t="shared" si="155"/>
        <v>43101</v>
      </c>
      <c r="D332" s="73">
        <f t="shared" si="156"/>
        <v>43190</v>
      </c>
      <c r="E332" s="72">
        <f t="shared" si="153"/>
        <v>90</v>
      </c>
      <c r="F332" s="74">
        <f>VLOOKUP(D332,'FERC Interest Rate'!$A:$B,2,TRUE)</f>
        <v>4.2500000000000003E-2</v>
      </c>
      <c r="G332" s="75">
        <f t="shared" si="154"/>
        <v>1952.5048282712662</v>
      </c>
      <c r="H332" s="75">
        <v>0</v>
      </c>
      <c r="I332" s="99">
        <f t="shared" si="158"/>
        <v>7.8669885514177933</v>
      </c>
      <c r="J332" s="76">
        <f>G332*F332*(E332/(DATE(YEAR(D332),12,31)-DATE(YEAR(D332),1,1)+1))</f>
        <v>20.461180734623543</v>
      </c>
      <c r="K332" s="116">
        <f>+SUM(I332:J332)</f>
        <v>28.328169286041337</v>
      </c>
      <c r="L332" s="76">
        <f t="shared" si="157"/>
        <v>122.3</v>
      </c>
      <c r="M332" s="117">
        <f>+SUM(K332:L332)</f>
        <v>150.62816928604133</v>
      </c>
      <c r="N332" s="8">
        <f t="shared" si="151"/>
        <v>1972.9660090058896</v>
      </c>
      <c r="O332" s="75">
        <f t="shared" si="152"/>
        <v>1822.3378397198485</v>
      </c>
    </row>
    <row r="333" spans="1:15" x14ac:dyDescent="0.25">
      <c r="A333" s="17" t="s">
        <v>58</v>
      </c>
      <c r="B333" s="72" t="str">
        <f t="shared" si="159"/>
        <v>Q2/2018</v>
      </c>
      <c r="C333" s="73">
        <f t="shared" si="155"/>
        <v>43191</v>
      </c>
      <c r="D333" s="73">
        <f t="shared" si="156"/>
        <v>43281</v>
      </c>
      <c r="E333" s="72">
        <f t="shared" si="153"/>
        <v>91</v>
      </c>
      <c r="F333" s="74">
        <f>VLOOKUP(D333,'FERC Interest Rate'!$A:$B,2,TRUE)</f>
        <v>4.4699999999999997E-2</v>
      </c>
      <c r="G333" s="75">
        <f t="shared" si="154"/>
        <v>1822.3378397198485</v>
      </c>
      <c r="H333" s="75">
        <v>0</v>
      </c>
      <c r="I333" s="99">
        <f t="shared" si="158"/>
        <v>7.8669885514177933</v>
      </c>
      <c r="J333" s="76">
        <f t="shared" si="160"/>
        <v>20.308831864735417</v>
      </c>
      <c r="K333" s="116">
        <f t="shared" si="149"/>
        <v>28.175820416153211</v>
      </c>
      <c r="L333" s="76">
        <f t="shared" si="157"/>
        <v>122.3</v>
      </c>
      <c r="M333" s="117">
        <f t="shared" si="150"/>
        <v>150.4758204161532</v>
      </c>
      <c r="N333" s="8">
        <f t="shared" si="151"/>
        <v>1842.6466715845838</v>
      </c>
      <c r="O333" s="75">
        <f t="shared" si="152"/>
        <v>1692.1708511684308</v>
      </c>
    </row>
    <row r="334" spans="1:15" x14ac:dyDescent="0.25">
      <c r="A334" s="17" t="s">
        <v>59</v>
      </c>
      <c r="B334" s="72" t="str">
        <f t="shared" si="159"/>
        <v>Q3/2018</v>
      </c>
      <c r="C334" s="73">
        <f t="shared" si="155"/>
        <v>43282</v>
      </c>
      <c r="D334" s="73">
        <f t="shared" si="156"/>
        <v>43373</v>
      </c>
      <c r="E334" s="72">
        <f t="shared" si="153"/>
        <v>92</v>
      </c>
      <c r="F334" s="74">
        <f>VLOOKUP(D334,'FERC Interest Rate'!$A:$B,2,TRUE)</f>
        <v>4.6899999999999997E-2</v>
      </c>
      <c r="G334" s="75">
        <f t="shared" si="154"/>
        <v>1692.1708511684308</v>
      </c>
      <c r="H334" s="75">
        <v>0</v>
      </c>
      <c r="I334" s="99">
        <f t="shared" si="158"/>
        <v>7.8669885514177933</v>
      </c>
      <c r="J334" s="76">
        <f t="shared" si="160"/>
        <v>20.003777503072726</v>
      </c>
      <c r="K334" s="116">
        <f t="shared" si="149"/>
        <v>27.87076605449052</v>
      </c>
      <c r="L334" s="76">
        <f t="shared" si="157"/>
        <v>122.3</v>
      </c>
      <c r="M334" s="117">
        <f t="shared" si="150"/>
        <v>150.17076605449051</v>
      </c>
      <c r="N334" s="8">
        <f t="shared" si="151"/>
        <v>1712.1746286715036</v>
      </c>
      <c r="O334" s="75">
        <f t="shared" si="152"/>
        <v>1562.0038626170131</v>
      </c>
    </row>
    <row r="335" spans="1:15" x14ac:dyDescent="0.25">
      <c r="A335" s="17" t="s">
        <v>60</v>
      </c>
      <c r="B335" s="72" t="str">
        <f t="shared" si="159"/>
        <v>Q4/2018</v>
      </c>
      <c r="C335" s="73">
        <f t="shared" si="155"/>
        <v>43374</v>
      </c>
      <c r="D335" s="73">
        <f t="shared" si="156"/>
        <v>43465</v>
      </c>
      <c r="E335" s="72">
        <f t="shared" si="153"/>
        <v>92</v>
      </c>
      <c r="F335" s="74">
        <f>VLOOKUP(D335,'FERC Interest Rate'!$A:$B,2,TRUE)</f>
        <v>4.9599999999999998E-2</v>
      </c>
      <c r="G335" s="75">
        <f t="shared" si="154"/>
        <v>1562.0038626170131</v>
      </c>
      <c r="H335" s="75">
        <v>0</v>
      </c>
      <c r="I335" s="99">
        <f t="shared" si="158"/>
        <v>7.8669885514177933</v>
      </c>
      <c r="J335" s="76">
        <f t="shared" si="160"/>
        <v>19.528043906558779</v>
      </c>
      <c r="K335" s="116">
        <f t="shared" si="149"/>
        <v>27.395032457976573</v>
      </c>
      <c r="L335" s="76">
        <f t="shared" si="157"/>
        <v>122.3</v>
      </c>
      <c r="M335" s="117">
        <f t="shared" si="150"/>
        <v>149.69503245797657</v>
      </c>
      <c r="N335" s="8">
        <f t="shared" si="151"/>
        <v>1581.5319065235719</v>
      </c>
      <c r="O335" s="75">
        <f t="shared" si="152"/>
        <v>1431.8368740655953</v>
      </c>
    </row>
    <row r="336" spans="1:15" x14ac:dyDescent="0.25">
      <c r="A336" s="17" t="s">
        <v>61</v>
      </c>
      <c r="B336" s="72" t="str">
        <f t="shared" si="159"/>
        <v>Q1/2019</v>
      </c>
      <c r="C336" s="73">
        <f t="shared" si="155"/>
        <v>43466</v>
      </c>
      <c r="D336" s="73">
        <f t="shared" si="156"/>
        <v>43555</v>
      </c>
      <c r="E336" s="72">
        <f t="shared" si="153"/>
        <v>90</v>
      </c>
      <c r="F336" s="74">
        <f>VLOOKUP(D336,'FERC Interest Rate'!$A:$B,2,TRUE)</f>
        <v>5.1799999999999999E-2</v>
      </c>
      <c r="G336" s="75">
        <f t="shared" si="154"/>
        <v>1431.8368740655953</v>
      </c>
      <c r="H336" s="75">
        <v>0</v>
      </c>
      <c r="I336" s="99">
        <f t="shared" si="158"/>
        <v>7.8669885514177933</v>
      </c>
      <c r="J336" s="76">
        <f t="shared" si="160"/>
        <v>18.288283580530972</v>
      </c>
      <c r="K336" s="116">
        <f t="shared" si="149"/>
        <v>26.155272131948767</v>
      </c>
      <c r="L336" s="76">
        <f t="shared" si="157"/>
        <v>122.3</v>
      </c>
      <c r="M336" s="117">
        <f t="shared" si="150"/>
        <v>148.45527213194876</v>
      </c>
      <c r="N336" s="8">
        <f t="shared" si="151"/>
        <v>1450.1251576461264</v>
      </c>
      <c r="O336" s="75">
        <f t="shared" si="152"/>
        <v>1301.6698855141776</v>
      </c>
    </row>
    <row r="337" spans="1:15" x14ac:dyDescent="0.25">
      <c r="A337" s="17" t="s">
        <v>62</v>
      </c>
      <c r="B337" s="72" t="str">
        <f t="shared" si="159"/>
        <v>Q2/2019</v>
      </c>
      <c r="C337" s="73">
        <f t="shared" si="155"/>
        <v>43556</v>
      </c>
      <c r="D337" s="73">
        <f t="shared" si="156"/>
        <v>43646</v>
      </c>
      <c r="E337" s="72">
        <f t="shared" si="153"/>
        <v>91</v>
      </c>
      <c r="F337" s="74">
        <f>VLOOKUP(D337,'FERC Interest Rate'!$A:$B,2,TRUE)</f>
        <v>5.45E-2</v>
      </c>
      <c r="G337" s="75">
        <f t="shared" si="154"/>
        <v>1301.6698855141776</v>
      </c>
      <c r="H337" s="75">
        <v>0</v>
      </c>
      <c r="I337" s="99">
        <f t="shared" si="158"/>
        <v>7.8669885514177933</v>
      </c>
      <c r="J337" s="76">
        <f t="shared" si="160"/>
        <v>17.686662458102916</v>
      </c>
      <c r="K337" s="116">
        <f t="shared" si="149"/>
        <v>25.55365100952071</v>
      </c>
      <c r="L337" s="76">
        <f t="shared" si="157"/>
        <v>122.3</v>
      </c>
      <c r="M337" s="117">
        <f t="shared" si="150"/>
        <v>147.85365100952072</v>
      </c>
      <c r="N337" s="8">
        <f t="shared" si="151"/>
        <v>1319.3565479722806</v>
      </c>
      <c r="O337" s="75">
        <f t="shared" si="152"/>
        <v>1171.5028969627599</v>
      </c>
    </row>
    <row r="338" spans="1:15" x14ac:dyDescent="0.25">
      <c r="A338" s="17" t="s">
        <v>63</v>
      </c>
      <c r="B338" s="72" t="str">
        <f t="shared" si="159"/>
        <v>Q3/2019</v>
      </c>
      <c r="C338" s="73">
        <f t="shared" si="155"/>
        <v>43647</v>
      </c>
      <c r="D338" s="73">
        <f t="shared" si="156"/>
        <v>43738</v>
      </c>
      <c r="E338" s="72">
        <f t="shared" si="153"/>
        <v>92</v>
      </c>
      <c r="F338" s="74">
        <f>VLOOKUP(D338,'FERC Interest Rate'!$A:$B,2,TRUE)</f>
        <v>5.5E-2</v>
      </c>
      <c r="G338" s="75">
        <f t="shared" si="154"/>
        <v>1171.5028969627599</v>
      </c>
      <c r="H338" s="75">
        <v>0</v>
      </c>
      <c r="I338" s="99">
        <f t="shared" si="158"/>
        <v>7.8669885514177933</v>
      </c>
      <c r="J338" s="76">
        <f t="shared" si="160"/>
        <v>16.240560708579633</v>
      </c>
      <c r="K338" s="116">
        <f t="shared" si="149"/>
        <v>24.107549259997427</v>
      </c>
      <c r="L338" s="76">
        <f t="shared" si="157"/>
        <v>122.3</v>
      </c>
      <c r="M338" s="117">
        <f t="shared" si="150"/>
        <v>146.40754925999744</v>
      </c>
      <c r="N338" s="8">
        <f t="shared" si="151"/>
        <v>1187.7434576713395</v>
      </c>
      <c r="O338" s="75">
        <f t="shared" si="152"/>
        <v>1041.3359084113422</v>
      </c>
    </row>
    <row r="339" spans="1:15" x14ac:dyDescent="0.25">
      <c r="A339" s="17" t="s">
        <v>64</v>
      </c>
      <c r="B339" s="72" t="str">
        <f t="shared" si="159"/>
        <v>Q4/2019</v>
      </c>
      <c r="C339" s="73">
        <f t="shared" si="155"/>
        <v>43739</v>
      </c>
      <c r="D339" s="73">
        <f t="shared" si="156"/>
        <v>43830</v>
      </c>
      <c r="E339" s="72">
        <f t="shared" si="153"/>
        <v>92</v>
      </c>
      <c r="F339" s="74">
        <f>VLOOKUP(D339,'FERC Interest Rate'!$A:$B,2,TRUE)</f>
        <v>5.4199999999999998E-2</v>
      </c>
      <c r="G339" s="75">
        <f t="shared" si="154"/>
        <v>1041.3359084113422</v>
      </c>
      <c r="H339" s="75">
        <v>0</v>
      </c>
      <c r="I339" s="99">
        <f t="shared" si="158"/>
        <v>7.8669885514177933</v>
      </c>
      <c r="J339" s="76">
        <f t="shared" si="160"/>
        <v>14.226074996444703</v>
      </c>
      <c r="K339" s="116">
        <f t="shared" si="149"/>
        <v>22.093063547862496</v>
      </c>
      <c r="L339" s="76">
        <f t="shared" si="157"/>
        <v>122.3</v>
      </c>
      <c r="M339" s="117">
        <f t="shared" si="150"/>
        <v>144.39306354786248</v>
      </c>
      <c r="N339" s="8">
        <f t="shared" si="151"/>
        <v>1055.5619834077868</v>
      </c>
      <c r="O339" s="75">
        <f t="shared" si="152"/>
        <v>911.16891985992447</v>
      </c>
    </row>
    <row r="340" spans="1:15" x14ac:dyDescent="0.25">
      <c r="A340" s="17" t="s">
        <v>65</v>
      </c>
      <c r="B340" s="72" t="str">
        <f t="shared" si="159"/>
        <v>Q1/2020</v>
      </c>
      <c r="C340" s="73">
        <f t="shared" si="155"/>
        <v>43831</v>
      </c>
      <c r="D340" s="73">
        <f t="shared" si="156"/>
        <v>43921</v>
      </c>
      <c r="E340" s="72">
        <f t="shared" si="153"/>
        <v>91</v>
      </c>
      <c r="F340" s="74">
        <f>VLOOKUP(D340,'FERC Interest Rate'!$A:$B,2,TRUE)</f>
        <v>4.9599999999999998E-2</v>
      </c>
      <c r="G340" s="75">
        <f t="shared" si="154"/>
        <v>911.16891985992447</v>
      </c>
      <c r="H340" s="75">
        <v>0</v>
      </c>
      <c r="I340" s="99">
        <f t="shared" si="158"/>
        <v>7.8669885514177933</v>
      </c>
      <c r="J340" s="76">
        <f t="shared" si="160"/>
        <v>11.236754198578565</v>
      </c>
      <c r="K340" s="116">
        <f t="shared" si="149"/>
        <v>19.103742749996357</v>
      </c>
      <c r="L340" s="76">
        <f t="shared" si="157"/>
        <v>122.3</v>
      </c>
      <c r="M340" s="117">
        <f t="shared" si="150"/>
        <v>141.40374274999635</v>
      </c>
      <c r="N340" s="8">
        <f t="shared" si="151"/>
        <v>922.405674058503</v>
      </c>
      <c r="O340" s="75">
        <f t="shared" si="152"/>
        <v>781.00193130850676</v>
      </c>
    </row>
    <row r="341" spans="1:15" x14ac:dyDescent="0.25">
      <c r="A341" s="17" t="s">
        <v>66</v>
      </c>
      <c r="B341" s="72" t="str">
        <f t="shared" si="159"/>
        <v>Q2/2020</v>
      </c>
      <c r="C341" s="73">
        <f t="shared" si="155"/>
        <v>43922</v>
      </c>
      <c r="D341" s="73">
        <f t="shared" si="156"/>
        <v>44012</v>
      </c>
      <c r="E341" s="72">
        <f t="shared" si="153"/>
        <v>91</v>
      </c>
      <c r="F341" s="74">
        <f>VLOOKUP(D341,'FERC Interest Rate'!$A:$B,2,TRUE)</f>
        <v>4.7503500000000004E-2</v>
      </c>
      <c r="G341" s="75">
        <f t="shared" si="154"/>
        <v>781.00193130850676</v>
      </c>
      <c r="H341" s="75">
        <v>0</v>
      </c>
      <c r="I341" s="99">
        <f t="shared" si="158"/>
        <v>7.8669885514177933</v>
      </c>
      <c r="J341" s="76">
        <f t="shared" si="160"/>
        <v>9.2243978065468362</v>
      </c>
      <c r="K341" s="116">
        <f t="shared" si="149"/>
        <v>17.09138635796463</v>
      </c>
      <c r="L341" s="76">
        <f t="shared" si="157"/>
        <v>122.3</v>
      </c>
      <c r="M341" s="117">
        <f t="shared" si="150"/>
        <v>139.39138635796462</v>
      </c>
      <c r="N341" s="8">
        <f t="shared" si="151"/>
        <v>790.22632911505355</v>
      </c>
      <c r="O341" s="75">
        <f t="shared" si="152"/>
        <v>650.83494275708904</v>
      </c>
    </row>
    <row r="342" spans="1:15" x14ac:dyDescent="0.25">
      <c r="A342" s="17" t="s">
        <v>67</v>
      </c>
      <c r="B342" s="72" t="str">
        <f t="shared" si="159"/>
        <v>Q3/2020</v>
      </c>
      <c r="C342" s="73">
        <f t="shared" si="155"/>
        <v>44013</v>
      </c>
      <c r="D342" s="73">
        <f t="shared" si="156"/>
        <v>44104</v>
      </c>
      <c r="E342" s="72">
        <f t="shared" si="153"/>
        <v>92</v>
      </c>
      <c r="F342" s="74">
        <f>VLOOKUP(D342,'FERC Interest Rate'!$A:$B,2,TRUE)</f>
        <v>4.7507929999999997E-2</v>
      </c>
      <c r="G342" s="75">
        <f t="shared" si="154"/>
        <v>650.83494275708904</v>
      </c>
      <c r="H342" s="75">
        <v>0</v>
      </c>
      <c r="I342" s="99">
        <f t="shared" si="158"/>
        <v>7.8669885514177933</v>
      </c>
      <c r="J342" s="76">
        <f t="shared" si="160"/>
        <v>7.7721954180035979</v>
      </c>
      <c r="K342" s="116">
        <f t="shared" si="149"/>
        <v>15.639183969421392</v>
      </c>
      <c r="L342" s="76">
        <f t="shared" si="157"/>
        <v>122.3</v>
      </c>
      <c r="M342" s="117">
        <f t="shared" si="150"/>
        <v>137.93918396942138</v>
      </c>
      <c r="N342" s="8">
        <f t="shared" si="151"/>
        <v>658.60713817509259</v>
      </c>
      <c r="O342" s="75">
        <f t="shared" si="152"/>
        <v>520.66795420567132</v>
      </c>
    </row>
    <row r="343" spans="1:15" x14ac:dyDescent="0.25">
      <c r="A343" s="17" t="s">
        <v>68</v>
      </c>
      <c r="B343" s="72" t="str">
        <f t="shared" si="159"/>
        <v>Q4/2020</v>
      </c>
      <c r="C343" s="73">
        <f t="shared" si="155"/>
        <v>44105</v>
      </c>
      <c r="D343" s="73">
        <f t="shared" si="156"/>
        <v>44196</v>
      </c>
      <c r="E343" s="72">
        <f t="shared" si="153"/>
        <v>92</v>
      </c>
      <c r="F343" s="74">
        <f>VLOOKUP(D343,'FERC Interest Rate'!$A:$B,2,TRUE)</f>
        <v>4.7922320000000004E-2</v>
      </c>
      <c r="G343" s="75">
        <f t="shared" si="154"/>
        <v>520.66795420567132</v>
      </c>
      <c r="H343" s="75">
        <v>0</v>
      </c>
      <c r="I343" s="99">
        <f t="shared" si="158"/>
        <v>7.8669885514177933</v>
      </c>
      <c r="J343" s="76">
        <f t="shared" si="160"/>
        <v>6.2719909863317946</v>
      </c>
      <c r="K343" s="116">
        <f t="shared" si="149"/>
        <v>14.138979537749588</v>
      </c>
      <c r="L343" s="76">
        <f t="shared" si="157"/>
        <v>122.3</v>
      </c>
      <c r="M343" s="117">
        <f t="shared" si="150"/>
        <v>136.43897953774959</v>
      </c>
      <c r="N343" s="8">
        <f t="shared" si="151"/>
        <v>526.93994519200317</v>
      </c>
      <c r="O343" s="75">
        <f t="shared" si="152"/>
        <v>390.50096565425349</v>
      </c>
    </row>
    <row r="344" spans="1:15" x14ac:dyDescent="0.25">
      <c r="A344" s="17" t="s">
        <v>69</v>
      </c>
      <c r="B344" s="72" t="str">
        <f>+IF(MONTH(C344)&lt;4,"Q1",IF(MONTH(C344)&lt;7,"Q2",IF(MONTH(C344)&lt;10,"Q3","Q4")))&amp;"/"&amp;YEAR(C344)</f>
        <v>Q1/2021</v>
      </c>
      <c r="C344" s="73">
        <f t="shared" si="155"/>
        <v>44197</v>
      </c>
      <c r="D344" s="73">
        <f t="shared" si="156"/>
        <v>44286</v>
      </c>
      <c r="E344" s="72">
        <f t="shared" si="153"/>
        <v>90</v>
      </c>
      <c r="F344" s="74">
        <f>VLOOKUP(D344,'FERC Interest Rate'!$A:$B,2,TRUE)</f>
        <v>5.0023470000000007E-2</v>
      </c>
      <c r="G344" s="75">
        <f t="shared" si="154"/>
        <v>390.50096565425349</v>
      </c>
      <c r="H344" s="75">
        <v>0</v>
      </c>
      <c r="I344" s="99">
        <f t="shared" si="158"/>
        <v>7.8669885514177933</v>
      </c>
      <c r="J344" s="76">
        <f t="shared" si="160"/>
        <v>4.8166553442024442</v>
      </c>
      <c r="K344" s="116">
        <f t="shared" si="149"/>
        <v>12.683643895620238</v>
      </c>
      <c r="L344" s="76">
        <f t="shared" si="157"/>
        <v>122.3</v>
      </c>
      <c r="M344" s="117">
        <f t="shared" si="150"/>
        <v>134.98364389562025</v>
      </c>
      <c r="N344" s="8">
        <f t="shared" si="151"/>
        <v>395.31762099845594</v>
      </c>
      <c r="O344" s="75">
        <f t="shared" si="152"/>
        <v>260.33397710283566</v>
      </c>
    </row>
    <row r="345" spans="1:15" x14ac:dyDescent="0.25">
      <c r="A345" s="17" t="s">
        <v>70</v>
      </c>
      <c r="B345" s="72" t="str">
        <f>+IF(MONTH(C345)&lt;4,"Q1",IF(MONTH(C345)&lt;7,"Q2",IF(MONTH(C345)&lt;10,"Q3","Q4")))&amp;"/"&amp;YEAR(C345)</f>
        <v>Q2/2021</v>
      </c>
      <c r="C345" s="73">
        <f t="shared" si="155"/>
        <v>44287</v>
      </c>
      <c r="D345" s="73">
        <f t="shared" si="156"/>
        <v>44377</v>
      </c>
      <c r="E345" s="72">
        <f t="shared" si="153"/>
        <v>91</v>
      </c>
      <c r="F345" s="74">
        <f>VLOOKUP(D345,'FERC Interest Rate'!$A:$B,2,TRUE)</f>
        <v>5.0403730000000001E-2</v>
      </c>
      <c r="G345" s="75">
        <f t="shared" si="154"/>
        <v>260.33397710283566</v>
      </c>
      <c r="H345" s="75">
        <v>0</v>
      </c>
      <c r="I345" s="99">
        <f t="shared" si="158"/>
        <v>7.8669885514177933</v>
      </c>
      <c r="J345" s="76">
        <f t="shared" si="160"/>
        <v>3.2714633362912151</v>
      </c>
      <c r="K345" s="116">
        <f t="shared" si="149"/>
        <v>11.138451887709008</v>
      </c>
      <c r="L345" s="76">
        <f t="shared" si="157"/>
        <v>122.3</v>
      </c>
      <c r="M345" s="117">
        <f t="shared" si="150"/>
        <v>133.43845188770899</v>
      </c>
      <c r="N345" s="8">
        <f t="shared" si="151"/>
        <v>263.60544043912688</v>
      </c>
      <c r="O345" s="75">
        <f t="shared" si="152"/>
        <v>130.16698855141786</v>
      </c>
    </row>
    <row r="346" spans="1:15" x14ac:dyDescent="0.25">
      <c r="A346" s="17" t="s">
        <v>71</v>
      </c>
      <c r="B346" s="72" t="str">
        <f>+IF(MONTH(C346)&lt;4,"Q1",IF(MONTH(C346)&lt;7,"Q2",IF(MONTH(C346)&lt;10,"Q3","Q4")))&amp;"/"&amp;YEAR(C346)</f>
        <v>Q3/2021</v>
      </c>
      <c r="C346" s="73">
        <f t="shared" si="155"/>
        <v>44378</v>
      </c>
      <c r="D346" s="73">
        <f t="shared" si="156"/>
        <v>44469</v>
      </c>
      <c r="E346" s="72">
        <f t="shared" si="153"/>
        <v>92</v>
      </c>
      <c r="F346" s="74">
        <f>VLOOKUP(D346,'FERC Interest Rate'!$A:$B,2,TRUE)</f>
        <v>5.2520850000000001E-2</v>
      </c>
      <c r="G346" s="75">
        <f t="shared" si="154"/>
        <v>130.16698855141786</v>
      </c>
      <c r="H346" s="75">
        <v>0</v>
      </c>
      <c r="I346" s="99">
        <f t="shared" si="158"/>
        <v>7.8669885514177933</v>
      </c>
      <c r="J346" s="76">
        <f t="shared" si="160"/>
        <v>1.7231677836185961</v>
      </c>
      <c r="K346" s="116">
        <f t="shared" si="149"/>
        <v>9.5901563350363901</v>
      </c>
      <c r="L346" s="76">
        <f t="shared" si="157"/>
        <v>122.3</v>
      </c>
      <c r="M346" s="117">
        <f t="shared" si="150"/>
        <v>131.89015633503638</v>
      </c>
      <c r="N346" s="8">
        <f t="shared" si="151"/>
        <v>131.89015633503647</v>
      </c>
      <c r="O346" s="75">
        <f t="shared" si="152"/>
        <v>6.8389738316909643E-14</v>
      </c>
    </row>
    <row r="347" spans="1:15" x14ac:dyDescent="0.25">
      <c r="B347" s="72"/>
      <c r="C347" s="73"/>
      <c r="D347" s="73"/>
      <c r="E347" s="72"/>
      <c r="F347" s="74"/>
      <c r="G347" s="75"/>
      <c r="H347" s="75"/>
      <c r="I347" s="99"/>
      <c r="J347" s="76"/>
      <c r="K347" s="116"/>
      <c r="L347" s="76"/>
      <c r="M347" s="117"/>
      <c r="N347" s="8"/>
      <c r="O347" s="75"/>
    </row>
    <row r="348" spans="1:15" ht="13.5" thickBot="1" x14ac:dyDescent="0.35">
      <c r="A348" s="142"/>
      <c r="B348" s="143"/>
      <c r="C348" s="144"/>
      <c r="D348" s="144"/>
      <c r="E348" s="145"/>
      <c r="F348" s="143"/>
      <c r="G348" s="131">
        <f t="shared" ref="G348:O348" si="161">+SUM(G320:G347)</f>
        <v>44794.946856340284</v>
      </c>
      <c r="H348" s="131">
        <f t="shared" si="161"/>
        <v>157.33977102835587</v>
      </c>
      <c r="I348" s="125">
        <f t="shared" si="161"/>
        <v>157.33977102835584</v>
      </c>
      <c r="J348" s="124">
        <f t="shared" si="161"/>
        <v>278.26315005726508</v>
      </c>
      <c r="K348" s="124">
        <f t="shared" si="161"/>
        <v>435.60292108562101</v>
      </c>
      <c r="L348" s="124">
        <f t="shared" si="161"/>
        <v>2446</v>
      </c>
      <c r="M348" s="126">
        <f t="shared" si="161"/>
        <v>2881.6029210856213</v>
      </c>
      <c r="N348" s="124">
        <f t="shared" si="161"/>
        <v>45230.549777425913</v>
      </c>
      <c r="O348" s="124">
        <f t="shared" si="161"/>
        <v>42348.946856340277</v>
      </c>
    </row>
    <row r="349" spans="1:15" ht="13" thickTop="1" x14ac:dyDescent="0.25">
      <c r="B349" s="11"/>
      <c r="C349" s="79"/>
      <c r="D349" s="79"/>
      <c r="E349" s="10"/>
      <c r="F349" s="11"/>
      <c r="G349" s="76"/>
      <c r="H349" s="76"/>
      <c r="I349" s="119"/>
      <c r="J349" s="58"/>
      <c r="K349" s="116"/>
      <c r="L349" s="58"/>
      <c r="M349" s="117"/>
      <c r="N349" s="8"/>
    </row>
    <row r="350" spans="1:15" x14ac:dyDescent="0.25">
      <c r="B350" s="11"/>
      <c r="C350" s="79"/>
      <c r="D350" s="79"/>
      <c r="E350" s="10"/>
      <c r="F350" s="11"/>
      <c r="G350" s="76"/>
      <c r="H350" s="76"/>
      <c r="I350" s="119"/>
      <c r="J350" s="58"/>
      <c r="K350" s="116"/>
      <c r="L350" s="58"/>
      <c r="M350" s="117"/>
      <c r="N350" s="8"/>
    </row>
    <row r="351" spans="1:15" ht="52" x14ac:dyDescent="0.3">
      <c r="A351" s="77" t="s">
        <v>51</v>
      </c>
      <c r="B351" s="77" t="s">
        <v>3</v>
      </c>
      <c r="C351" s="77" t="s">
        <v>4</v>
      </c>
      <c r="D351" s="77" t="s">
        <v>5</v>
      </c>
      <c r="E351" s="77" t="s">
        <v>6</v>
      </c>
      <c r="F351" s="77" t="s">
        <v>7</v>
      </c>
      <c r="G351" s="77" t="s">
        <v>92</v>
      </c>
      <c r="H351" s="77" t="s">
        <v>93</v>
      </c>
      <c r="I351" s="94" t="s">
        <v>94</v>
      </c>
      <c r="J351" s="95" t="s">
        <v>95</v>
      </c>
      <c r="K351" s="95" t="s">
        <v>96</v>
      </c>
      <c r="L351" s="95" t="s">
        <v>97</v>
      </c>
      <c r="M351" s="96" t="s">
        <v>98</v>
      </c>
      <c r="N351" s="77" t="s">
        <v>99</v>
      </c>
      <c r="O351" s="77" t="s">
        <v>100</v>
      </c>
    </row>
    <row r="352" spans="1:15" ht="13" x14ac:dyDescent="0.3">
      <c r="A352" s="347" t="s">
        <v>14</v>
      </c>
      <c r="B352" s="347"/>
      <c r="C352" s="73">
        <f>VLOOKUP(B353,A$1:F$25,2,FALSE)</f>
        <v>42068</v>
      </c>
      <c r="D352" s="73">
        <f>DATE(YEAR(C352),IF(MONTH(C352)&lt;=3,3,IF(MONTH(C352)&lt;=6,6,IF(MONTH(C352)&lt;=9,9,12))),IF(OR(MONTH(C352)&lt;=3,MONTH(C352)&gt;=10),31,30))</f>
        <v>42094</v>
      </c>
      <c r="E352" s="72">
        <f>D352-C352+1</f>
        <v>27</v>
      </c>
      <c r="F352" s="74">
        <f>VLOOKUP(D352,'FERC Interest Rate'!$A:$B,2,TRUE)</f>
        <v>3.2500000000000001E-2</v>
      </c>
      <c r="G352" s="75">
        <f>VLOOKUP(B353,$A$1:$F$29,5,FALSE)</f>
        <v>2274</v>
      </c>
      <c r="H352" s="75">
        <f t="shared" ref="H352:H359" si="162">G352*F352*(E352/(DATE(YEAR(D352),12,31)-DATE(YEAR(D352),1,1)+1))</f>
        <v>5.4669452054794521</v>
      </c>
      <c r="I352" s="180">
        <v>0</v>
      </c>
      <c r="J352" s="76">
        <v>0</v>
      </c>
      <c r="K352" s="116">
        <f>+SUM(I352:J352)</f>
        <v>0</v>
      </c>
      <c r="L352" s="76">
        <v>0</v>
      </c>
      <c r="M352" s="117">
        <f>+SUM(K352:L352)</f>
        <v>0</v>
      </c>
      <c r="N352" s="8">
        <f>+G352+H352+J352</f>
        <v>2279.4669452054795</v>
      </c>
      <c r="O352" s="75">
        <f t="shared" ref="O352:O378" si="163">G352+H352-L352-I352</f>
        <v>2279.4669452054795</v>
      </c>
    </row>
    <row r="353" spans="1:15" ht="13" x14ac:dyDescent="0.3">
      <c r="A353" s="110" t="s">
        <v>40</v>
      </c>
      <c r="B353" s="141" t="s">
        <v>61</v>
      </c>
      <c r="C353" s="73">
        <f>D352+1</f>
        <v>42095</v>
      </c>
      <c r="D353" s="73">
        <f>EOMONTH(D352,3)</f>
        <v>42185</v>
      </c>
      <c r="E353" s="72">
        <f t="shared" ref="E353:E378" si="164">D353-C353+1</f>
        <v>91</v>
      </c>
      <c r="F353" s="74">
        <f>VLOOKUP(D353,'FERC Interest Rate'!$A:$B,2,TRUE)</f>
        <v>3.2500000000000001E-2</v>
      </c>
      <c r="G353" s="75">
        <f t="shared" ref="G353:G378" si="165">O352</f>
        <v>2279.4669452054795</v>
      </c>
      <c r="H353" s="75">
        <f t="shared" si="162"/>
        <v>18.469927371082754</v>
      </c>
      <c r="I353" s="180">
        <v>0</v>
      </c>
      <c r="J353" s="76">
        <v>0</v>
      </c>
      <c r="K353" s="116">
        <f t="shared" ref="K353:K378" si="166">+SUM(I353:J353)</f>
        <v>0</v>
      </c>
      <c r="L353" s="76">
        <v>0</v>
      </c>
      <c r="M353" s="117">
        <f t="shared" ref="M353:M378" si="167">+SUM(K353:L353)</f>
        <v>0</v>
      </c>
      <c r="N353" s="8">
        <f t="shared" ref="N353:N378" si="168">+G353+H353+J353</f>
        <v>2297.9368725765621</v>
      </c>
      <c r="O353" s="75">
        <f t="shared" si="163"/>
        <v>2297.9368725765621</v>
      </c>
    </row>
    <row r="354" spans="1:15" ht="13" x14ac:dyDescent="0.3">
      <c r="B354" s="301"/>
      <c r="C354" s="73">
        <f t="shared" ref="C354:C378" si="169">D353+1</f>
        <v>42186</v>
      </c>
      <c r="D354" s="73">
        <f t="shared" ref="D354:D378" si="170">EOMONTH(D353,3)</f>
        <v>42277</v>
      </c>
      <c r="E354" s="72">
        <f t="shared" si="164"/>
        <v>92</v>
      </c>
      <c r="F354" s="74">
        <f>VLOOKUP(D354,'FERC Interest Rate'!$A:$B,2,TRUE)</f>
        <v>3.2500000000000001E-2</v>
      </c>
      <c r="G354" s="75">
        <f t="shared" si="165"/>
        <v>2297.9368725765621</v>
      </c>
      <c r="H354" s="75">
        <f t="shared" si="162"/>
        <v>18.82419520275047</v>
      </c>
      <c r="I354" s="180">
        <v>0</v>
      </c>
      <c r="J354" s="76">
        <v>0</v>
      </c>
      <c r="K354" s="116">
        <f t="shared" si="166"/>
        <v>0</v>
      </c>
      <c r="L354" s="76">
        <v>0</v>
      </c>
      <c r="M354" s="117">
        <f t="shared" si="167"/>
        <v>0</v>
      </c>
      <c r="N354" s="8">
        <f t="shared" si="168"/>
        <v>2316.7610677793127</v>
      </c>
      <c r="O354" s="75">
        <f t="shared" si="163"/>
        <v>2316.7610677793127</v>
      </c>
    </row>
    <row r="355" spans="1:15" ht="13" x14ac:dyDescent="0.3">
      <c r="B355" s="301"/>
      <c r="C355" s="73">
        <f t="shared" si="169"/>
        <v>42278</v>
      </c>
      <c r="D355" s="73">
        <f t="shared" si="170"/>
        <v>42369</v>
      </c>
      <c r="E355" s="72">
        <f t="shared" si="164"/>
        <v>92</v>
      </c>
      <c r="F355" s="74">
        <f>VLOOKUP(D355,'FERC Interest Rate'!$A:$B,2,TRUE)</f>
        <v>3.2500000000000001E-2</v>
      </c>
      <c r="G355" s="75">
        <f t="shared" si="165"/>
        <v>2316.7610677793127</v>
      </c>
      <c r="H355" s="75">
        <f t="shared" si="162"/>
        <v>18.978398884000399</v>
      </c>
      <c r="I355" s="180">
        <v>0</v>
      </c>
      <c r="J355" s="76">
        <v>0</v>
      </c>
      <c r="K355" s="116">
        <f t="shared" si="166"/>
        <v>0</v>
      </c>
      <c r="L355" s="76">
        <v>0</v>
      </c>
      <c r="M355" s="117">
        <f t="shared" si="167"/>
        <v>0</v>
      </c>
      <c r="N355" s="8">
        <f t="shared" si="168"/>
        <v>2335.7394666633131</v>
      </c>
      <c r="O355" s="75">
        <f t="shared" si="163"/>
        <v>2335.7394666633131</v>
      </c>
    </row>
    <row r="356" spans="1:15" ht="13" x14ac:dyDescent="0.3">
      <c r="B356" s="301"/>
      <c r="C356" s="73">
        <f t="shared" si="169"/>
        <v>42370</v>
      </c>
      <c r="D356" s="73">
        <f t="shared" si="170"/>
        <v>42460</v>
      </c>
      <c r="E356" s="72">
        <f t="shared" si="164"/>
        <v>91</v>
      </c>
      <c r="F356" s="74">
        <f>VLOOKUP(D356,'FERC Interest Rate'!$A:$B,2,TRUE)</f>
        <v>3.2500000000000001E-2</v>
      </c>
      <c r="G356" s="75">
        <f t="shared" si="165"/>
        <v>2335.7394666633131</v>
      </c>
      <c r="H356" s="75">
        <f t="shared" si="162"/>
        <v>18.874178887040298</v>
      </c>
      <c r="I356" s="180">
        <v>0</v>
      </c>
      <c r="J356" s="76">
        <v>0</v>
      </c>
      <c r="K356" s="116">
        <f t="shared" si="166"/>
        <v>0</v>
      </c>
      <c r="L356" s="76">
        <v>0</v>
      </c>
      <c r="M356" s="117">
        <f t="shared" si="167"/>
        <v>0</v>
      </c>
      <c r="N356" s="8">
        <f t="shared" si="168"/>
        <v>2354.6136455503533</v>
      </c>
      <c r="O356" s="75">
        <f t="shared" si="163"/>
        <v>2354.6136455503533</v>
      </c>
    </row>
    <row r="357" spans="1:15" ht="13" x14ac:dyDescent="0.3">
      <c r="B357" s="301"/>
      <c r="C357" s="73">
        <f t="shared" si="169"/>
        <v>42461</v>
      </c>
      <c r="D357" s="73">
        <f t="shared" si="170"/>
        <v>42551</v>
      </c>
      <c r="E357" s="72">
        <f t="shared" si="164"/>
        <v>91</v>
      </c>
      <c r="F357" s="74">
        <f>VLOOKUP(D357,'FERC Interest Rate'!$A:$B,2,TRUE)</f>
        <v>3.4599999999999999E-2</v>
      </c>
      <c r="G357" s="75">
        <f t="shared" si="165"/>
        <v>2354.6136455503533</v>
      </c>
      <c r="H357" s="75">
        <f t="shared" si="162"/>
        <v>20.256110722349295</v>
      </c>
      <c r="I357" s="180">
        <v>0</v>
      </c>
      <c r="J357" s="76">
        <v>0</v>
      </c>
      <c r="K357" s="116">
        <f t="shared" si="166"/>
        <v>0</v>
      </c>
      <c r="L357" s="76">
        <v>0</v>
      </c>
      <c r="M357" s="117">
        <f t="shared" si="167"/>
        <v>0</v>
      </c>
      <c r="N357" s="8">
        <f t="shared" si="168"/>
        <v>2374.8697562727025</v>
      </c>
      <c r="O357" s="75">
        <f t="shared" si="163"/>
        <v>2374.8697562727025</v>
      </c>
    </row>
    <row r="358" spans="1:15" ht="13" x14ac:dyDescent="0.3">
      <c r="B358" s="301"/>
      <c r="C358" s="73">
        <f t="shared" si="169"/>
        <v>42552</v>
      </c>
      <c r="D358" s="73">
        <f t="shared" si="170"/>
        <v>42643</v>
      </c>
      <c r="E358" s="72">
        <f t="shared" si="164"/>
        <v>92</v>
      </c>
      <c r="F358" s="74">
        <f>VLOOKUP(D358,'FERC Interest Rate'!$A:$B,2,TRUE)</f>
        <v>3.5000000000000003E-2</v>
      </c>
      <c r="G358" s="75">
        <f t="shared" si="165"/>
        <v>2374.8697562727025</v>
      </c>
      <c r="H358" s="75">
        <f t="shared" si="162"/>
        <v>20.893662883054926</v>
      </c>
      <c r="I358" s="180">
        <v>0</v>
      </c>
      <c r="J358" s="76">
        <v>0</v>
      </c>
      <c r="K358" s="116">
        <f t="shared" si="166"/>
        <v>0</v>
      </c>
      <c r="L358" s="76">
        <v>0</v>
      </c>
      <c r="M358" s="117">
        <f t="shared" si="167"/>
        <v>0</v>
      </c>
      <c r="N358" s="8">
        <f t="shared" si="168"/>
        <v>2395.7634191557572</v>
      </c>
      <c r="O358" s="75">
        <f t="shared" si="163"/>
        <v>2395.7634191557572</v>
      </c>
    </row>
    <row r="359" spans="1:15" x14ac:dyDescent="0.25">
      <c r="A359" s="17" t="s">
        <v>52</v>
      </c>
      <c r="B359" s="72" t="str">
        <f t="shared" ref="B359:B373" si="171">+IF(MONTH(C359)&lt;4,"Q1",IF(MONTH(C359)&lt;7,"Q2",IF(MONTH(C359)&lt;10,"Q3","Q4")))&amp;"/"&amp;YEAR(C359)</f>
        <v>Q4/2016</v>
      </c>
      <c r="C359" s="73">
        <f t="shared" si="169"/>
        <v>42644</v>
      </c>
      <c r="D359" s="73">
        <f t="shared" si="170"/>
        <v>42735</v>
      </c>
      <c r="E359" s="72">
        <f t="shared" si="164"/>
        <v>92</v>
      </c>
      <c r="F359" s="74">
        <f>VLOOKUP(D359,'FERC Interest Rate'!$A:$B,2,TRUE)</f>
        <v>3.5000000000000003E-2</v>
      </c>
      <c r="G359" s="75">
        <f t="shared" si="165"/>
        <v>2395.7634191557572</v>
      </c>
      <c r="H359" s="75">
        <f t="shared" si="162"/>
        <v>21.07748144721732</v>
      </c>
      <c r="I359" s="180">
        <f t="shared" ref="I359:I378" si="172">(SUM($H$352:$H$379)/20)</f>
        <v>7.1420450301487453</v>
      </c>
      <c r="J359" s="76">
        <v>0</v>
      </c>
      <c r="K359" s="116">
        <f>+SUM(I359:J359)</f>
        <v>7.1420450301487453</v>
      </c>
      <c r="L359" s="76">
        <f t="shared" ref="L359:L378" si="173">VLOOKUP($B$353,A$1:F$25,5,FALSE)/20</f>
        <v>113.7</v>
      </c>
      <c r="M359" s="117">
        <f>+SUM(K359:L359)</f>
        <v>120.84204503014875</v>
      </c>
      <c r="N359" s="8">
        <f t="shared" si="168"/>
        <v>2416.8409006029747</v>
      </c>
      <c r="O359" s="75">
        <f t="shared" si="163"/>
        <v>2295.998855572826</v>
      </c>
    </row>
    <row r="360" spans="1:15" x14ac:dyDescent="0.25">
      <c r="A360" s="17" t="s">
        <v>53</v>
      </c>
      <c r="B360" s="72" t="str">
        <f t="shared" si="171"/>
        <v>Q1/2017</v>
      </c>
      <c r="C360" s="73">
        <f t="shared" si="169"/>
        <v>42736</v>
      </c>
      <c r="D360" s="73">
        <f t="shared" si="170"/>
        <v>42825</v>
      </c>
      <c r="E360" s="72">
        <f t="shared" si="164"/>
        <v>90</v>
      </c>
      <c r="F360" s="74">
        <f>VLOOKUP(D360,'FERC Interest Rate'!$A:$B,2,TRUE)</f>
        <v>3.5000000000000003E-2</v>
      </c>
      <c r="G360" s="75">
        <f t="shared" si="165"/>
        <v>2295.998855572826</v>
      </c>
      <c r="H360" s="75">
        <v>0</v>
      </c>
      <c r="I360" s="99">
        <f t="shared" si="172"/>
        <v>7.1420450301487453</v>
      </c>
      <c r="J360" s="76">
        <f>G360*F360*(E360/(DATE(YEAR(D360),12,31)-DATE(YEAR(D360),1,1)+1))</f>
        <v>19.814784643984662</v>
      </c>
      <c r="K360" s="116">
        <f>+SUM(I360:J360)</f>
        <v>26.956829674133409</v>
      </c>
      <c r="L360" s="76">
        <f t="shared" si="173"/>
        <v>113.7</v>
      </c>
      <c r="M360" s="117">
        <f>+SUM(K360:L360)</f>
        <v>140.65682967413341</v>
      </c>
      <c r="N360" s="8">
        <f t="shared" si="168"/>
        <v>2315.8136402168107</v>
      </c>
      <c r="O360" s="75">
        <f t="shared" si="163"/>
        <v>2175.1568105426772</v>
      </c>
    </row>
    <row r="361" spans="1:15" x14ac:dyDescent="0.25">
      <c r="A361" s="17" t="s">
        <v>54</v>
      </c>
      <c r="B361" s="72" t="str">
        <f t="shared" si="171"/>
        <v>Q2/2017</v>
      </c>
      <c r="C361" s="73">
        <f t="shared" si="169"/>
        <v>42826</v>
      </c>
      <c r="D361" s="73">
        <f t="shared" si="170"/>
        <v>42916</v>
      </c>
      <c r="E361" s="72">
        <f t="shared" si="164"/>
        <v>91</v>
      </c>
      <c r="F361" s="74">
        <f>VLOOKUP(D361,'FERC Interest Rate'!$A:$B,2,TRUE)</f>
        <v>3.7100000000000001E-2</v>
      </c>
      <c r="G361" s="75">
        <f t="shared" si="165"/>
        <v>2175.1568105426772</v>
      </c>
      <c r="H361" s="75">
        <v>0</v>
      </c>
      <c r="I361" s="180">
        <f t="shared" si="172"/>
        <v>7.1420450301487453</v>
      </c>
      <c r="J361" s="76">
        <f>G361*F361*(E361/(DATE(YEAR(D361),12,31)-DATE(YEAR(D361),1,1)+1))</f>
        <v>20.119306597460636</v>
      </c>
      <c r="K361" s="116">
        <f t="shared" si="166"/>
        <v>27.261351627609379</v>
      </c>
      <c r="L361" s="76">
        <f t="shared" si="173"/>
        <v>113.7</v>
      </c>
      <c r="M361" s="117">
        <f t="shared" si="167"/>
        <v>140.96135162760939</v>
      </c>
      <c r="N361" s="8">
        <f t="shared" si="168"/>
        <v>2195.276117140138</v>
      </c>
      <c r="O361" s="75">
        <f t="shared" si="163"/>
        <v>2054.3147655125285</v>
      </c>
    </row>
    <row r="362" spans="1:15" x14ac:dyDescent="0.25">
      <c r="A362" s="17" t="s">
        <v>55</v>
      </c>
      <c r="B362" s="72" t="str">
        <f t="shared" si="171"/>
        <v>Q3/2017</v>
      </c>
      <c r="C362" s="73">
        <f t="shared" si="169"/>
        <v>42917</v>
      </c>
      <c r="D362" s="73">
        <f t="shared" si="170"/>
        <v>43008</v>
      </c>
      <c r="E362" s="72">
        <f t="shared" si="164"/>
        <v>92</v>
      </c>
      <c r="F362" s="74">
        <f>VLOOKUP(D362,'FERC Interest Rate'!$A:$B,2,TRUE)</f>
        <v>3.9600000000000003E-2</v>
      </c>
      <c r="G362" s="75">
        <f t="shared" si="165"/>
        <v>2054.3147655125285</v>
      </c>
      <c r="H362" s="75">
        <v>0</v>
      </c>
      <c r="I362" s="99">
        <f t="shared" si="172"/>
        <v>7.1420450301487453</v>
      </c>
      <c r="J362" s="76">
        <f>G362*F362*(E362/(DATE(YEAR(D362),12,31)-DATE(YEAR(D362),1,1)+1))</f>
        <v>20.504875489630809</v>
      </c>
      <c r="K362" s="116">
        <f t="shared" si="166"/>
        <v>27.646920519779556</v>
      </c>
      <c r="L362" s="76">
        <f t="shared" si="173"/>
        <v>113.7</v>
      </c>
      <c r="M362" s="117">
        <f t="shared" si="167"/>
        <v>141.34692051977956</v>
      </c>
      <c r="N362" s="8">
        <f t="shared" si="168"/>
        <v>2074.8196410021592</v>
      </c>
      <c r="O362" s="75">
        <f t="shared" si="163"/>
        <v>1933.4727204823798</v>
      </c>
    </row>
    <row r="363" spans="1:15" x14ac:dyDescent="0.25">
      <c r="A363" s="17" t="s">
        <v>56</v>
      </c>
      <c r="B363" s="72" t="str">
        <f t="shared" si="171"/>
        <v>Q4/2017</v>
      </c>
      <c r="C363" s="73">
        <f t="shared" si="169"/>
        <v>43009</v>
      </c>
      <c r="D363" s="73">
        <f t="shared" si="170"/>
        <v>43100</v>
      </c>
      <c r="E363" s="72">
        <f t="shared" si="164"/>
        <v>92</v>
      </c>
      <c r="F363" s="74">
        <f>VLOOKUP(D363,'FERC Interest Rate'!$A:$B,2,TRUE)</f>
        <v>4.2099999999999999E-2</v>
      </c>
      <c r="G363" s="75">
        <f t="shared" si="165"/>
        <v>1933.4727204823798</v>
      </c>
      <c r="H363" s="75">
        <v>0</v>
      </c>
      <c r="I363" s="99">
        <f t="shared" si="172"/>
        <v>7.1420450301487453</v>
      </c>
      <c r="J363" s="76">
        <f t="shared" ref="J363:J378" si="174">G363*F363*(E363/(DATE(YEAR(D363),12,31)-DATE(YEAR(D363),1,1)+1))</f>
        <v>20.517059016362612</v>
      </c>
      <c r="K363" s="116">
        <f t="shared" si="166"/>
        <v>27.659104046511359</v>
      </c>
      <c r="L363" s="76">
        <f t="shared" si="173"/>
        <v>113.7</v>
      </c>
      <c r="M363" s="117">
        <f t="shared" si="167"/>
        <v>141.35910404651136</v>
      </c>
      <c r="N363" s="8">
        <f t="shared" si="168"/>
        <v>1953.9897794987423</v>
      </c>
      <c r="O363" s="75">
        <f t="shared" si="163"/>
        <v>1812.6306754522311</v>
      </c>
    </row>
    <row r="364" spans="1:15" x14ac:dyDescent="0.25">
      <c r="A364" s="17" t="s">
        <v>57</v>
      </c>
      <c r="B364" s="72" t="str">
        <f t="shared" si="171"/>
        <v>Q1/2018</v>
      </c>
      <c r="C364" s="73">
        <f t="shared" si="169"/>
        <v>43101</v>
      </c>
      <c r="D364" s="73">
        <f t="shared" si="170"/>
        <v>43190</v>
      </c>
      <c r="E364" s="72">
        <f t="shared" si="164"/>
        <v>90</v>
      </c>
      <c r="F364" s="74">
        <f>VLOOKUP(D364,'FERC Interest Rate'!$A:$B,2,TRUE)</f>
        <v>4.2500000000000003E-2</v>
      </c>
      <c r="G364" s="75">
        <f t="shared" si="165"/>
        <v>1812.6306754522311</v>
      </c>
      <c r="H364" s="75">
        <v>0</v>
      </c>
      <c r="I364" s="99">
        <f t="shared" si="172"/>
        <v>7.1420450301487453</v>
      </c>
      <c r="J364" s="76">
        <f t="shared" si="174"/>
        <v>18.995376256451461</v>
      </c>
      <c r="K364" s="116">
        <f t="shared" si="166"/>
        <v>26.137421286600208</v>
      </c>
      <c r="L364" s="76">
        <f t="shared" si="173"/>
        <v>113.7</v>
      </c>
      <c r="M364" s="117">
        <f t="shared" si="167"/>
        <v>139.8374212866002</v>
      </c>
      <c r="N364" s="8">
        <f t="shared" si="168"/>
        <v>1831.6260517086826</v>
      </c>
      <c r="O364" s="75">
        <f t="shared" si="163"/>
        <v>1691.7886304220824</v>
      </c>
    </row>
    <row r="365" spans="1:15" x14ac:dyDescent="0.25">
      <c r="A365" s="17" t="s">
        <v>58</v>
      </c>
      <c r="B365" s="72" t="str">
        <f t="shared" si="171"/>
        <v>Q2/2018</v>
      </c>
      <c r="C365" s="73">
        <f t="shared" si="169"/>
        <v>43191</v>
      </c>
      <c r="D365" s="73">
        <f t="shared" si="170"/>
        <v>43281</v>
      </c>
      <c r="E365" s="72">
        <f t="shared" si="164"/>
        <v>91</v>
      </c>
      <c r="F365" s="74">
        <f>VLOOKUP(D365,'FERC Interest Rate'!$A:$B,2,TRUE)</f>
        <v>4.4699999999999997E-2</v>
      </c>
      <c r="G365" s="75">
        <f t="shared" si="165"/>
        <v>1691.7886304220824</v>
      </c>
      <c r="H365" s="75">
        <v>0</v>
      </c>
      <c r="I365" s="99">
        <f t="shared" si="172"/>
        <v>7.1420450301487453</v>
      </c>
      <c r="J365" s="76">
        <f t="shared" si="174"/>
        <v>18.853941402651792</v>
      </c>
      <c r="K365" s="116">
        <f t="shared" si="166"/>
        <v>25.995986432800535</v>
      </c>
      <c r="L365" s="76">
        <f t="shared" si="173"/>
        <v>113.7</v>
      </c>
      <c r="M365" s="117">
        <f t="shared" si="167"/>
        <v>139.69598643280054</v>
      </c>
      <c r="N365" s="8">
        <f t="shared" si="168"/>
        <v>1710.6425718247342</v>
      </c>
      <c r="O365" s="75">
        <f t="shared" si="163"/>
        <v>1570.9465853919337</v>
      </c>
    </row>
    <row r="366" spans="1:15" x14ac:dyDescent="0.25">
      <c r="A366" s="17" t="s">
        <v>59</v>
      </c>
      <c r="B366" s="72" t="str">
        <f t="shared" si="171"/>
        <v>Q3/2018</v>
      </c>
      <c r="C366" s="73">
        <f t="shared" si="169"/>
        <v>43282</v>
      </c>
      <c r="D366" s="73">
        <f t="shared" si="170"/>
        <v>43373</v>
      </c>
      <c r="E366" s="72">
        <f t="shared" si="164"/>
        <v>92</v>
      </c>
      <c r="F366" s="74">
        <f>VLOOKUP(D366,'FERC Interest Rate'!$A:$B,2,TRUE)</f>
        <v>4.6899999999999997E-2</v>
      </c>
      <c r="G366" s="75">
        <f t="shared" si="165"/>
        <v>1570.9465853919337</v>
      </c>
      <c r="H366" s="75">
        <v>0</v>
      </c>
      <c r="I366" s="99">
        <f t="shared" si="172"/>
        <v>7.1420450301487453</v>
      </c>
      <c r="J366" s="76">
        <f t="shared" si="174"/>
        <v>18.570740620956482</v>
      </c>
      <c r="K366" s="116">
        <f t="shared" si="166"/>
        <v>25.712785651105229</v>
      </c>
      <c r="L366" s="76">
        <f t="shared" si="173"/>
        <v>113.7</v>
      </c>
      <c r="M366" s="117">
        <f t="shared" si="167"/>
        <v>139.41278565110522</v>
      </c>
      <c r="N366" s="8">
        <f t="shared" si="168"/>
        <v>1589.5173260128902</v>
      </c>
      <c r="O366" s="75">
        <f t="shared" si="163"/>
        <v>1450.104540361785</v>
      </c>
    </row>
    <row r="367" spans="1:15" x14ac:dyDescent="0.25">
      <c r="A367" s="17" t="s">
        <v>60</v>
      </c>
      <c r="B367" s="72" t="str">
        <f t="shared" si="171"/>
        <v>Q4/2018</v>
      </c>
      <c r="C367" s="73">
        <f t="shared" si="169"/>
        <v>43374</v>
      </c>
      <c r="D367" s="73">
        <f t="shared" si="170"/>
        <v>43465</v>
      </c>
      <c r="E367" s="72">
        <f t="shared" si="164"/>
        <v>92</v>
      </c>
      <c r="F367" s="74">
        <f>VLOOKUP(D367,'FERC Interest Rate'!$A:$B,2,TRUE)</f>
        <v>4.9599999999999998E-2</v>
      </c>
      <c r="G367" s="75">
        <f t="shared" si="165"/>
        <v>1450.104540361785</v>
      </c>
      <c r="H367" s="75">
        <v>0</v>
      </c>
      <c r="I367" s="99">
        <f t="shared" si="172"/>
        <v>7.1420450301487453</v>
      </c>
      <c r="J367" s="76">
        <f t="shared" si="174"/>
        <v>18.129087776928486</v>
      </c>
      <c r="K367" s="116">
        <f t="shared" si="166"/>
        <v>25.27113280707723</v>
      </c>
      <c r="L367" s="76">
        <f t="shared" si="173"/>
        <v>113.7</v>
      </c>
      <c r="M367" s="117">
        <f t="shared" si="167"/>
        <v>138.97113280707723</v>
      </c>
      <c r="N367" s="8">
        <f t="shared" si="168"/>
        <v>1468.2336281387134</v>
      </c>
      <c r="O367" s="75">
        <f t="shared" si="163"/>
        <v>1329.2624953316363</v>
      </c>
    </row>
    <row r="368" spans="1:15" x14ac:dyDescent="0.25">
      <c r="A368" s="17" t="s">
        <v>61</v>
      </c>
      <c r="B368" s="72" t="str">
        <f t="shared" si="171"/>
        <v>Q1/2019</v>
      </c>
      <c r="C368" s="73">
        <f t="shared" si="169"/>
        <v>43466</v>
      </c>
      <c r="D368" s="73">
        <f t="shared" si="170"/>
        <v>43555</v>
      </c>
      <c r="E368" s="72">
        <f t="shared" si="164"/>
        <v>90</v>
      </c>
      <c r="F368" s="74">
        <f>VLOOKUP(D368,'FERC Interest Rate'!$A:$B,2,TRUE)</f>
        <v>5.1799999999999999E-2</v>
      </c>
      <c r="G368" s="75">
        <f t="shared" si="165"/>
        <v>1329.2624953316363</v>
      </c>
      <c r="H368" s="75">
        <v>0</v>
      </c>
      <c r="I368" s="99">
        <f t="shared" si="172"/>
        <v>7.1420450301487453</v>
      </c>
      <c r="J368" s="76">
        <f t="shared" si="174"/>
        <v>16.978141789687911</v>
      </c>
      <c r="K368" s="116">
        <f t="shared" si="166"/>
        <v>24.120186819836654</v>
      </c>
      <c r="L368" s="76">
        <f t="shared" si="173"/>
        <v>113.7</v>
      </c>
      <c r="M368" s="117">
        <f t="shared" si="167"/>
        <v>137.82018681983666</v>
      </c>
      <c r="N368" s="8">
        <f t="shared" si="168"/>
        <v>1346.2406371213242</v>
      </c>
      <c r="O368" s="75">
        <f t="shared" si="163"/>
        <v>1208.4204503014876</v>
      </c>
    </row>
    <row r="369" spans="1:15" x14ac:dyDescent="0.25">
      <c r="A369" s="17" t="s">
        <v>62</v>
      </c>
      <c r="B369" s="72" t="str">
        <f t="shared" si="171"/>
        <v>Q2/2019</v>
      </c>
      <c r="C369" s="73">
        <f t="shared" si="169"/>
        <v>43556</v>
      </c>
      <c r="D369" s="73">
        <f t="shared" si="170"/>
        <v>43646</v>
      </c>
      <c r="E369" s="72">
        <f t="shared" si="164"/>
        <v>91</v>
      </c>
      <c r="F369" s="74">
        <f>VLOOKUP(D369,'FERC Interest Rate'!$A:$B,2,TRUE)</f>
        <v>5.45E-2</v>
      </c>
      <c r="G369" s="75">
        <f t="shared" si="165"/>
        <v>1208.4204503014876</v>
      </c>
      <c r="H369" s="75">
        <v>0</v>
      </c>
      <c r="I369" s="99">
        <f t="shared" si="172"/>
        <v>7.1420450301487453</v>
      </c>
      <c r="J369" s="76">
        <f t="shared" si="174"/>
        <v>16.419619789781446</v>
      </c>
      <c r="K369" s="116">
        <f t="shared" si="166"/>
        <v>23.561664819930193</v>
      </c>
      <c r="L369" s="76">
        <f t="shared" si="173"/>
        <v>113.7</v>
      </c>
      <c r="M369" s="117">
        <f t="shared" si="167"/>
        <v>137.26166481993019</v>
      </c>
      <c r="N369" s="8">
        <f t="shared" si="168"/>
        <v>1224.8400700912689</v>
      </c>
      <c r="O369" s="75">
        <f t="shared" si="163"/>
        <v>1087.5784052713389</v>
      </c>
    </row>
    <row r="370" spans="1:15" x14ac:dyDescent="0.25">
      <c r="A370" s="17" t="s">
        <v>63</v>
      </c>
      <c r="B370" s="72" t="str">
        <f t="shared" si="171"/>
        <v>Q3/2019</v>
      </c>
      <c r="C370" s="73">
        <f t="shared" si="169"/>
        <v>43647</v>
      </c>
      <c r="D370" s="73">
        <f t="shared" si="170"/>
        <v>43738</v>
      </c>
      <c r="E370" s="72">
        <f t="shared" si="164"/>
        <v>92</v>
      </c>
      <c r="F370" s="74">
        <f>VLOOKUP(D370,'FERC Interest Rate'!$A:$B,2,TRUE)</f>
        <v>5.5E-2</v>
      </c>
      <c r="G370" s="75">
        <f t="shared" si="165"/>
        <v>1087.5784052713389</v>
      </c>
      <c r="H370" s="75">
        <v>0</v>
      </c>
      <c r="I370" s="99">
        <f t="shared" si="172"/>
        <v>7.1420450301487453</v>
      </c>
      <c r="J370" s="76">
        <f t="shared" si="174"/>
        <v>15.077114330610891</v>
      </c>
      <c r="K370" s="116">
        <f t="shared" si="166"/>
        <v>22.219159360759637</v>
      </c>
      <c r="L370" s="76">
        <f t="shared" si="173"/>
        <v>113.7</v>
      </c>
      <c r="M370" s="117">
        <f t="shared" si="167"/>
        <v>135.91915936075964</v>
      </c>
      <c r="N370" s="8">
        <f t="shared" si="168"/>
        <v>1102.6555196019497</v>
      </c>
      <c r="O370" s="75">
        <f t="shared" si="163"/>
        <v>966.73636024119003</v>
      </c>
    </row>
    <row r="371" spans="1:15" x14ac:dyDescent="0.25">
      <c r="A371" s="17" t="s">
        <v>64</v>
      </c>
      <c r="B371" s="72" t="str">
        <f t="shared" si="171"/>
        <v>Q4/2019</v>
      </c>
      <c r="C371" s="73">
        <f t="shared" si="169"/>
        <v>43739</v>
      </c>
      <c r="D371" s="73">
        <f t="shared" si="170"/>
        <v>43830</v>
      </c>
      <c r="E371" s="72">
        <f t="shared" si="164"/>
        <v>92</v>
      </c>
      <c r="F371" s="74">
        <f>VLOOKUP(D371,'FERC Interest Rate'!$A:$B,2,TRUE)</f>
        <v>5.4199999999999998E-2</v>
      </c>
      <c r="G371" s="75">
        <f t="shared" si="165"/>
        <v>966.73636024119003</v>
      </c>
      <c r="H371" s="75">
        <v>0</v>
      </c>
      <c r="I371" s="99">
        <f t="shared" si="172"/>
        <v>7.1420450301487453</v>
      </c>
      <c r="J371" s="76">
        <f t="shared" si="174"/>
        <v>13.206942977278549</v>
      </c>
      <c r="K371" s="116">
        <f t="shared" si="166"/>
        <v>20.348988007427295</v>
      </c>
      <c r="L371" s="76">
        <f t="shared" si="173"/>
        <v>113.7</v>
      </c>
      <c r="M371" s="117">
        <f t="shared" si="167"/>
        <v>134.04898800742728</v>
      </c>
      <c r="N371" s="8">
        <f t="shared" si="168"/>
        <v>979.9433032184686</v>
      </c>
      <c r="O371" s="75">
        <f t="shared" si="163"/>
        <v>845.8943152110412</v>
      </c>
    </row>
    <row r="372" spans="1:15" x14ac:dyDescent="0.25">
      <c r="A372" s="17" t="s">
        <v>65</v>
      </c>
      <c r="B372" s="72" t="str">
        <f t="shared" si="171"/>
        <v>Q1/2020</v>
      </c>
      <c r="C372" s="73">
        <f t="shared" si="169"/>
        <v>43831</v>
      </c>
      <c r="D372" s="73">
        <f t="shared" si="170"/>
        <v>43921</v>
      </c>
      <c r="E372" s="72">
        <f t="shared" si="164"/>
        <v>91</v>
      </c>
      <c r="F372" s="74">
        <f>VLOOKUP(D372,'FERC Interest Rate'!$A:$B,2,TRUE)</f>
        <v>4.9599999999999998E-2</v>
      </c>
      <c r="G372" s="75">
        <f t="shared" si="165"/>
        <v>845.8943152110412</v>
      </c>
      <c r="H372" s="75">
        <v>0</v>
      </c>
      <c r="I372" s="99">
        <f t="shared" si="172"/>
        <v>7.1420450301487453</v>
      </c>
      <c r="J372" s="76">
        <f t="shared" si="174"/>
        <v>10.431772079608075</v>
      </c>
      <c r="K372" s="116">
        <f t="shared" si="166"/>
        <v>17.573817109756821</v>
      </c>
      <c r="L372" s="76">
        <f t="shared" si="173"/>
        <v>113.7</v>
      </c>
      <c r="M372" s="117">
        <f t="shared" si="167"/>
        <v>131.27381710975683</v>
      </c>
      <c r="N372" s="8">
        <f t="shared" si="168"/>
        <v>856.3260872906493</v>
      </c>
      <c r="O372" s="75">
        <f t="shared" si="163"/>
        <v>725.05227018089238</v>
      </c>
    </row>
    <row r="373" spans="1:15" x14ac:dyDescent="0.25">
      <c r="A373" s="17" t="s">
        <v>66</v>
      </c>
      <c r="B373" s="72" t="str">
        <f t="shared" si="171"/>
        <v>Q2/2020</v>
      </c>
      <c r="C373" s="73">
        <f t="shared" si="169"/>
        <v>43922</v>
      </c>
      <c r="D373" s="73">
        <f t="shared" si="170"/>
        <v>44012</v>
      </c>
      <c r="E373" s="72">
        <f t="shared" si="164"/>
        <v>91</v>
      </c>
      <c r="F373" s="74">
        <f>VLOOKUP(D373,'FERC Interest Rate'!$A:$B,2,TRUE)</f>
        <v>4.7503500000000004E-2</v>
      </c>
      <c r="G373" s="75">
        <f t="shared" si="165"/>
        <v>725.05227018089238</v>
      </c>
      <c r="H373" s="75">
        <v>0</v>
      </c>
      <c r="I373" s="99">
        <f t="shared" si="172"/>
        <v>7.1420450301487453</v>
      </c>
      <c r="J373" s="76">
        <f t="shared" si="174"/>
        <v>8.5635775054780332</v>
      </c>
      <c r="K373" s="116">
        <f t="shared" si="166"/>
        <v>15.705622535626778</v>
      </c>
      <c r="L373" s="76">
        <f t="shared" si="173"/>
        <v>113.7</v>
      </c>
      <c r="M373" s="117">
        <f t="shared" si="167"/>
        <v>129.40562253562678</v>
      </c>
      <c r="N373" s="8">
        <f t="shared" si="168"/>
        <v>733.61584768637044</v>
      </c>
      <c r="O373" s="75">
        <f t="shared" si="163"/>
        <v>604.21022515074355</v>
      </c>
    </row>
    <row r="374" spans="1:15" x14ac:dyDescent="0.25">
      <c r="A374" s="17" t="s">
        <v>67</v>
      </c>
      <c r="B374" s="72" t="str">
        <f>+IF(MONTH(C374)&lt;4,"Q1",IF(MONTH(C374)&lt;7,"Q2",IF(MONTH(C374)&lt;10,"Q3","Q4")))&amp;"/"&amp;YEAR(C374)</f>
        <v>Q3/2020</v>
      </c>
      <c r="C374" s="73">
        <f t="shared" si="169"/>
        <v>44013</v>
      </c>
      <c r="D374" s="73">
        <f t="shared" si="170"/>
        <v>44104</v>
      </c>
      <c r="E374" s="72">
        <f t="shared" si="164"/>
        <v>92</v>
      </c>
      <c r="F374" s="74">
        <f>VLOOKUP(D374,'FERC Interest Rate'!$A:$B,2,TRUE)</f>
        <v>4.7507929999999997E-2</v>
      </c>
      <c r="G374" s="75">
        <f t="shared" si="165"/>
        <v>604.21022515074355</v>
      </c>
      <c r="H374" s="75">
        <v>0</v>
      </c>
      <c r="I374" s="99">
        <f t="shared" si="172"/>
        <v>7.1420450301487453</v>
      </c>
      <c r="J374" s="76">
        <f t="shared" si="174"/>
        <v>7.2154084467776238</v>
      </c>
      <c r="K374" s="116">
        <f t="shared" si="166"/>
        <v>14.35745347692637</v>
      </c>
      <c r="L374" s="76">
        <f t="shared" si="173"/>
        <v>113.7</v>
      </c>
      <c r="M374" s="117">
        <f t="shared" si="167"/>
        <v>128.05745347692638</v>
      </c>
      <c r="N374" s="8">
        <f t="shared" si="168"/>
        <v>611.42563359752114</v>
      </c>
      <c r="O374" s="75">
        <f t="shared" si="163"/>
        <v>483.36818012059484</v>
      </c>
    </row>
    <row r="375" spans="1:15" x14ac:dyDescent="0.25">
      <c r="A375" s="17" t="s">
        <v>68</v>
      </c>
      <c r="B375" s="72" t="str">
        <f>+IF(MONTH(C375)&lt;4,"Q1",IF(MONTH(C375)&lt;7,"Q2",IF(MONTH(C375)&lt;10,"Q3","Q4")))&amp;"/"&amp;YEAR(C375)</f>
        <v>Q4/2020</v>
      </c>
      <c r="C375" s="73">
        <f t="shared" si="169"/>
        <v>44105</v>
      </c>
      <c r="D375" s="73">
        <f t="shared" si="170"/>
        <v>44196</v>
      </c>
      <c r="E375" s="72">
        <f t="shared" si="164"/>
        <v>92</v>
      </c>
      <c r="F375" s="74">
        <f>VLOOKUP(D375,'FERC Interest Rate'!$A:$B,2,TRUE)</f>
        <v>4.7922320000000004E-2</v>
      </c>
      <c r="G375" s="75">
        <f t="shared" si="165"/>
        <v>483.36818012059484</v>
      </c>
      <c r="H375" s="75">
        <v>0</v>
      </c>
      <c r="I375" s="99">
        <f t="shared" si="172"/>
        <v>7.1420450301487453</v>
      </c>
      <c r="J375" s="76">
        <f t="shared" si="174"/>
        <v>5.8226761303585368</v>
      </c>
      <c r="K375" s="116">
        <f t="shared" si="166"/>
        <v>12.964721160507281</v>
      </c>
      <c r="L375" s="76">
        <f t="shared" si="173"/>
        <v>113.7</v>
      </c>
      <c r="M375" s="117">
        <f t="shared" si="167"/>
        <v>126.66472116050728</v>
      </c>
      <c r="N375" s="8">
        <f t="shared" si="168"/>
        <v>489.1908562509534</v>
      </c>
      <c r="O375" s="75">
        <f t="shared" si="163"/>
        <v>362.52613509044613</v>
      </c>
    </row>
    <row r="376" spans="1:15" x14ac:dyDescent="0.25">
      <c r="A376" s="17" t="s">
        <v>69</v>
      </c>
      <c r="B376" s="72" t="str">
        <f>+IF(MONTH(C376)&lt;4,"Q1",IF(MONTH(C376)&lt;7,"Q2",IF(MONTH(C376)&lt;10,"Q3","Q4")))&amp;"/"&amp;YEAR(C376)</f>
        <v>Q1/2021</v>
      </c>
      <c r="C376" s="73">
        <f t="shared" si="169"/>
        <v>44197</v>
      </c>
      <c r="D376" s="73">
        <f t="shared" si="170"/>
        <v>44286</v>
      </c>
      <c r="E376" s="72">
        <f t="shared" si="164"/>
        <v>90</v>
      </c>
      <c r="F376" s="74">
        <f>VLOOKUP(D376,'FERC Interest Rate'!$A:$B,2,TRUE)</f>
        <v>5.0023470000000007E-2</v>
      </c>
      <c r="G376" s="75">
        <f t="shared" si="165"/>
        <v>362.52613509044613</v>
      </c>
      <c r="H376" s="75">
        <v>0</v>
      </c>
      <c r="I376" s="99">
        <f t="shared" si="172"/>
        <v>7.1420450301487453</v>
      </c>
      <c r="J376" s="76">
        <f t="shared" si="174"/>
        <v>4.4715982790744091</v>
      </c>
      <c r="K376" s="116">
        <f t="shared" si="166"/>
        <v>11.613643309223153</v>
      </c>
      <c r="L376" s="76">
        <f t="shared" si="173"/>
        <v>113.7</v>
      </c>
      <c r="M376" s="117">
        <f t="shared" si="167"/>
        <v>125.31364330922315</v>
      </c>
      <c r="N376" s="8">
        <f t="shared" si="168"/>
        <v>366.99773336952052</v>
      </c>
      <c r="O376" s="75">
        <f t="shared" si="163"/>
        <v>241.68409006029739</v>
      </c>
    </row>
    <row r="377" spans="1:15" x14ac:dyDescent="0.25">
      <c r="A377" s="17" t="s">
        <v>70</v>
      </c>
      <c r="B377" s="72" t="str">
        <f>+IF(MONTH(C377)&lt;4,"Q1",IF(MONTH(C377)&lt;7,"Q2",IF(MONTH(C377)&lt;10,"Q3","Q4")))&amp;"/"&amp;YEAR(C377)</f>
        <v>Q2/2021</v>
      </c>
      <c r="C377" s="73">
        <f t="shared" si="169"/>
        <v>44287</v>
      </c>
      <c r="D377" s="73">
        <f t="shared" si="170"/>
        <v>44377</v>
      </c>
      <c r="E377" s="72">
        <f t="shared" si="164"/>
        <v>91</v>
      </c>
      <c r="F377" s="74">
        <f>VLOOKUP(D377,'FERC Interest Rate'!$A:$B,2,TRUE)</f>
        <v>5.0403730000000001E-2</v>
      </c>
      <c r="G377" s="75">
        <f t="shared" si="165"/>
        <v>241.68409006029739</v>
      </c>
      <c r="H377" s="75">
        <v>0</v>
      </c>
      <c r="I377" s="99">
        <f t="shared" si="172"/>
        <v>7.1420450301487453</v>
      </c>
      <c r="J377" s="76">
        <f t="shared" si="174"/>
        <v>3.0371012205020196</v>
      </c>
      <c r="K377" s="116">
        <f t="shared" si="166"/>
        <v>10.179146250650765</v>
      </c>
      <c r="L377" s="76">
        <f t="shared" si="173"/>
        <v>113.7</v>
      </c>
      <c r="M377" s="117">
        <f t="shared" si="167"/>
        <v>123.87914625065076</v>
      </c>
      <c r="N377" s="8">
        <f t="shared" si="168"/>
        <v>244.72119128079942</v>
      </c>
      <c r="O377" s="75">
        <f t="shared" si="163"/>
        <v>120.84204503014864</v>
      </c>
    </row>
    <row r="378" spans="1:15" x14ac:dyDescent="0.25">
      <c r="A378" s="17" t="s">
        <v>71</v>
      </c>
      <c r="B378" s="72" t="str">
        <f>+IF(MONTH(C378)&lt;4,"Q1",IF(MONTH(C378)&lt;7,"Q2",IF(MONTH(C378)&lt;10,"Q3","Q4")))&amp;"/"&amp;YEAR(C378)</f>
        <v>Q3/2021</v>
      </c>
      <c r="C378" s="73">
        <f t="shared" si="169"/>
        <v>44378</v>
      </c>
      <c r="D378" s="73">
        <f t="shared" si="170"/>
        <v>44469</v>
      </c>
      <c r="E378" s="72">
        <f t="shared" si="164"/>
        <v>92</v>
      </c>
      <c r="F378" s="74">
        <f>VLOOKUP(D378,'FERC Interest Rate'!$A:$B,2,TRUE)</f>
        <v>5.2520850000000001E-2</v>
      </c>
      <c r="G378" s="75">
        <f t="shared" si="165"/>
        <v>120.84204503014864</v>
      </c>
      <c r="H378" s="75">
        <v>0</v>
      </c>
      <c r="I378" s="99">
        <f t="shared" si="172"/>
        <v>7.1420450301487453</v>
      </c>
      <c r="J378" s="76">
        <f t="shared" si="174"/>
        <v>1.5997229498805337</v>
      </c>
      <c r="K378" s="116">
        <f t="shared" si="166"/>
        <v>8.7417679800292785</v>
      </c>
      <c r="L378" s="76">
        <f t="shared" si="173"/>
        <v>113.7</v>
      </c>
      <c r="M378" s="117">
        <f t="shared" si="167"/>
        <v>122.44176798002928</v>
      </c>
      <c r="N378" s="8">
        <f t="shared" si="168"/>
        <v>122.44176798002917</v>
      </c>
      <c r="O378" s="75">
        <f t="shared" si="163"/>
        <v>-1.0835776720341528E-13</v>
      </c>
    </row>
    <row r="379" spans="1:15" x14ac:dyDescent="0.25">
      <c r="A379" s="78"/>
      <c r="B379" s="72"/>
      <c r="C379" s="73"/>
      <c r="D379" s="73"/>
      <c r="E379" s="72"/>
      <c r="F379" s="74"/>
      <c r="G379" s="75"/>
      <c r="H379" s="75"/>
      <c r="I379" s="99"/>
      <c r="J379" s="76"/>
      <c r="K379" s="116"/>
      <c r="L379" s="76"/>
      <c r="M379" s="117"/>
      <c r="N379" s="8"/>
      <c r="O379" s="75"/>
    </row>
    <row r="380" spans="1:15" ht="13.5" thickBot="1" x14ac:dyDescent="0.35">
      <c r="A380" s="142"/>
      <c r="B380" s="143"/>
      <c r="C380" s="144"/>
      <c r="D380" s="144"/>
      <c r="E380" s="145"/>
      <c r="F380" s="143"/>
      <c r="G380" s="124">
        <f t="shared" ref="G380:O380" si="175">SUM(G352:G379)</f>
        <v>41589.139728931754</v>
      </c>
      <c r="H380" s="124">
        <f t="shared" si="175"/>
        <v>142.8409006029749</v>
      </c>
      <c r="I380" s="125">
        <f t="shared" si="175"/>
        <v>142.84090060297495</v>
      </c>
      <c r="J380" s="124">
        <f t="shared" si="175"/>
        <v>258.32884730346495</v>
      </c>
      <c r="K380" s="124">
        <f t="shared" si="175"/>
        <v>401.16974790643991</v>
      </c>
      <c r="L380" s="124">
        <f t="shared" si="175"/>
        <v>2274.0000000000005</v>
      </c>
      <c r="M380" s="126">
        <f t="shared" si="175"/>
        <v>2675.1697479064401</v>
      </c>
      <c r="N380" s="124">
        <f t="shared" si="175"/>
        <v>41990.309476838178</v>
      </c>
      <c r="O380" s="124">
        <f t="shared" si="175"/>
        <v>39315.139728931754</v>
      </c>
    </row>
    <row r="381" spans="1:15" ht="13" thickTop="1" x14ac:dyDescent="0.25">
      <c r="B381" s="103"/>
      <c r="C381" s="103"/>
      <c r="D381" s="103"/>
      <c r="E381" s="103"/>
      <c r="F381" s="103"/>
      <c r="G381" s="103"/>
      <c r="H381" s="103"/>
      <c r="I381" s="102"/>
      <c r="J381" s="103"/>
      <c r="K381" s="103"/>
      <c r="L381" s="103"/>
      <c r="M381" s="118"/>
      <c r="O381" s="103"/>
    </row>
    <row r="382" spans="1:15" ht="52" x14ac:dyDescent="0.3">
      <c r="A382" s="77" t="s">
        <v>51</v>
      </c>
      <c r="B382" s="77" t="s">
        <v>3</v>
      </c>
      <c r="C382" s="77" t="s">
        <v>4</v>
      </c>
      <c r="D382" s="77" t="s">
        <v>5</v>
      </c>
      <c r="E382" s="77" t="s">
        <v>6</v>
      </c>
      <c r="F382" s="77" t="s">
        <v>7</v>
      </c>
      <c r="G382" s="77" t="s">
        <v>92</v>
      </c>
      <c r="H382" s="77" t="s">
        <v>93</v>
      </c>
      <c r="I382" s="94" t="s">
        <v>94</v>
      </c>
      <c r="J382" s="95" t="s">
        <v>95</v>
      </c>
      <c r="K382" s="95" t="s">
        <v>96</v>
      </c>
      <c r="L382" s="95" t="s">
        <v>97</v>
      </c>
      <c r="M382" s="96" t="s">
        <v>98</v>
      </c>
      <c r="N382" s="77" t="s">
        <v>99</v>
      </c>
      <c r="O382" s="77" t="s">
        <v>100</v>
      </c>
    </row>
    <row r="383" spans="1:15" ht="13" x14ac:dyDescent="0.3">
      <c r="A383" s="347" t="s">
        <v>14</v>
      </c>
      <c r="B383" s="347"/>
      <c r="C383" s="73">
        <f>VLOOKUP(B384,A$1:F$25,2,FALSE)</f>
        <v>42093</v>
      </c>
      <c r="D383" s="73">
        <f>DATE(YEAR(C383),IF(MONTH(C383)&lt;=3,3,IF(MONTH(C383)&lt;=6,6,IF(MONTH(C383)&lt;=9,9,12))),IF(OR(MONTH(C383)&lt;=3,MONTH(C383)&gt;=10),31,30))</f>
        <v>42094</v>
      </c>
      <c r="E383" s="72">
        <f>D383-C383+1</f>
        <v>2</v>
      </c>
      <c r="F383" s="74">
        <f>VLOOKUP(D383,'FERC Interest Rate'!$A:$B,2,TRUE)</f>
        <v>3.2500000000000001E-2</v>
      </c>
      <c r="G383" s="75">
        <f>VLOOKUP(B384,$A$1:$F$25,5,FALSE)</f>
        <v>2021</v>
      </c>
      <c r="H383" s="75">
        <f t="shared" ref="H383:H390" si="176">G383*F383*(E383/(DATE(YEAR(D383),12,31)-DATE(YEAR(D383),1,1)+1))</f>
        <v>0.35990410958904112</v>
      </c>
      <c r="I383" s="180">
        <v>0</v>
      </c>
      <c r="J383" s="76">
        <v>0</v>
      </c>
      <c r="K383" s="116">
        <f t="shared" ref="K383:K408" si="177">+SUM(I383:J383)</f>
        <v>0</v>
      </c>
      <c r="L383" s="76">
        <v>0</v>
      </c>
      <c r="M383" s="117">
        <f t="shared" ref="M383:M408" si="178">+SUM(K383:L383)</f>
        <v>0</v>
      </c>
      <c r="N383" s="8">
        <f t="shared" ref="N383:N408" si="179">+G383+H383+J383</f>
        <v>2021.359904109589</v>
      </c>
      <c r="O383" s="75">
        <f t="shared" ref="O383:O408" si="180">G383+H383-L383-I383</f>
        <v>2021.359904109589</v>
      </c>
    </row>
    <row r="384" spans="1:15" ht="13" x14ac:dyDescent="0.3">
      <c r="A384" s="110" t="s">
        <v>40</v>
      </c>
      <c r="B384" s="141" t="s">
        <v>62</v>
      </c>
      <c r="C384" s="73">
        <f>D383+1</f>
        <v>42095</v>
      </c>
      <c r="D384" s="73">
        <f>EOMONTH(D383,3)</f>
        <v>42185</v>
      </c>
      <c r="E384" s="72">
        <f t="shared" ref="E384:E408" si="181">D384-C384+1</f>
        <v>91</v>
      </c>
      <c r="F384" s="74">
        <f>VLOOKUP(D384,'FERC Interest Rate'!$A:$B,2,TRUE)</f>
        <v>3.2500000000000001E-2</v>
      </c>
      <c r="G384" s="75">
        <f t="shared" ref="G384:G408" si="182">O383</f>
        <v>2021.359904109589</v>
      </c>
      <c r="H384" s="75">
        <f t="shared" si="176"/>
        <v>16.378553195627699</v>
      </c>
      <c r="I384" s="180">
        <v>0</v>
      </c>
      <c r="J384" s="76">
        <v>0</v>
      </c>
      <c r="K384" s="116">
        <f t="shared" si="177"/>
        <v>0</v>
      </c>
      <c r="L384" s="76">
        <v>0</v>
      </c>
      <c r="M384" s="117">
        <f t="shared" si="178"/>
        <v>0</v>
      </c>
      <c r="N384" s="8">
        <f t="shared" si="179"/>
        <v>2037.7384573052168</v>
      </c>
      <c r="O384" s="75">
        <f t="shared" si="180"/>
        <v>2037.7384573052168</v>
      </c>
    </row>
    <row r="385" spans="1:15" ht="13" x14ac:dyDescent="0.3">
      <c r="B385" s="301"/>
      <c r="C385" s="73">
        <f t="shared" ref="C385:C408" si="183">D384+1</f>
        <v>42186</v>
      </c>
      <c r="D385" s="73">
        <f t="shared" ref="D385:D409" si="184">EOMONTH(D384,3)</f>
        <v>42277</v>
      </c>
      <c r="E385" s="72">
        <f t="shared" si="181"/>
        <v>92</v>
      </c>
      <c r="F385" s="74">
        <f>VLOOKUP(D385,'FERC Interest Rate'!$A:$B,2,TRUE)</f>
        <v>3.2500000000000001E-2</v>
      </c>
      <c r="G385" s="75">
        <f t="shared" si="182"/>
        <v>2037.7384573052168</v>
      </c>
      <c r="H385" s="75">
        <f t="shared" si="176"/>
        <v>16.692706814637255</v>
      </c>
      <c r="I385" s="180">
        <v>0</v>
      </c>
      <c r="J385" s="76">
        <v>0</v>
      </c>
      <c r="K385" s="116">
        <f t="shared" si="177"/>
        <v>0</v>
      </c>
      <c r="L385" s="76">
        <v>0</v>
      </c>
      <c r="M385" s="117">
        <f t="shared" si="178"/>
        <v>0</v>
      </c>
      <c r="N385" s="8">
        <f t="shared" si="179"/>
        <v>2054.4311641198542</v>
      </c>
      <c r="O385" s="75">
        <f t="shared" si="180"/>
        <v>2054.4311641198542</v>
      </c>
    </row>
    <row r="386" spans="1:15" ht="13" x14ac:dyDescent="0.3">
      <c r="B386" s="301"/>
      <c r="C386" s="73">
        <f t="shared" si="183"/>
        <v>42278</v>
      </c>
      <c r="D386" s="73">
        <f t="shared" si="184"/>
        <v>42369</v>
      </c>
      <c r="E386" s="72">
        <f t="shared" si="181"/>
        <v>92</v>
      </c>
      <c r="F386" s="74">
        <f>VLOOKUP(D386,'FERC Interest Rate'!$A:$B,2,TRUE)</f>
        <v>3.2500000000000001E-2</v>
      </c>
      <c r="G386" s="75">
        <f t="shared" si="182"/>
        <v>2054.4311641198542</v>
      </c>
      <c r="H386" s="75">
        <f t="shared" si="176"/>
        <v>16.829449810187299</v>
      </c>
      <c r="I386" s="180">
        <v>0</v>
      </c>
      <c r="J386" s="76">
        <v>0</v>
      </c>
      <c r="K386" s="116">
        <f t="shared" si="177"/>
        <v>0</v>
      </c>
      <c r="L386" s="76">
        <v>0</v>
      </c>
      <c r="M386" s="117">
        <f t="shared" si="178"/>
        <v>0</v>
      </c>
      <c r="N386" s="8">
        <f t="shared" si="179"/>
        <v>2071.2606139300415</v>
      </c>
      <c r="O386" s="75">
        <f t="shared" si="180"/>
        <v>2071.2606139300415</v>
      </c>
    </row>
    <row r="387" spans="1:15" ht="13" x14ac:dyDescent="0.3">
      <c r="B387" s="301"/>
      <c r="C387" s="73">
        <f t="shared" si="183"/>
        <v>42370</v>
      </c>
      <c r="D387" s="73">
        <f t="shared" si="184"/>
        <v>42460</v>
      </c>
      <c r="E387" s="72">
        <f t="shared" si="181"/>
        <v>91</v>
      </c>
      <c r="F387" s="74">
        <f>VLOOKUP(D387,'FERC Interest Rate'!$A:$B,2,TRUE)</f>
        <v>3.2500000000000001E-2</v>
      </c>
      <c r="G387" s="75">
        <f t="shared" si="182"/>
        <v>2071.2606139300415</v>
      </c>
      <c r="H387" s="75">
        <f t="shared" si="176"/>
        <v>16.737030780595894</v>
      </c>
      <c r="I387" s="180">
        <v>0</v>
      </c>
      <c r="J387" s="76">
        <v>0</v>
      </c>
      <c r="K387" s="116">
        <f t="shared" si="177"/>
        <v>0</v>
      </c>
      <c r="L387" s="76">
        <v>0</v>
      </c>
      <c r="M387" s="117">
        <f t="shared" si="178"/>
        <v>0</v>
      </c>
      <c r="N387" s="8">
        <f t="shared" si="179"/>
        <v>2087.9976447106374</v>
      </c>
      <c r="O387" s="75">
        <f t="shared" si="180"/>
        <v>2087.9976447106374</v>
      </c>
    </row>
    <row r="388" spans="1:15" ht="13" x14ac:dyDescent="0.3">
      <c r="B388" s="301"/>
      <c r="C388" s="73">
        <f t="shared" si="183"/>
        <v>42461</v>
      </c>
      <c r="D388" s="73">
        <f t="shared" si="184"/>
        <v>42551</v>
      </c>
      <c r="E388" s="72">
        <f t="shared" si="181"/>
        <v>91</v>
      </c>
      <c r="F388" s="74">
        <f>VLOOKUP(D388,'FERC Interest Rate'!$A:$B,2,TRUE)</f>
        <v>3.4599999999999999E-2</v>
      </c>
      <c r="G388" s="75">
        <f t="shared" si="182"/>
        <v>2087.9976447106374</v>
      </c>
      <c r="H388" s="75">
        <f t="shared" si="176"/>
        <v>17.962484656109051</v>
      </c>
      <c r="I388" s="180">
        <v>0</v>
      </c>
      <c r="J388" s="76">
        <v>0</v>
      </c>
      <c r="K388" s="116">
        <f t="shared" si="177"/>
        <v>0</v>
      </c>
      <c r="L388" s="76">
        <v>0</v>
      </c>
      <c r="M388" s="117">
        <f t="shared" si="178"/>
        <v>0</v>
      </c>
      <c r="N388" s="8">
        <f t="shared" si="179"/>
        <v>2105.9601293667465</v>
      </c>
      <c r="O388" s="75">
        <f t="shared" si="180"/>
        <v>2105.9601293667465</v>
      </c>
    </row>
    <row r="389" spans="1:15" x14ac:dyDescent="0.25">
      <c r="B389" s="72"/>
      <c r="C389" s="73">
        <f t="shared" si="183"/>
        <v>42552</v>
      </c>
      <c r="D389" s="73">
        <f t="shared" si="184"/>
        <v>42643</v>
      </c>
      <c r="E389" s="72">
        <f t="shared" si="181"/>
        <v>92</v>
      </c>
      <c r="F389" s="74">
        <f>VLOOKUP(D389,'FERC Interest Rate'!$A:$B,2,TRUE)</f>
        <v>3.5000000000000003E-2</v>
      </c>
      <c r="G389" s="75">
        <f t="shared" si="182"/>
        <v>2105.9601293667465</v>
      </c>
      <c r="H389" s="75">
        <f t="shared" si="176"/>
        <v>18.527845946887769</v>
      </c>
      <c r="I389" s="180">
        <v>0</v>
      </c>
      <c r="J389" s="76">
        <v>0</v>
      </c>
      <c r="K389" s="116">
        <f t="shared" si="177"/>
        <v>0</v>
      </c>
      <c r="L389" s="76">
        <v>0</v>
      </c>
      <c r="M389" s="117">
        <f t="shared" si="178"/>
        <v>0</v>
      </c>
      <c r="N389" s="8">
        <f t="shared" si="179"/>
        <v>2124.4879753136343</v>
      </c>
      <c r="O389" s="75">
        <f t="shared" si="180"/>
        <v>2124.4879753136343</v>
      </c>
    </row>
    <row r="390" spans="1:15" x14ac:dyDescent="0.25">
      <c r="A390" s="17" t="s">
        <v>52</v>
      </c>
      <c r="B390" s="72" t="str">
        <f t="shared" ref="B390:B404" si="185">+IF(MONTH(C390)&lt;4,"Q1",IF(MONTH(C390)&lt;7,"Q2",IF(MONTH(C390)&lt;10,"Q3","Q4")))&amp;"/"&amp;YEAR(C390)</f>
        <v>Q4/2016</v>
      </c>
      <c r="C390" s="73">
        <f t="shared" si="183"/>
        <v>42644</v>
      </c>
      <c r="D390" s="73">
        <f t="shared" si="184"/>
        <v>42735</v>
      </c>
      <c r="E390" s="72">
        <f t="shared" si="181"/>
        <v>92</v>
      </c>
      <c r="F390" s="74">
        <f>VLOOKUP(D390,'FERC Interest Rate'!$A:$B,2,TRUE)</f>
        <v>3.5000000000000003E-2</v>
      </c>
      <c r="G390" s="75">
        <f t="shared" si="182"/>
        <v>2124.4879753136343</v>
      </c>
      <c r="H390" s="75">
        <f t="shared" si="176"/>
        <v>18.690850493196454</v>
      </c>
      <c r="I390" s="99">
        <f>SUM($H$383:$H$410)/20</f>
        <v>6.108941290341523</v>
      </c>
      <c r="J390" s="76">
        <v>0</v>
      </c>
      <c r="K390" s="116">
        <f t="shared" si="177"/>
        <v>6.108941290341523</v>
      </c>
      <c r="L390" s="76">
        <f t="shared" ref="L390:L409" si="186">VLOOKUP($B$384,A$1:F$25,5,FALSE)/20</f>
        <v>101.05</v>
      </c>
      <c r="M390" s="117">
        <f t="shared" si="178"/>
        <v>107.15894129034152</v>
      </c>
      <c r="N390" s="8">
        <f t="shared" si="179"/>
        <v>2143.1788258068309</v>
      </c>
      <c r="O390" s="75">
        <f t="shared" si="180"/>
        <v>2036.0198845164894</v>
      </c>
    </row>
    <row r="391" spans="1:15" x14ac:dyDescent="0.25">
      <c r="A391" s="17" t="s">
        <v>53</v>
      </c>
      <c r="B391" s="72" t="str">
        <f t="shared" si="185"/>
        <v>Q1/2017</v>
      </c>
      <c r="C391" s="73">
        <f t="shared" si="183"/>
        <v>42736</v>
      </c>
      <c r="D391" s="73">
        <f t="shared" si="184"/>
        <v>42825</v>
      </c>
      <c r="E391" s="72">
        <f t="shared" si="181"/>
        <v>90</v>
      </c>
      <c r="F391" s="74">
        <f>VLOOKUP(D391,'FERC Interest Rate'!$A:$B,2,TRUE)</f>
        <v>3.5000000000000003E-2</v>
      </c>
      <c r="G391" s="75">
        <f t="shared" si="182"/>
        <v>2036.0198845164894</v>
      </c>
      <c r="H391" s="75">
        <v>0</v>
      </c>
      <c r="I391" s="99">
        <f>SUM($H$383:$H$410)/20</f>
        <v>6.108941290341523</v>
      </c>
      <c r="J391" s="76">
        <f t="shared" ref="J391:J409" si="187">G391*F391*(E391/(DATE(YEAR(D391),12,31)-DATE(YEAR(D391),1,1)+1))</f>
        <v>17.5711305102108</v>
      </c>
      <c r="K391" s="116">
        <f t="shared" si="177"/>
        <v>23.680071800552323</v>
      </c>
      <c r="L391" s="76">
        <f t="shared" si="186"/>
        <v>101.05</v>
      </c>
      <c r="M391" s="117">
        <f t="shared" si="178"/>
        <v>124.73007180055232</v>
      </c>
      <c r="N391" s="8">
        <f t="shared" si="179"/>
        <v>2053.5910150267</v>
      </c>
      <c r="O391" s="75">
        <f t="shared" si="180"/>
        <v>1928.8609432261478</v>
      </c>
    </row>
    <row r="392" spans="1:15" x14ac:dyDescent="0.25">
      <c r="A392" s="17" t="s">
        <v>54</v>
      </c>
      <c r="B392" s="72" t="str">
        <f t="shared" si="185"/>
        <v>Q2/2017</v>
      </c>
      <c r="C392" s="73">
        <f t="shared" si="183"/>
        <v>42826</v>
      </c>
      <c r="D392" s="73">
        <f t="shared" si="184"/>
        <v>42916</v>
      </c>
      <c r="E392" s="72">
        <f t="shared" si="181"/>
        <v>91</v>
      </c>
      <c r="F392" s="74">
        <f>VLOOKUP(D392,'FERC Interest Rate'!$A:$B,2,TRUE)</f>
        <v>3.7100000000000001E-2</v>
      </c>
      <c r="G392" s="75">
        <f t="shared" si="182"/>
        <v>1928.8609432261478</v>
      </c>
      <c r="H392" s="75">
        <v>0</v>
      </c>
      <c r="I392" s="99">
        <f>SUM($H$383:$H$410)/20</f>
        <v>6.108941290341523</v>
      </c>
      <c r="J392" s="76">
        <f t="shared" si="187"/>
        <v>17.841171042262459</v>
      </c>
      <c r="K392" s="116">
        <f t="shared" si="177"/>
        <v>23.950112332603982</v>
      </c>
      <c r="L392" s="76">
        <f t="shared" si="186"/>
        <v>101.05</v>
      </c>
      <c r="M392" s="117">
        <f t="shared" si="178"/>
        <v>125.00011233260398</v>
      </c>
      <c r="N392" s="8">
        <f t="shared" si="179"/>
        <v>1946.7021142684102</v>
      </c>
      <c r="O392" s="75">
        <f t="shared" si="180"/>
        <v>1821.7020019358063</v>
      </c>
    </row>
    <row r="393" spans="1:15" x14ac:dyDescent="0.25">
      <c r="A393" s="17" t="s">
        <v>55</v>
      </c>
      <c r="B393" s="72" t="str">
        <f t="shared" si="185"/>
        <v>Q3/2017</v>
      </c>
      <c r="C393" s="73">
        <f t="shared" si="183"/>
        <v>42917</v>
      </c>
      <c r="D393" s="73">
        <f t="shared" si="184"/>
        <v>43008</v>
      </c>
      <c r="E393" s="72">
        <f t="shared" si="181"/>
        <v>92</v>
      </c>
      <c r="F393" s="74">
        <f>VLOOKUP(D393,'FERC Interest Rate'!$A:$B,2,TRUE)</f>
        <v>3.9600000000000003E-2</v>
      </c>
      <c r="G393" s="75">
        <f t="shared" si="182"/>
        <v>1821.7020019358063</v>
      </c>
      <c r="H393" s="75">
        <v>0</v>
      </c>
      <c r="I393" s="99">
        <f>SUM($H$383:$H$410)/20</f>
        <v>6.108941290341523</v>
      </c>
      <c r="J393" s="76">
        <f t="shared" si="187"/>
        <v>18.183081461513783</v>
      </c>
      <c r="K393" s="116">
        <f t="shared" si="177"/>
        <v>24.292022751855306</v>
      </c>
      <c r="L393" s="76">
        <f t="shared" si="186"/>
        <v>101.05</v>
      </c>
      <c r="M393" s="117">
        <f t="shared" si="178"/>
        <v>125.3420227518553</v>
      </c>
      <c r="N393" s="8">
        <f t="shared" si="179"/>
        <v>1839.8850833973202</v>
      </c>
      <c r="O393" s="75">
        <f t="shared" si="180"/>
        <v>1714.5430606454647</v>
      </c>
    </row>
    <row r="394" spans="1:15" x14ac:dyDescent="0.25">
      <c r="A394" s="17" t="s">
        <v>56</v>
      </c>
      <c r="B394" s="72" t="str">
        <f t="shared" si="185"/>
        <v>Q4/2017</v>
      </c>
      <c r="C394" s="73">
        <f t="shared" si="183"/>
        <v>43009</v>
      </c>
      <c r="D394" s="73">
        <f t="shared" si="184"/>
        <v>43100</v>
      </c>
      <c r="E394" s="72">
        <f t="shared" si="181"/>
        <v>92</v>
      </c>
      <c r="F394" s="74">
        <f>VLOOKUP(D394,'FERC Interest Rate'!$A:$B,2,TRUE)</f>
        <v>4.2099999999999999E-2</v>
      </c>
      <c r="G394" s="75">
        <f t="shared" si="182"/>
        <v>1714.5430606454647</v>
      </c>
      <c r="H394" s="75">
        <v>0</v>
      </c>
      <c r="I394" s="99">
        <f t="shared" ref="I394:I409" si="188">SUM($H$383:$H$410)/20</f>
        <v>6.108941290341523</v>
      </c>
      <c r="J394" s="76">
        <f t="shared" si="187"/>
        <v>18.193885431484972</v>
      </c>
      <c r="K394" s="116">
        <f t="shared" si="177"/>
        <v>24.302826721826495</v>
      </c>
      <c r="L394" s="76">
        <f t="shared" si="186"/>
        <v>101.05</v>
      </c>
      <c r="M394" s="117">
        <f t="shared" si="178"/>
        <v>125.35282672182649</v>
      </c>
      <c r="N394" s="8">
        <f t="shared" si="179"/>
        <v>1732.7369460769496</v>
      </c>
      <c r="O394" s="75">
        <f t="shared" si="180"/>
        <v>1607.3841193551232</v>
      </c>
    </row>
    <row r="395" spans="1:15" x14ac:dyDescent="0.25">
      <c r="A395" s="17" t="s">
        <v>57</v>
      </c>
      <c r="B395" s="72" t="str">
        <f t="shared" si="185"/>
        <v>Q1/2018</v>
      </c>
      <c r="C395" s="73">
        <f t="shared" si="183"/>
        <v>43101</v>
      </c>
      <c r="D395" s="73">
        <f t="shared" si="184"/>
        <v>43190</v>
      </c>
      <c r="E395" s="72">
        <f t="shared" si="181"/>
        <v>90</v>
      </c>
      <c r="F395" s="74">
        <f>VLOOKUP(D395,'FERC Interest Rate'!$A:$B,2,TRUE)</f>
        <v>4.2500000000000003E-2</v>
      </c>
      <c r="G395" s="75">
        <f t="shared" si="182"/>
        <v>1607.3841193551232</v>
      </c>
      <c r="H395" s="75">
        <v>0</v>
      </c>
      <c r="I395" s="99">
        <f t="shared" si="188"/>
        <v>6.108941290341523</v>
      </c>
      <c r="J395" s="76">
        <f t="shared" si="187"/>
        <v>16.844504812420126</v>
      </c>
      <c r="K395" s="116">
        <f t="shared" si="177"/>
        <v>22.953446102761649</v>
      </c>
      <c r="L395" s="76">
        <f t="shared" si="186"/>
        <v>101.05</v>
      </c>
      <c r="M395" s="117">
        <f t="shared" si="178"/>
        <v>124.00344610276164</v>
      </c>
      <c r="N395" s="8">
        <f t="shared" si="179"/>
        <v>1624.2286241675433</v>
      </c>
      <c r="O395" s="75">
        <f t="shared" si="180"/>
        <v>1500.2251780647816</v>
      </c>
    </row>
    <row r="396" spans="1:15" x14ac:dyDescent="0.25">
      <c r="A396" s="17" t="s">
        <v>58</v>
      </c>
      <c r="B396" s="72" t="str">
        <f t="shared" si="185"/>
        <v>Q2/2018</v>
      </c>
      <c r="C396" s="73">
        <f t="shared" si="183"/>
        <v>43191</v>
      </c>
      <c r="D396" s="73">
        <f t="shared" si="184"/>
        <v>43281</v>
      </c>
      <c r="E396" s="72">
        <f t="shared" si="181"/>
        <v>91</v>
      </c>
      <c r="F396" s="74">
        <f>VLOOKUP(D396,'FERC Interest Rate'!$A:$B,2,TRUE)</f>
        <v>4.4699999999999997E-2</v>
      </c>
      <c r="G396" s="75">
        <f t="shared" si="182"/>
        <v>1500.2251780647816</v>
      </c>
      <c r="H396" s="75">
        <v>0</v>
      </c>
      <c r="I396" s="99">
        <f t="shared" si="188"/>
        <v>6.108941290341523</v>
      </c>
      <c r="J396" s="76">
        <f t="shared" si="187"/>
        <v>16.719084813189347</v>
      </c>
      <c r="K396" s="116">
        <f t="shared" si="177"/>
        <v>22.82802610353087</v>
      </c>
      <c r="L396" s="76">
        <f t="shared" si="186"/>
        <v>101.05</v>
      </c>
      <c r="M396" s="117">
        <f t="shared" si="178"/>
        <v>123.87802610353087</v>
      </c>
      <c r="N396" s="8">
        <f t="shared" si="179"/>
        <v>1516.9442628779709</v>
      </c>
      <c r="O396" s="75">
        <f t="shared" si="180"/>
        <v>1393.0662367744401</v>
      </c>
    </row>
    <row r="397" spans="1:15" x14ac:dyDescent="0.25">
      <c r="A397" s="17" t="s">
        <v>59</v>
      </c>
      <c r="B397" s="72" t="str">
        <f t="shared" si="185"/>
        <v>Q3/2018</v>
      </c>
      <c r="C397" s="73">
        <f t="shared" si="183"/>
        <v>43282</v>
      </c>
      <c r="D397" s="73">
        <f t="shared" si="184"/>
        <v>43373</v>
      </c>
      <c r="E397" s="72">
        <f t="shared" si="181"/>
        <v>92</v>
      </c>
      <c r="F397" s="74">
        <f>VLOOKUP(D397,'FERC Interest Rate'!$A:$B,2,TRUE)</f>
        <v>4.6899999999999997E-2</v>
      </c>
      <c r="G397" s="75">
        <f t="shared" si="182"/>
        <v>1393.0662367744401</v>
      </c>
      <c r="H397" s="75">
        <v>0</v>
      </c>
      <c r="I397" s="99">
        <f t="shared" si="188"/>
        <v>6.108941290341523</v>
      </c>
      <c r="J397" s="76">
        <f t="shared" si="187"/>
        <v>16.467951228587275</v>
      </c>
      <c r="K397" s="116">
        <f t="shared" si="177"/>
        <v>22.576892518928798</v>
      </c>
      <c r="L397" s="76">
        <f t="shared" si="186"/>
        <v>101.05</v>
      </c>
      <c r="M397" s="117">
        <f t="shared" si="178"/>
        <v>123.6268925189288</v>
      </c>
      <c r="N397" s="8">
        <f t="shared" si="179"/>
        <v>1409.5341880030273</v>
      </c>
      <c r="O397" s="75">
        <f t="shared" si="180"/>
        <v>1285.9072954840985</v>
      </c>
    </row>
    <row r="398" spans="1:15" x14ac:dyDescent="0.25">
      <c r="A398" s="17" t="s">
        <v>60</v>
      </c>
      <c r="B398" s="72" t="str">
        <f t="shared" si="185"/>
        <v>Q4/2018</v>
      </c>
      <c r="C398" s="73">
        <f t="shared" si="183"/>
        <v>43374</v>
      </c>
      <c r="D398" s="73">
        <f t="shared" si="184"/>
        <v>43465</v>
      </c>
      <c r="E398" s="72">
        <f t="shared" si="181"/>
        <v>92</v>
      </c>
      <c r="F398" s="74">
        <f>VLOOKUP(D398,'FERC Interest Rate'!$A:$B,2,TRUE)</f>
        <v>4.9599999999999998E-2</v>
      </c>
      <c r="G398" s="75">
        <f t="shared" si="182"/>
        <v>1285.9072954840985</v>
      </c>
      <c r="H398" s="75">
        <v>0</v>
      </c>
      <c r="I398" s="99">
        <f t="shared" si="188"/>
        <v>6.108941290341523</v>
      </c>
      <c r="J398" s="76">
        <f t="shared" si="187"/>
        <v>16.076307317131612</v>
      </c>
      <c r="K398" s="116">
        <f t="shared" si="177"/>
        <v>22.185248607473135</v>
      </c>
      <c r="L398" s="76">
        <f t="shared" si="186"/>
        <v>101.05</v>
      </c>
      <c r="M398" s="117">
        <f t="shared" si="178"/>
        <v>123.23524860747312</v>
      </c>
      <c r="N398" s="8">
        <f t="shared" si="179"/>
        <v>1301.9836028012301</v>
      </c>
      <c r="O398" s="75">
        <f t="shared" si="180"/>
        <v>1178.748354193757</v>
      </c>
    </row>
    <row r="399" spans="1:15" x14ac:dyDescent="0.25">
      <c r="A399" s="17" t="s">
        <v>61</v>
      </c>
      <c r="B399" s="72" t="str">
        <f t="shared" si="185"/>
        <v>Q1/2019</v>
      </c>
      <c r="C399" s="73">
        <f t="shared" si="183"/>
        <v>43466</v>
      </c>
      <c r="D399" s="73">
        <f t="shared" si="184"/>
        <v>43555</v>
      </c>
      <c r="E399" s="72">
        <f t="shared" si="181"/>
        <v>90</v>
      </c>
      <c r="F399" s="74">
        <f>VLOOKUP(D399,'FERC Interest Rate'!$A:$B,2,TRUE)</f>
        <v>5.1799999999999999E-2</v>
      </c>
      <c r="G399" s="75">
        <f t="shared" si="182"/>
        <v>1178.748354193757</v>
      </c>
      <c r="H399" s="75">
        <v>0</v>
      </c>
      <c r="I399" s="99">
        <f t="shared" si="188"/>
        <v>6.108941290341523</v>
      </c>
      <c r="J399" s="76">
        <f t="shared" si="187"/>
        <v>15.055684458222725</v>
      </c>
      <c r="K399" s="116">
        <f t="shared" si="177"/>
        <v>21.164625748564248</v>
      </c>
      <c r="L399" s="76">
        <f t="shared" si="186"/>
        <v>101.05</v>
      </c>
      <c r="M399" s="117">
        <f t="shared" si="178"/>
        <v>122.21462574856425</v>
      </c>
      <c r="N399" s="8">
        <f t="shared" si="179"/>
        <v>1193.8040386519797</v>
      </c>
      <c r="O399" s="75">
        <f t="shared" si="180"/>
        <v>1071.5894129034155</v>
      </c>
    </row>
    <row r="400" spans="1:15" x14ac:dyDescent="0.25">
      <c r="A400" s="17" t="s">
        <v>62</v>
      </c>
      <c r="B400" s="72" t="str">
        <f t="shared" si="185"/>
        <v>Q2/2019</v>
      </c>
      <c r="C400" s="73">
        <f t="shared" si="183"/>
        <v>43556</v>
      </c>
      <c r="D400" s="73">
        <f t="shared" si="184"/>
        <v>43646</v>
      </c>
      <c r="E400" s="72">
        <f t="shared" si="181"/>
        <v>91</v>
      </c>
      <c r="F400" s="74">
        <f>VLOOKUP(D400,'FERC Interest Rate'!$A:$B,2,TRUE)</f>
        <v>5.45E-2</v>
      </c>
      <c r="G400" s="75">
        <f t="shared" si="182"/>
        <v>1071.5894129034155</v>
      </c>
      <c r="H400" s="75">
        <v>0</v>
      </c>
      <c r="I400" s="99">
        <f t="shared" si="188"/>
        <v>6.108941290341523</v>
      </c>
      <c r="J400" s="76">
        <f t="shared" si="187"/>
        <v>14.560404639162982</v>
      </c>
      <c r="K400" s="116">
        <f t="shared" si="177"/>
        <v>20.669345929504505</v>
      </c>
      <c r="L400" s="76">
        <f t="shared" si="186"/>
        <v>101.05</v>
      </c>
      <c r="M400" s="117">
        <f t="shared" si="178"/>
        <v>121.7193459295045</v>
      </c>
      <c r="N400" s="8">
        <f t="shared" si="179"/>
        <v>1086.1498175425784</v>
      </c>
      <c r="O400" s="75">
        <f t="shared" si="180"/>
        <v>964.43047161307402</v>
      </c>
    </row>
    <row r="401" spans="1:15" x14ac:dyDescent="0.25">
      <c r="A401" s="17" t="s">
        <v>63</v>
      </c>
      <c r="B401" s="72" t="str">
        <f t="shared" si="185"/>
        <v>Q3/2019</v>
      </c>
      <c r="C401" s="73">
        <f t="shared" si="183"/>
        <v>43647</v>
      </c>
      <c r="D401" s="73">
        <f t="shared" si="184"/>
        <v>43738</v>
      </c>
      <c r="E401" s="72">
        <f t="shared" si="181"/>
        <v>92</v>
      </c>
      <c r="F401" s="74">
        <f>VLOOKUP(D401,'FERC Interest Rate'!$A:$B,2,TRUE)</f>
        <v>5.5E-2</v>
      </c>
      <c r="G401" s="75">
        <f t="shared" si="182"/>
        <v>964.43047161307402</v>
      </c>
      <c r="H401" s="75">
        <v>0</v>
      </c>
      <c r="I401" s="99">
        <f t="shared" si="188"/>
        <v>6.108941290341523</v>
      </c>
      <c r="J401" s="76">
        <f t="shared" si="187"/>
        <v>13.36991283934837</v>
      </c>
      <c r="K401" s="116">
        <f t="shared" si="177"/>
        <v>19.478854129689893</v>
      </c>
      <c r="L401" s="76">
        <f t="shared" si="186"/>
        <v>101.05</v>
      </c>
      <c r="M401" s="117">
        <f t="shared" si="178"/>
        <v>120.52885412968989</v>
      </c>
      <c r="N401" s="8">
        <f t="shared" si="179"/>
        <v>977.80038445242235</v>
      </c>
      <c r="O401" s="75">
        <f t="shared" si="180"/>
        <v>857.27153032273259</v>
      </c>
    </row>
    <row r="402" spans="1:15" x14ac:dyDescent="0.25">
      <c r="A402" s="17" t="s">
        <v>64</v>
      </c>
      <c r="B402" s="72" t="str">
        <f t="shared" si="185"/>
        <v>Q4/2019</v>
      </c>
      <c r="C402" s="73">
        <f t="shared" si="183"/>
        <v>43739</v>
      </c>
      <c r="D402" s="73">
        <f t="shared" si="184"/>
        <v>43830</v>
      </c>
      <c r="E402" s="72">
        <f t="shared" si="181"/>
        <v>92</v>
      </c>
      <c r="F402" s="74">
        <f>VLOOKUP(D402,'FERC Interest Rate'!$A:$B,2,TRUE)</f>
        <v>5.4199999999999998E-2</v>
      </c>
      <c r="G402" s="75">
        <f t="shared" si="182"/>
        <v>857.27153032273259</v>
      </c>
      <c r="H402" s="75">
        <v>0</v>
      </c>
      <c r="I402" s="99">
        <f t="shared" si="188"/>
        <v>6.108941290341523</v>
      </c>
      <c r="J402" s="76">
        <f t="shared" si="187"/>
        <v>11.711503448770614</v>
      </c>
      <c r="K402" s="116">
        <f t="shared" si="177"/>
        <v>17.820444739112137</v>
      </c>
      <c r="L402" s="76">
        <f t="shared" si="186"/>
        <v>101.05</v>
      </c>
      <c r="M402" s="117">
        <f t="shared" si="178"/>
        <v>118.87044473911213</v>
      </c>
      <c r="N402" s="8">
        <f t="shared" si="179"/>
        <v>868.98303377150319</v>
      </c>
      <c r="O402" s="75">
        <f t="shared" si="180"/>
        <v>750.11258903239116</v>
      </c>
    </row>
    <row r="403" spans="1:15" x14ac:dyDescent="0.25">
      <c r="A403" s="17" t="s">
        <v>65</v>
      </c>
      <c r="B403" s="72" t="str">
        <f t="shared" si="185"/>
        <v>Q1/2020</v>
      </c>
      <c r="C403" s="73">
        <f t="shared" si="183"/>
        <v>43831</v>
      </c>
      <c r="D403" s="73">
        <f t="shared" si="184"/>
        <v>43921</v>
      </c>
      <c r="E403" s="72">
        <f t="shared" si="181"/>
        <v>91</v>
      </c>
      <c r="F403" s="74">
        <f>VLOOKUP(D403,'FERC Interest Rate'!$A:$B,2,TRUE)</f>
        <v>4.9599999999999998E-2</v>
      </c>
      <c r="G403" s="75">
        <f t="shared" si="182"/>
        <v>750.11258903239116</v>
      </c>
      <c r="H403" s="75">
        <v>0</v>
      </c>
      <c r="I403" s="99">
        <f t="shared" si="188"/>
        <v>6.108941290341523</v>
      </c>
      <c r="J403" s="76">
        <f t="shared" si="187"/>
        <v>9.2505688028868871</v>
      </c>
      <c r="K403" s="116">
        <f t="shared" si="177"/>
        <v>15.35951009322841</v>
      </c>
      <c r="L403" s="76">
        <f t="shared" si="186"/>
        <v>101.05</v>
      </c>
      <c r="M403" s="117">
        <f t="shared" si="178"/>
        <v>116.40951009322841</v>
      </c>
      <c r="N403" s="8">
        <f t="shared" si="179"/>
        <v>759.363157835278</v>
      </c>
      <c r="O403" s="75">
        <f t="shared" si="180"/>
        <v>642.95364774204972</v>
      </c>
    </row>
    <row r="404" spans="1:15" x14ac:dyDescent="0.25">
      <c r="A404" s="17" t="s">
        <v>66</v>
      </c>
      <c r="B404" s="72" t="str">
        <f t="shared" si="185"/>
        <v>Q2/2020</v>
      </c>
      <c r="C404" s="73">
        <f t="shared" si="183"/>
        <v>43922</v>
      </c>
      <c r="D404" s="73">
        <f t="shared" si="184"/>
        <v>44012</v>
      </c>
      <c r="E404" s="72">
        <f t="shared" si="181"/>
        <v>91</v>
      </c>
      <c r="F404" s="74">
        <f>VLOOKUP(D404,'FERC Interest Rate'!$A:$B,2,TRUE)</f>
        <v>4.7503500000000004E-2</v>
      </c>
      <c r="G404" s="75">
        <f t="shared" si="182"/>
        <v>642.95364774204972</v>
      </c>
      <c r="H404" s="75">
        <v>0</v>
      </c>
      <c r="I404" s="99">
        <f t="shared" si="188"/>
        <v>6.108941290341523</v>
      </c>
      <c r="J404" s="76">
        <f t="shared" si="187"/>
        <v>7.593912358201683</v>
      </c>
      <c r="K404" s="116">
        <f t="shared" si="177"/>
        <v>13.702853648543206</v>
      </c>
      <c r="L404" s="76">
        <f t="shared" si="186"/>
        <v>101.05</v>
      </c>
      <c r="M404" s="117">
        <f t="shared" si="178"/>
        <v>114.75285364854321</v>
      </c>
      <c r="N404" s="8">
        <f t="shared" si="179"/>
        <v>650.54756010025142</v>
      </c>
      <c r="O404" s="75">
        <f t="shared" si="180"/>
        <v>535.79470645170829</v>
      </c>
    </row>
    <row r="405" spans="1:15" x14ac:dyDescent="0.25">
      <c r="A405" s="17" t="s">
        <v>67</v>
      </c>
      <c r="B405" s="72" t="str">
        <f>+IF(MONTH(C405)&lt;4,"Q1",IF(MONTH(C405)&lt;7,"Q2",IF(MONTH(C405)&lt;10,"Q3","Q4")))&amp;"/"&amp;YEAR(C405)</f>
        <v>Q3/2020</v>
      </c>
      <c r="C405" s="73">
        <f t="shared" si="183"/>
        <v>44013</v>
      </c>
      <c r="D405" s="73">
        <f t="shared" si="184"/>
        <v>44104</v>
      </c>
      <c r="E405" s="72">
        <f t="shared" si="181"/>
        <v>92</v>
      </c>
      <c r="F405" s="74">
        <f>VLOOKUP(D405,'FERC Interest Rate'!$A:$B,2,TRUE)</f>
        <v>4.7507929999999997E-2</v>
      </c>
      <c r="G405" s="75">
        <f t="shared" si="182"/>
        <v>535.79470645170829</v>
      </c>
      <c r="H405" s="75">
        <v>0</v>
      </c>
      <c r="I405" s="99">
        <f t="shared" si="188"/>
        <v>6.108941290341523</v>
      </c>
      <c r="J405" s="76">
        <f t="shared" si="187"/>
        <v>6.3983982556830705</v>
      </c>
      <c r="K405" s="116">
        <f t="shared" si="177"/>
        <v>12.507339546024593</v>
      </c>
      <c r="L405" s="76">
        <f t="shared" si="186"/>
        <v>101.05</v>
      </c>
      <c r="M405" s="117">
        <f t="shared" si="178"/>
        <v>113.55733954602459</v>
      </c>
      <c r="N405" s="8">
        <f t="shared" si="179"/>
        <v>542.1931047073914</v>
      </c>
      <c r="O405" s="75">
        <f t="shared" si="180"/>
        <v>428.63576516136675</v>
      </c>
    </row>
    <row r="406" spans="1:15" x14ac:dyDescent="0.25">
      <c r="A406" s="17" t="s">
        <v>68</v>
      </c>
      <c r="B406" s="72" t="str">
        <f>+IF(MONTH(C406)&lt;4,"Q1",IF(MONTH(C406)&lt;7,"Q2",IF(MONTH(C406)&lt;10,"Q3","Q4")))&amp;"/"&amp;YEAR(C406)</f>
        <v>Q4/2020</v>
      </c>
      <c r="C406" s="73">
        <f t="shared" si="183"/>
        <v>44105</v>
      </c>
      <c r="D406" s="73">
        <f t="shared" si="184"/>
        <v>44196</v>
      </c>
      <c r="E406" s="72">
        <f t="shared" si="181"/>
        <v>92</v>
      </c>
      <c r="F406" s="74">
        <f>VLOOKUP(D406,'FERC Interest Rate'!$A:$B,2,TRUE)</f>
        <v>4.7922320000000004E-2</v>
      </c>
      <c r="G406" s="75">
        <f t="shared" si="182"/>
        <v>428.63576516136675</v>
      </c>
      <c r="H406" s="75">
        <v>0</v>
      </c>
      <c r="I406" s="99">
        <f t="shared" si="188"/>
        <v>6.108941290341523</v>
      </c>
      <c r="J406" s="76">
        <f t="shared" si="187"/>
        <v>5.1633668517451481</v>
      </c>
      <c r="K406" s="116">
        <f t="shared" si="177"/>
        <v>11.272308142086672</v>
      </c>
      <c r="L406" s="76">
        <f t="shared" si="186"/>
        <v>101.05</v>
      </c>
      <c r="M406" s="117">
        <f t="shared" si="178"/>
        <v>112.32230814208667</v>
      </c>
      <c r="N406" s="8">
        <f t="shared" si="179"/>
        <v>433.79913201311189</v>
      </c>
      <c r="O406" s="75">
        <f t="shared" si="180"/>
        <v>321.4768238710252</v>
      </c>
    </row>
    <row r="407" spans="1:15" x14ac:dyDescent="0.25">
      <c r="A407" s="17" t="s">
        <v>69</v>
      </c>
      <c r="B407" s="72" t="str">
        <f>+IF(MONTH(C407)&lt;4,"Q1",IF(MONTH(C407)&lt;7,"Q2",IF(MONTH(C407)&lt;10,"Q3","Q4")))&amp;"/"&amp;YEAR(C407)</f>
        <v>Q1/2021</v>
      </c>
      <c r="C407" s="73">
        <f t="shared" si="183"/>
        <v>44197</v>
      </c>
      <c r="D407" s="73">
        <f t="shared" si="184"/>
        <v>44286</v>
      </c>
      <c r="E407" s="72">
        <f t="shared" si="181"/>
        <v>90</v>
      </c>
      <c r="F407" s="74">
        <f>VLOOKUP(D407,'FERC Interest Rate'!$A:$B,2,TRUE)</f>
        <v>5.0023470000000007E-2</v>
      </c>
      <c r="G407" s="75">
        <f t="shared" si="182"/>
        <v>321.4768238710252</v>
      </c>
      <c r="H407" s="75">
        <v>0</v>
      </c>
      <c r="I407" s="99">
        <f t="shared" si="188"/>
        <v>6.108941290341523</v>
      </c>
      <c r="J407" s="76">
        <f t="shared" si="187"/>
        <v>3.9652733230539079</v>
      </c>
      <c r="K407" s="116">
        <f t="shared" si="177"/>
        <v>10.07421461339543</v>
      </c>
      <c r="L407" s="76">
        <f t="shared" si="186"/>
        <v>101.05</v>
      </c>
      <c r="M407" s="117">
        <f t="shared" si="178"/>
        <v>111.12421461339542</v>
      </c>
      <c r="N407" s="8">
        <f t="shared" si="179"/>
        <v>325.44209719407911</v>
      </c>
      <c r="O407" s="75">
        <f t="shared" si="180"/>
        <v>214.31788258068366</v>
      </c>
    </row>
    <row r="408" spans="1:15" x14ac:dyDescent="0.25">
      <c r="A408" s="17" t="s">
        <v>70</v>
      </c>
      <c r="B408" s="72" t="str">
        <f>+IF(MONTH(C408)&lt;4,"Q1",IF(MONTH(C408)&lt;7,"Q2",IF(MONTH(C408)&lt;10,"Q3","Q4")))&amp;"/"&amp;YEAR(C408)</f>
        <v>Q2/2021</v>
      </c>
      <c r="C408" s="73">
        <f t="shared" si="183"/>
        <v>44287</v>
      </c>
      <c r="D408" s="73">
        <f t="shared" si="184"/>
        <v>44377</v>
      </c>
      <c r="E408" s="72">
        <f t="shared" si="181"/>
        <v>91</v>
      </c>
      <c r="F408" s="74">
        <f>VLOOKUP(D408,'FERC Interest Rate'!$A:$B,2,TRUE)</f>
        <v>5.0403730000000001E-2</v>
      </c>
      <c r="G408" s="75">
        <f t="shared" si="182"/>
        <v>214.31788258068366</v>
      </c>
      <c r="H408" s="75">
        <v>0</v>
      </c>
      <c r="I408" s="99">
        <f t="shared" si="188"/>
        <v>6.108941290341523</v>
      </c>
      <c r="J408" s="76">
        <f t="shared" si="187"/>
        <v>2.6932062536628272</v>
      </c>
      <c r="K408" s="116">
        <f t="shared" si="177"/>
        <v>8.8021475440043506</v>
      </c>
      <c r="L408" s="76">
        <f t="shared" si="186"/>
        <v>101.05</v>
      </c>
      <c r="M408" s="117">
        <f t="shared" si="178"/>
        <v>109.85214754400435</v>
      </c>
      <c r="N408" s="8">
        <f t="shared" si="179"/>
        <v>217.01108883434648</v>
      </c>
      <c r="O408" s="75">
        <f t="shared" si="180"/>
        <v>107.15894129034214</v>
      </c>
    </row>
    <row r="409" spans="1:15" x14ac:dyDescent="0.25">
      <c r="A409" s="17" t="s">
        <v>71</v>
      </c>
      <c r="B409" s="72" t="str">
        <f>+IF(MONTH(C409)&lt;4,"Q1",IF(MONTH(C409)&lt;7,"Q2",IF(MONTH(C409)&lt;10,"Q3","Q4")))&amp;"/"&amp;YEAR(C409)</f>
        <v>Q3/2021</v>
      </c>
      <c r="C409" s="73">
        <f>D408+1</f>
        <v>44378</v>
      </c>
      <c r="D409" s="73">
        <f t="shared" si="184"/>
        <v>44469</v>
      </c>
      <c r="E409" s="72">
        <f>D409-C409+1</f>
        <v>92</v>
      </c>
      <c r="F409" s="74">
        <f>VLOOKUP(D409,'FERC Interest Rate'!$A:$B,2,TRUE)</f>
        <v>5.2520850000000001E-2</v>
      </c>
      <c r="G409" s="75">
        <f>O408</f>
        <v>107.15894129034214</v>
      </c>
      <c r="H409" s="75">
        <v>0</v>
      </c>
      <c r="I409" s="99">
        <f t="shared" si="188"/>
        <v>6.108941290341523</v>
      </c>
      <c r="J409" s="76">
        <f t="shared" si="187"/>
        <v>1.4185842156535227</v>
      </c>
      <c r="K409" s="116">
        <f>+SUM(I409:J409)</f>
        <v>7.5275255059950457</v>
      </c>
      <c r="L409" s="76">
        <f t="shared" si="186"/>
        <v>101.05</v>
      </c>
      <c r="M409" s="117">
        <f>+SUM(K409:L409)</f>
        <v>108.57752550599504</v>
      </c>
      <c r="N409" s="8">
        <f>+G409+H409+J409</f>
        <v>108.57752550599567</v>
      </c>
      <c r="O409" s="75">
        <f>G409+H409-L409-I409</f>
        <v>6.2172489379008766E-13</v>
      </c>
    </row>
    <row r="410" spans="1:15" x14ac:dyDescent="0.25">
      <c r="A410" s="78"/>
      <c r="B410" s="72"/>
      <c r="C410" s="73"/>
      <c r="D410" s="73"/>
      <c r="E410" s="72"/>
      <c r="F410" s="74"/>
      <c r="G410" s="75"/>
      <c r="H410" s="75"/>
      <c r="I410" s="99"/>
      <c r="J410" s="76"/>
      <c r="K410" s="116"/>
      <c r="L410" s="76"/>
      <c r="M410" s="117"/>
      <c r="N410" s="8"/>
      <c r="O410" s="75"/>
    </row>
    <row r="411" spans="1:15" ht="13.5" thickBot="1" x14ac:dyDescent="0.35">
      <c r="A411" s="142"/>
      <c r="B411" s="143"/>
      <c r="C411" s="144"/>
      <c r="D411" s="144"/>
      <c r="E411" s="145"/>
      <c r="F411" s="143"/>
      <c r="G411" s="124">
        <f t="shared" ref="G411:O411" si="189">SUM(G383:G410)</f>
        <v>36884.434734020608</v>
      </c>
      <c r="H411" s="124">
        <f t="shared" si="189"/>
        <v>122.17882580683046</v>
      </c>
      <c r="I411" s="125">
        <f t="shared" si="189"/>
        <v>122.17882580683042</v>
      </c>
      <c r="J411" s="124">
        <f t="shared" si="189"/>
        <v>229.07793206319209</v>
      </c>
      <c r="K411" s="124">
        <f t="shared" si="189"/>
        <v>351.25675787002268</v>
      </c>
      <c r="L411" s="124">
        <f t="shared" si="189"/>
        <v>2020.9999999999993</v>
      </c>
      <c r="M411" s="126">
        <f t="shared" si="189"/>
        <v>2372.2567578700227</v>
      </c>
      <c r="N411" s="124">
        <f t="shared" si="189"/>
        <v>37235.69149189064</v>
      </c>
      <c r="O411" s="124">
        <f t="shared" si="189"/>
        <v>34863.434734020622</v>
      </c>
    </row>
    <row r="412" spans="1:15" ht="13" thickTop="1" x14ac:dyDescent="0.25">
      <c r="B412" s="103"/>
      <c r="C412" s="103"/>
      <c r="D412" s="103"/>
      <c r="E412" s="103"/>
      <c r="F412" s="103"/>
      <c r="G412" s="103"/>
      <c r="H412" s="103"/>
      <c r="I412" s="102"/>
      <c r="J412" s="103"/>
      <c r="K412" s="103"/>
      <c r="L412" s="103"/>
      <c r="M412" s="118"/>
      <c r="O412" s="103"/>
    </row>
    <row r="413" spans="1:15" ht="52" x14ac:dyDescent="0.3">
      <c r="A413" s="77" t="s">
        <v>51</v>
      </c>
      <c r="B413" s="77" t="s">
        <v>3</v>
      </c>
      <c r="C413" s="77" t="s">
        <v>4</v>
      </c>
      <c r="D413" s="77" t="s">
        <v>5</v>
      </c>
      <c r="E413" s="77" t="s">
        <v>6</v>
      </c>
      <c r="F413" s="77" t="s">
        <v>7</v>
      </c>
      <c r="G413" s="77" t="s">
        <v>92</v>
      </c>
      <c r="H413" s="77" t="s">
        <v>93</v>
      </c>
      <c r="I413" s="94" t="s">
        <v>94</v>
      </c>
      <c r="J413" s="95" t="s">
        <v>95</v>
      </c>
      <c r="K413" s="95" t="s">
        <v>96</v>
      </c>
      <c r="L413" s="95" t="s">
        <v>97</v>
      </c>
      <c r="M413" s="96" t="s">
        <v>98</v>
      </c>
      <c r="N413" s="77" t="s">
        <v>99</v>
      </c>
      <c r="O413" s="77" t="s">
        <v>100</v>
      </c>
    </row>
    <row r="414" spans="1:15" ht="13" x14ac:dyDescent="0.3">
      <c r="A414" s="347" t="s">
        <v>14</v>
      </c>
      <c r="B414" s="347"/>
      <c r="C414" s="73">
        <f>VLOOKUP(B415,A$1:F$25,2,FALSE)</f>
        <v>42124</v>
      </c>
      <c r="D414" s="73">
        <f>DATE(YEAR(C414),IF(MONTH(C414)&lt;=3,3,IF(MONTH(C414)&lt;=6,6,IF(MONTH(C414)&lt;=9,9,12))),IF(OR(MONTH(C414)&lt;=3,MONTH(C414)&gt;=10),31,30))</f>
        <v>42185</v>
      </c>
      <c r="E414" s="72">
        <f>D414-C414+1</f>
        <v>62</v>
      </c>
      <c r="F414" s="74">
        <f>VLOOKUP(D414,'FERC Interest Rate'!$A:$B,2,TRUE)</f>
        <v>3.2500000000000001E-2</v>
      </c>
      <c r="G414" s="75">
        <f>VLOOKUP(B415,$A$1:$F$29,5,FALSE)</f>
        <v>3375.5</v>
      </c>
      <c r="H414" s="75">
        <f t="shared" ref="H414:H420" si="190">G414*F414*(E414/(DATE(YEAR(D414),12,31)-DATE(YEAR(D414),1,1)+1))</f>
        <v>18.634609589041094</v>
      </c>
      <c r="I414" s="180">
        <v>0</v>
      </c>
      <c r="J414" s="76">
        <v>0</v>
      </c>
      <c r="K414" s="116">
        <f t="shared" ref="K414:K439" si="191">+SUM(I414:J414)</f>
        <v>0</v>
      </c>
      <c r="L414" s="76">
        <v>0</v>
      </c>
      <c r="M414" s="117">
        <f t="shared" ref="M414:M439" si="192">+SUM(K414:L414)</f>
        <v>0</v>
      </c>
      <c r="N414" s="8">
        <f t="shared" ref="N414:N439" si="193">+G414+H414+J414</f>
        <v>3394.1346095890412</v>
      </c>
      <c r="O414" s="75">
        <f t="shared" ref="O414:O439" si="194">G414+H414-L414-I414</f>
        <v>3394.1346095890412</v>
      </c>
    </row>
    <row r="415" spans="1:15" ht="13" x14ac:dyDescent="0.3">
      <c r="A415" s="110" t="s">
        <v>40</v>
      </c>
      <c r="B415" s="141" t="s">
        <v>63</v>
      </c>
      <c r="C415" s="73">
        <f>D414+1</f>
        <v>42186</v>
      </c>
      <c r="D415" s="73">
        <f>EOMONTH(D414,3)</f>
        <v>42277</v>
      </c>
      <c r="E415" s="72">
        <f t="shared" ref="E415:E439" si="195">D415-C415+1</f>
        <v>92</v>
      </c>
      <c r="F415" s="74">
        <f>VLOOKUP(D415,'FERC Interest Rate'!$A:$B,2,TRUE)</f>
        <v>3.2500000000000001E-2</v>
      </c>
      <c r="G415" s="75">
        <f t="shared" ref="G415:G439" si="196">O414</f>
        <v>3394.1346095890412</v>
      </c>
      <c r="H415" s="75">
        <f t="shared" si="190"/>
        <v>27.804006801838998</v>
      </c>
      <c r="I415" s="180">
        <v>0</v>
      </c>
      <c r="J415" s="76">
        <v>0</v>
      </c>
      <c r="K415" s="116">
        <f t="shared" si="191"/>
        <v>0</v>
      </c>
      <c r="L415" s="76">
        <v>0</v>
      </c>
      <c r="M415" s="117">
        <f t="shared" si="192"/>
        <v>0</v>
      </c>
      <c r="N415" s="8">
        <f t="shared" si="193"/>
        <v>3421.9386163908803</v>
      </c>
      <c r="O415" s="75">
        <f t="shared" si="194"/>
        <v>3421.9386163908803</v>
      </c>
    </row>
    <row r="416" spans="1:15" x14ac:dyDescent="0.25">
      <c r="B416" s="72"/>
      <c r="C416" s="73">
        <f t="shared" ref="C416:C439" si="197">D415+1</f>
        <v>42278</v>
      </c>
      <c r="D416" s="73">
        <f t="shared" ref="D416:D439" si="198">EOMONTH(D415,3)</f>
        <v>42369</v>
      </c>
      <c r="E416" s="72">
        <f t="shared" si="195"/>
        <v>92</v>
      </c>
      <c r="F416" s="74">
        <f>VLOOKUP(D416,'FERC Interest Rate'!$A:$B,2,TRUE)</f>
        <v>3.2500000000000001E-2</v>
      </c>
      <c r="G416" s="75">
        <f t="shared" si="196"/>
        <v>3421.9386163908803</v>
      </c>
      <c r="H416" s="75">
        <f t="shared" si="190"/>
        <v>28.031771131530775</v>
      </c>
      <c r="I416" s="180">
        <v>0</v>
      </c>
      <c r="J416" s="76">
        <v>0</v>
      </c>
      <c r="K416" s="116">
        <f t="shared" si="191"/>
        <v>0</v>
      </c>
      <c r="L416" s="76">
        <v>0</v>
      </c>
      <c r="M416" s="117">
        <f t="shared" si="192"/>
        <v>0</v>
      </c>
      <c r="N416" s="8">
        <f t="shared" si="193"/>
        <v>3449.9703875224109</v>
      </c>
      <c r="O416" s="75">
        <f t="shared" si="194"/>
        <v>3449.9703875224109</v>
      </c>
    </row>
    <row r="417" spans="1:15" x14ac:dyDescent="0.25">
      <c r="B417" s="72"/>
      <c r="C417" s="73">
        <f t="shared" si="197"/>
        <v>42370</v>
      </c>
      <c r="D417" s="73">
        <f t="shared" si="198"/>
        <v>42460</v>
      </c>
      <c r="E417" s="72">
        <f t="shared" si="195"/>
        <v>91</v>
      </c>
      <c r="F417" s="74">
        <f>VLOOKUP(D417,'FERC Interest Rate'!$A:$B,2,TRUE)</f>
        <v>3.2500000000000001E-2</v>
      </c>
      <c r="G417" s="75">
        <f t="shared" si="196"/>
        <v>3449.9703875224109</v>
      </c>
      <c r="H417" s="75">
        <f t="shared" si="190"/>
        <v>27.877834483873034</v>
      </c>
      <c r="I417" s="180">
        <v>0</v>
      </c>
      <c r="J417" s="76">
        <v>0</v>
      </c>
      <c r="K417" s="116">
        <f t="shared" si="191"/>
        <v>0</v>
      </c>
      <c r="L417" s="76">
        <v>0</v>
      </c>
      <c r="M417" s="117">
        <f t="shared" si="192"/>
        <v>0</v>
      </c>
      <c r="N417" s="8">
        <f t="shared" si="193"/>
        <v>3477.8482220062838</v>
      </c>
      <c r="O417" s="75">
        <f t="shared" si="194"/>
        <v>3477.8482220062838</v>
      </c>
    </row>
    <row r="418" spans="1:15" x14ac:dyDescent="0.25">
      <c r="B418" s="72"/>
      <c r="C418" s="73">
        <f t="shared" si="197"/>
        <v>42461</v>
      </c>
      <c r="D418" s="73">
        <f t="shared" si="198"/>
        <v>42551</v>
      </c>
      <c r="E418" s="72">
        <f t="shared" si="195"/>
        <v>91</v>
      </c>
      <c r="F418" s="74">
        <f>VLOOKUP(D418,'FERC Interest Rate'!$A:$B,2,TRUE)</f>
        <v>3.4599999999999999E-2</v>
      </c>
      <c r="G418" s="75">
        <f t="shared" si="196"/>
        <v>3477.8482220062838</v>
      </c>
      <c r="H418" s="75">
        <f t="shared" si="190"/>
        <v>29.918997026800504</v>
      </c>
      <c r="I418" s="180">
        <v>0</v>
      </c>
      <c r="J418" s="76">
        <v>0</v>
      </c>
      <c r="K418" s="116">
        <f t="shared" si="191"/>
        <v>0</v>
      </c>
      <c r="L418" s="76">
        <v>0</v>
      </c>
      <c r="M418" s="117">
        <f t="shared" si="192"/>
        <v>0</v>
      </c>
      <c r="N418" s="8">
        <f t="shared" si="193"/>
        <v>3507.7672190330841</v>
      </c>
      <c r="O418" s="75">
        <f t="shared" si="194"/>
        <v>3507.7672190330841</v>
      </c>
    </row>
    <row r="419" spans="1:15" x14ac:dyDescent="0.25">
      <c r="B419" s="72"/>
      <c r="C419" s="73">
        <f t="shared" si="197"/>
        <v>42552</v>
      </c>
      <c r="D419" s="73">
        <f t="shared" si="198"/>
        <v>42643</v>
      </c>
      <c r="E419" s="72">
        <f t="shared" si="195"/>
        <v>92</v>
      </c>
      <c r="F419" s="74">
        <f>VLOOKUP(D419,'FERC Interest Rate'!$A:$B,2,TRUE)</f>
        <v>3.5000000000000003E-2</v>
      </c>
      <c r="G419" s="75">
        <f t="shared" si="196"/>
        <v>3507.7672190330841</v>
      </c>
      <c r="H419" s="75">
        <f t="shared" si="190"/>
        <v>30.860684276739157</v>
      </c>
      <c r="I419" s="180">
        <v>0</v>
      </c>
      <c r="J419" s="76">
        <v>0</v>
      </c>
      <c r="K419" s="116">
        <f t="shared" si="191"/>
        <v>0</v>
      </c>
      <c r="L419" s="76">
        <v>0</v>
      </c>
      <c r="M419" s="117">
        <f t="shared" si="192"/>
        <v>0</v>
      </c>
      <c r="N419" s="8">
        <f t="shared" si="193"/>
        <v>3538.6279033098231</v>
      </c>
      <c r="O419" s="75">
        <f t="shared" si="194"/>
        <v>3538.6279033098231</v>
      </c>
    </row>
    <row r="420" spans="1:15" x14ac:dyDescent="0.25">
      <c r="A420" s="17" t="s">
        <v>52</v>
      </c>
      <c r="B420" s="72" t="str">
        <f t="shared" ref="B420:B434" si="199">+IF(MONTH(C420)&lt;4,"Q1",IF(MONTH(C420)&lt;7,"Q2",IF(MONTH(C420)&lt;10,"Q3","Q4")))&amp;"/"&amp;YEAR(C420)</f>
        <v>Q4/2016</v>
      </c>
      <c r="C420" s="73">
        <f t="shared" si="197"/>
        <v>42644</v>
      </c>
      <c r="D420" s="73">
        <f t="shared" si="198"/>
        <v>42735</v>
      </c>
      <c r="E420" s="72">
        <f t="shared" si="195"/>
        <v>92</v>
      </c>
      <c r="F420" s="74">
        <f>VLOOKUP(D420,'FERC Interest Rate'!$A:$B,2,TRUE)</f>
        <v>3.5000000000000003E-2</v>
      </c>
      <c r="G420" s="75">
        <f t="shared" si="196"/>
        <v>3538.6279033098231</v>
      </c>
      <c r="H420" s="75">
        <f t="shared" si="190"/>
        <v>31.132190843326864</v>
      </c>
      <c r="I420" s="180">
        <f>(SUM($H$414:$H$440)/20)</f>
        <v>9.7130047076575217</v>
      </c>
      <c r="J420" s="76">
        <v>0</v>
      </c>
      <c r="K420" s="116">
        <f t="shared" si="191"/>
        <v>9.7130047076575217</v>
      </c>
      <c r="L420" s="76">
        <f t="shared" ref="L420:L439" si="200">VLOOKUP($B$415,A$1:F$25,5,FALSE)/20</f>
        <v>168.77500000000001</v>
      </c>
      <c r="M420" s="117">
        <f t="shared" si="192"/>
        <v>178.48800470765752</v>
      </c>
      <c r="N420" s="8">
        <f t="shared" si="193"/>
        <v>3569.76009415315</v>
      </c>
      <c r="O420" s="75">
        <f t="shared" si="194"/>
        <v>3391.2720894454924</v>
      </c>
    </row>
    <row r="421" spans="1:15" x14ac:dyDescent="0.25">
      <c r="A421" s="17" t="s">
        <v>53</v>
      </c>
      <c r="B421" s="72" t="str">
        <f t="shared" si="199"/>
        <v>Q1/2017</v>
      </c>
      <c r="C421" s="73">
        <f t="shared" si="197"/>
        <v>42736</v>
      </c>
      <c r="D421" s="73">
        <f t="shared" si="198"/>
        <v>42825</v>
      </c>
      <c r="E421" s="72">
        <f t="shared" si="195"/>
        <v>90</v>
      </c>
      <c r="F421" s="74">
        <f>VLOOKUP(D421,'FERC Interest Rate'!$A:$B,2,TRUE)</f>
        <v>3.5000000000000003E-2</v>
      </c>
      <c r="G421" s="75">
        <f t="shared" si="196"/>
        <v>3391.2720894454924</v>
      </c>
      <c r="H421" s="75">
        <v>0</v>
      </c>
      <c r="I421" s="180">
        <f t="shared" ref="I421:I439" si="201">(SUM($H$414:$H$440)/20)</f>
        <v>9.7130047076575217</v>
      </c>
      <c r="J421" s="76">
        <f>G421*F421*(E421/(DATE(YEAR(D421),12,31)-DATE(YEAR(D421),1,1)+1))</f>
        <v>29.267142689735074</v>
      </c>
      <c r="K421" s="116">
        <f t="shared" si="191"/>
        <v>38.980147397392599</v>
      </c>
      <c r="L421" s="76">
        <f t="shared" si="200"/>
        <v>168.77500000000001</v>
      </c>
      <c r="M421" s="117">
        <f t="shared" si="192"/>
        <v>207.75514739739259</v>
      </c>
      <c r="N421" s="8">
        <f t="shared" si="193"/>
        <v>3420.5392321352274</v>
      </c>
      <c r="O421" s="75">
        <f t="shared" si="194"/>
        <v>3212.7840847378347</v>
      </c>
    </row>
    <row r="422" spans="1:15" x14ac:dyDescent="0.25">
      <c r="A422" s="17" t="s">
        <v>54</v>
      </c>
      <c r="B422" s="72" t="str">
        <f t="shared" si="199"/>
        <v>Q2/2017</v>
      </c>
      <c r="C422" s="73">
        <f t="shared" si="197"/>
        <v>42826</v>
      </c>
      <c r="D422" s="73">
        <f t="shared" si="198"/>
        <v>42916</v>
      </c>
      <c r="E422" s="72">
        <f t="shared" si="195"/>
        <v>91</v>
      </c>
      <c r="F422" s="74">
        <f>VLOOKUP(D422,'FERC Interest Rate'!$A:$B,2,TRUE)</f>
        <v>3.7100000000000001E-2</v>
      </c>
      <c r="G422" s="75">
        <f t="shared" si="196"/>
        <v>3212.7840847378347</v>
      </c>
      <c r="H422" s="75">
        <v>0</v>
      </c>
      <c r="I422" s="180">
        <f t="shared" si="201"/>
        <v>9.7130047076575217</v>
      </c>
      <c r="J422" s="76">
        <f>G422*F422*(E422/(DATE(YEAR(D422),12,31)-DATE(YEAR(D422),1,1)+1))</f>
        <v>29.716932461598368</v>
      </c>
      <c r="K422" s="116">
        <f t="shared" si="191"/>
        <v>39.429937169255894</v>
      </c>
      <c r="L422" s="76">
        <f t="shared" si="200"/>
        <v>168.77500000000001</v>
      </c>
      <c r="M422" s="117">
        <f t="shared" si="192"/>
        <v>208.20493716925591</v>
      </c>
      <c r="N422" s="8">
        <f t="shared" si="193"/>
        <v>3242.5010171994331</v>
      </c>
      <c r="O422" s="75">
        <f t="shared" si="194"/>
        <v>3034.2960800301771</v>
      </c>
    </row>
    <row r="423" spans="1:15" x14ac:dyDescent="0.25">
      <c r="A423" s="17" t="s">
        <v>55</v>
      </c>
      <c r="B423" s="72" t="str">
        <f t="shared" si="199"/>
        <v>Q3/2017</v>
      </c>
      <c r="C423" s="73">
        <f t="shared" si="197"/>
        <v>42917</v>
      </c>
      <c r="D423" s="73">
        <f t="shared" si="198"/>
        <v>43008</v>
      </c>
      <c r="E423" s="72">
        <f t="shared" si="195"/>
        <v>92</v>
      </c>
      <c r="F423" s="74">
        <f>VLOOKUP(D423,'FERC Interest Rate'!$A:$B,2,TRUE)</f>
        <v>3.9600000000000003E-2</v>
      </c>
      <c r="G423" s="75">
        <f t="shared" si="196"/>
        <v>3034.2960800301771</v>
      </c>
      <c r="H423" s="75">
        <v>0</v>
      </c>
      <c r="I423" s="99">
        <f t="shared" si="201"/>
        <v>9.7130047076575217</v>
      </c>
      <c r="J423" s="76">
        <f>G423*F423*(E423/(DATE(YEAR(D423),12,31)-DATE(YEAR(D423),1,1)+1))</f>
        <v>30.286431448673817</v>
      </c>
      <c r="K423" s="116">
        <f t="shared" si="191"/>
        <v>39.999436156331342</v>
      </c>
      <c r="L423" s="76">
        <f t="shared" si="200"/>
        <v>168.77500000000001</v>
      </c>
      <c r="M423" s="117">
        <f t="shared" si="192"/>
        <v>208.77443615633135</v>
      </c>
      <c r="N423" s="8">
        <f t="shared" si="193"/>
        <v>3064.5825114788508</v>
      </c>
      <c r="O423" s="75">
        <f t="shared" si="194"/>
        <v>2855.8080753225195</v>
      </c>
    </row>
    <row r="424" spans="1:15" x14ac:dyDescent="0.25">
      <c r="A424" s="17" t="s">
        <v>56</v>
      </c>
      <c r="B424" s="72" t="str">
        <f t="shared" si="199"/>
        <v>Q4/2017</v>
      </c>
      <c r="C424" s="73">
        <f t="shared" si="197"/>
        <v>43009</v>
      </c>
      <c r="D424" s="73">
        <f t="shared" si="198"/>
        <v>43100</v>
      </c>
      <c r="E424" s="72">
        <f t="shared" si="195"/>
        <v>92</v>
      </c>
      <c r="F424" s="74">
        <f>VLOOKUP(D424,'FERC Interest Rate'!$A:$B,2,TRUE)</f>
        <v>4.2099999999999999E-2</v>
      </c>
      <c r="G424" s="75">
        <f t="shared" si="196"/>
        <v>2855.8080753225195</v>
      </c>
      <c r="H424" s="75">
        <v>0</v>
      </c>
      <c r="I424" s="99">
        <f t="shared" si="201"/>
        <v>9.7130047076575217</v>
      </c>
      <c r="J424" s="76">
        <f>G424*F424*(E424/(DATE(YEAR(D424),12,31)-DATE(YEAR(D424),1,1)+1))</f>
        <v>30.3044269516142</v>
      </c>
      <c r="K424" s="116">
        <f t="shared" si="191"/>
        <v>40.017431659271722</v>
      </c>
      <c r="L424" s="76">
        <f t="shared" si="200"/>
        <v>168.77500000000001</v>
      </c>
      <c r="M424" s="117">
        <f t="shared" si="192"/>
        <v>208.79243165927173</v>
      </c>
      <c r="N424" s="8">
        <f t="shared" si="193"/>
        <v>2886.1125022741335</v>
      </c>
      <c r="O424" s="75">
        <f t="shared" si="194"/>
        <v>2677.3200706148618</v>
      </c>
    </row>
    <row r="425" spans="1:15" x14ac:dyDescent="0.25">
      <c r="A425" s="17" t="s">
        <v>57</v>
      </c>
      <c r="B425" s="72" t="str">
        <f t="shared" si="199"/>
        <v>Q1/2018</v>
      </c>
      <c r="C425" s="73">
        <f t="shared" si="197"/>
        <v>43101</v>
      </c>
      <c r="D425" s="73">
        <f t="shared" si="198"/>
        <v>43190</v>
      </c>
      <c r="E425" s="72">
        <f t="shared" si="195"/>
        <v>90</v>
      </c>
      <c r="F425" s="74">
        <f>VLOOKUP(D425,'FERC Interest Rate'!$A:$B,2,TRUE)</f>
        <v>4.2500000000000003E-2</v>
      </c>
      <c r="G425" s="75">
        <f t="shared" si="196"/>
        <v>2677.3200706148618</v>
      </c>
      <c r="H425" s="75">
        <v>0</v>
      </c>
      <c r="I425" s="99">
        <f t="shared" si="201"/>
        <v>9.7130047076575217</v>
      </c>
      <c r="J425" s="76">
        <f>G425*F425*(E425/(DATE(YEAR(D425),12,31)-DATE(YEAR(D425),1,1)+1))</f>
        <v>28.056847315347525</v>
      </c>
      <c r="K425" s="116">
        <f t="shared" si="191"/>
        <v>37.769852023005043</v>
      </c>
      <c r="L425" s="76">
        <f t="shared" si="200"/>
        <v>168.77500000000001</v>
      </c>
      <c r="M425" s="117">
        <f t="shared" si="192"/>
        <v>206.54485202300503</v>
      </c>
      <c r="N425" s="8">
        <f t="shared" si="193"/>
        <v>2705.3769179302094</v>
      </c>
      <c r="O425" s="75">
        <f t="shared" si="194"/>
        <v>2498.8320659072042</v>
      </c>
    </row>
    <row r="426" spans="1:15" x14ac:dyDescent="0.25">
      <c r="A426" s="17" t="s">
        <v>58</v>
      </c>
      <c r="B426" s="72" t="str">
        <f t="shared" si="199"/>
        <v>Q2/2018</v>
      </c>
      <c r="C426" s="73">
        <f t="shared" si="197"/>
        <v>43191</v>
      </c>
      <c r="D426" s="73">
        <f t="shared" si="198"/>
        <v>43281</v>
      </c>
      <c r="E426" s="72">
        <f t="shared" si="195"/>
        <v>91</v>
      </c>
      <c r="F426" s="74">
        <f>VLOOKUP(D426,'FERC Interest Rate'!$A:$B,2,TRUE)</f>
        <v>4.4699999999999997E-2</v>
      </c>
      <c r="G426" s="75">
        <f t="shared" si="196"/>
        <v>2498.8320659072042</v>
      </c>
      <c r="H426" s="75">
        <v>0</v>
      </c>
      <c r="I426" s="99">
        <f t="shared" si="201"/>
        <v>9.7130047076575217</v>
      </c>
      <c r="J426" s="76">
        <f t="shared" ref="J426:J439" si="202">G426*F426*(E426/(DATE(YEAR(D426),12,31)-DATE(YEAR(D426),1,1)+1))</f>
        <v>27.847942998604751</v>
      </c>
      <c r="K426" s="116">
        <f t="shared" si="191"/>
        <v>37.560947706262269</v>
      </c>
      <c r="L426" s="76">
        <f t="shared" si="200"/>
        <v>168.77500000000001</v>
      </c>
      <c r="M426" s="117">
        <f t="shared" si="192"/>
        <v>206.33594770626229</v>
      </c>
      <c r="N426" s="8">
        <f t="shared" si="193"/>
        <v>2526.6800089058088</v>
      </c>
      <c r="O426" s="75">
        <f t="shared" si="194"/>
        <v>2320.3440611995466</v>
      </c>
    </row>
    <row r="427" spans="1:15" x14ac:dyDescent="0.25">
      <c r="A427" s="17" t="s">
        <v>59</v>
      </c>
      <c r="B427" s="72" t="str">
        <f t="shared" si="199"/>
        <v>Q3/2018</v>
      </c>
      <c r="C427" s="73">
        <f t="shared" si="197"/>
        <v>43282</v>
      </c>
      <c r="D427" s="73">
        <f t="shared" si="198"/>
        <v>43373</v>
      </c>
      <c r="E427" s="72">
        <f t="shared" si="195"/>
        <v>92</v>
      </c>
      <c r="F427" s="74">
        <f>VLOOKUP(D427,'FERC Interest Rate'!$A:$B,2,TRUE)</f>
        <v>4.6899999999999997E-2</v>
      </c>
      <c r="G427" s="75">
        <f t="shared" si="196"/>
        <v>2320.3440611995466</v>
      </c>
      <c r="H427" s="75">
        <v>0</v>
      </c>
      <c r="I427" s="99">
        <f t="shared" si="201"/>
        <v>9.7130047076575217</v>
      </c>
      <c r="J427" s="76">
        <f t="shared" si="202"/>
        <v>27.429645356887132</v>
      </c>
      <c r="K427" s="116">
        <f t="shared" si="191"/>
        <v>37.142650064544654</v>
      </c>
      <c r="L427" s="76">
        <f t="shared" si="200"/>
        <v>168.77500000000001</v>
      </c>
      <c r="M427" s="117">
        <f t="shared" si="192"/>
        <v>205.91765006454466</v>
      </c>
      <c r="N427" s="8">
        <f t="shared" si="193"/>
        <v>2347.7737065564338</v>
      </c>
      <c r="O427" s="75">
        <f t="shared" si="194"/>
        <v>2141.8560564918889</v>
      </c>
    </row>
    <row r="428" spans="1:15" x14ac:dyDescent="0.25">
      <c r="A428" s="17" t="s">
        <v>60</v>
      </c>
      <c r="B428" s="72" t="str">
        <f t="shared" si="199"/>
        <v>Q4/2018</v>
      </c>
      <c r="C428" s="73">
        <f t="shared" si="197"/>
        <v>43374</v>
      </c>
      <c r="D428" s="73">
        <f t="shared" si="198"/>
        <v>43465</v>
      </c>
      <c r="E428" s="72">
        <f t="shared" si="195"/>
        <v>92</v>
      </c>
      <c r="F428" s="74">
        <f>VLOOKUP(D428,'FERC Interest Rate'!$A:$B,2,TRUE)</f>
        <v>4.9599999999999998E-2</v>
      </c>
      <c r="G428" s="75">
        <f t="shared" si="196"/>
        <v>2141.8560564918889</v>
      </c>
      <c r="H428" s="75">
        <v>0</v>
      </c>
      <c r="I428" s="99">
        <f t="shared" si="201"/>
        <v>9.7130047076575217</v>
      </c>
      <c r="J428" s="76">
        <f t="shared" si="202"/>
        <v>26.777308375298048</v>
      </c>
      <c r="K428" s="116">
        <f t="shared" si="191"/>
        <v>36.490313082955566</v>
      </c>
      <c r="L428" s="76">
        <f t="shared" si="200"/>
        <v>168.77500000000001</v>
      </c>
      <c r="M428" s="117">
        <f t="shared" si="192"/>
        <v>205.26531308295557</v>
      </c>
      <c r="N428" s="8">
        <f t="shared" si="193"/>
        <v>2168.6333648671871</v>
      </c>
      <c r="O428" s="75">
        <f t="shared" si="194"/>
        <v>1963.3680517842313</v>
      </c>
    </row>
    <row r="429" spans="1:15" x14ac:dyDescent="0.25">
      <c r="A429" s="17" t="s">
        <v>61</v>
      </c>
      <c r="B429" s="72" t="str">
        <f t="shared" si="199"/>
        <v>Q1/2019</v>
      </c>
      <c r="C429" s="73">
        <f t="shared" si="197"/>
        <v>43466</v>
      </c>
      <c r="D429" s="73">
        <f t="shared" si="198"/>
        <v>43555</v>
      </c>
      <c r="E429" s="72">
        <f t="shared" si="195"/>
        <v>90</v>
      </c>
      <c r="F429" s="74">
        <f>VLOOKUP(D429,'FERC Interest Rate'!$A:$B,2,TRUE)</f>
        <v>5.1799999999999999E-2</v>
      </c>
      <c r="G429" s="75">
        <f t="shared" si="196"/>
        <v>1963.3680517842313</v>
      </c>
      <c r="H429" s="75">
        <v>0</v>
      </c>
      <c r="I429" s="99">
        <f t="shared" si="201"/>
        <v>9.7130047076575217</v>
      </c>
      <c r="J429" s="76">
        <f t="shared" si="202"/>
        <v>25.077320157309824</v>
      </c>
      <c r="K429" s="116">
        <f t="shared" si="191"/>
        <v>34.790324864967346</v>
      </c>
      <c r="L429" s="76">
        <f t="shared" si="200"/>
        <v>168.77500000000001</v>
      </c>
      <c r="M429" s="117">
        <f t="shared" si="192"/>
        <v>203.56532486496735</v>
      </c>
      <c r="N429" s="8">
        <f t="shared" si="193"/>
        <v>1988.445371941541</v>
      </c>
      <c r="O429" s="75">
        <f t="shared" si="194"/>
        <v>1784.8800470765736</v>
      </c>
    </row>
    <row r="430" spans="1:15" x14ac:dyDescent="0.25">
      <c r="A430" s="17" t="s">
        <v>62</v>
      </c>
      <c r="B430" s="72" t="str">
        <f t="shared" si="199"/>
        <v>Q2/2019</v>
      </c>
      <c r="C430" s="73">
        <f t="shared" si="197"/>
        <v>43556</v>
      </c>
      <c r="D430" s="73">
        <f t="shared" si="198"/>
        <v>43646</v>
      </c>
      <c r="E430" s="72">
        <f t="shared" si="195"/>
        <v>91</v>
      </c>
      <c r="F430" s="74">
        <f>VLOOKUP(D430,'FERC Interest Rate'!$A:$B,2,TRUE)</f>
        <v>5.45E-2</v>
      </c>
      <c r="G430" s="75">
        <f t="shared" si="196"/>
        <v>1784.8800470765736</v>
      </c>
      <c r="H430" s="75">
        <v>0</v>
      </c>
      <c r="I430" s="99">
        <f t="shared" si="201"/>
        <v>9.7130047076575217</v>
      </c>
      <c r="J430" s="76">
        <f t="shared" si="202"/>
        <v>24.252363269797993</v>
      </c>
      <c r="K430" s="116">
        <f t="shared" si="191"/>
        <v>33.965367977455514</v>
      </c>
      <c r="L430" s="76">
        <f t="shared" si="200"/>
        <v>168.77500000000001</v>
      </c>
      <c r="M430" s="117">
        <f t="shared" si="192"/>
        <v>202.74036797745552</v>
      </c>
      <c r="N430" s="8">
        <f t="shared" si="193"/>
        <v>1809.1324103463717</v>
      </c>
      <c r="O430" s="75">
        <f t="shared" si="194"/>
        <v>1606.392042368916</v>
      </c>
    </row>
    <row r="431" spans="1:15" x14ac:dyDescent="0.25">
      <c r="A431" s="17" t="s">
        <v>63</v>
      </c>
      <c r="B431" s="72" t="str">
        <f t="shared" si="199"/>
        <v>Q3/2019</v>
      </c>
      <c r="C431" s="73">
        <f t="shared" si="197"/>
        <v>43647</v>
      </c>
      <c r="D431" s="73">
        <f t="shared" si="198"/>
        <v>43738</v>
      </c>
      <c r="E431" s="72">
        <f t="shared" si="195"/>
        <v>92</v>
      </c>
      <c r="F431" s="74">
        <f>VLOOKUP(D431,'FERC Interest Rate'!$A:$B,2,TRUE)</f>
        <v>5.5E-2</v>
      </c>
      <c r="G431" s="75">
        <f t="shared" si="196"/>
        <v>1606.392042368916</v>
      </c>
      <c r="H431" s="75">
        <v>0</v>
      </c>
      <c r="I431" s="99">
        <f t="shared" si="201"/>
        <v>9.7130047076575217</v>
      </c>
      <c r="J431" s="76">
        <f t="shared" si="202"/>
        <v>22.269434888730729</v>
      </c>
      <c r="K431" s="116">
        <f t="shared" si="191"/>
        <v>31.98243959638825</v>
      </c>
      <c r="L431" s="76">
        <f t="shared" si="200"/>
        <v>168.77500000000001</v>
      </c>
      <c r="M431" s="117">
        <f t="shared" si="192"/>
        <v>200.75743959638825</v>
      </c>
      <c r="N431" s="8">
        <f t="shared" si="193"/>
        <v>1628.6614772576468</v>
      </c>
      <c r="O431" s="75">
        <f t="shared" si="194"/>
        <v>1427.9040376612584</v>
      </c>
    </row>
    <row r="432" spans="1:15" x14ac:dyDescent="0.25">
      <c r="A432" s="17" t="s">
        <v>64</v>
      </c>
      <c r="B432" s="72" t="str">
        <f t="shared" si="199"/>
        <v>Q4/2019</v>
      </c>
      <c r="C432" s="73">
        <f t="shared" si="197"/>
        <v>43739</v>
      </c>
      <c r="D432" s="73">
        <f t="shared" si="198"/>
        <v>43830</v>
      </c>
      <c r="E432" s="72">
        <f t="shared" si="195"/>
        <v>92</v>
      </c>
      <c r="F432" s="74">
        <f>VLOOKUP(D432,'FERC Interest Rate'!$A:$B,2,TRUE)</f>
        <v>5.4199999999999998E-2</v>
      </c>
      <c r="G432" s="75">
        <f t="shared" si="196"/>
        <v>1427.9040376612584</v>
      </c>
      <c r="H432" s="75">
        <v>0</v>
      </c>
      <c r="I432" s="99">
        <f t="shared" si="201"/>
        <v>9.7130047076575217</v>
      </c>
      <c r="J432" s="76">
        <f t="shared" si="202"/>
        <v>19.507125187381096</v>
      </c>
      <c r="K432" s="116">
        <f t="shared" si="191"/>
        <v>29.220129895038617</v>
      </c>
      <c r="L432" s="76">
        <f t="shared" si="200"/>
        <v>168.77500000000001</v>
      </c>
      <c r="M432" s="117">
        <f t="shared" si="192"/>
        <v>197.99512989503862</v>
      </c>
      <c r="N432" s="8">
        <f t="shared" si="193"/>
        <v>1447.4111628486394</v>
      </c>
      <c r="O432" s="75">
        <f t="shared" si="194"/>
        <v>1249.4160329536007</v>
      </c>
    </row>
    <row r="433" spans="1:15" x14ac:dyDescent="0.25">
      <c r="A433" s="17" t="s">
        <v>65</v>
      </c>
      <c r="B433" s="72" t="str">
        <f t="shared" si="199"/>
        <v>Q1/2020</v>
      </c>
      <c r="C433" s="73">
        <f t="shared" si="197"/>
        <v>43831</v>
      </c>
      <c r="D433" s="73">
        <f t="shared" si="198"/>
        <v>43921</v>
      </c>
      <c r="E433" s="72">
        <f t="shared" si="195"/>
        <v>91</v>
      </c>
      <c r="F433" s="74">
        <f>VLOOKUP(D433,'FERC Interest Rate'!$A:$B,2,TRUE)</f>
        <v>4.9599999999999998E-2</v>
      </c>
      <c r="G433" s="75">
        <f t="shared" si="196"/>
        <v>1249.4160329536007</v>
      </c>
      <c r="H433" s="75">
        <v>0</v>
      </c>
      <c r="I433" s="99">
        <f t="shared" si="201"/>
        <v>9.7130047076575217</v>
      </c>
      <c r="J433" s="76">
        <f t="shared" si="202"/>
        <v>15.408098924424513</v>
      </c>
      <c r="K433" s="116">
        <f t="shared" si="191"/>
        <v>25.121103632082033</v>
      </c>
      <c r="L433" s="76">
        <f t="shared" si="200"/>
        <v>168.77500000000001</v>
      </c>
      <c r="M433" s="117">
        <f t="shared" si="192"/>
        <v>193.89610363208203</v>
      </c>
      <c r="N433" s="8">
        <f t="shared" si="193"/>
        <v>1264.8241318780254</v>
      </c>
      <c r="O433" s="75">
        <f t="shared" si="194"/>
        <v>1070.9280282459431</v>
      </c>
    </row>
    <row r="434" spans="1:15" x14ac:dyDescent="0.25">
      <c r="A434" s="17" t="s">
        <v>66</v>
      </c>
      <c r="B434" s="72" t="str">
        <f t="shared" si="199"/>
        <v>Q2/2020</v>
      </c>
      <c r="C434" s="73">
        <f t="shared" si="197"/>
        <v>43922</v>
      </c>
      <c r="D434" s="73">
        <f t="shared" si="198"/>
        <v>44012</v>
      </c>
      <c r="E434" s="72">
        <f t="shared" si="195"/>
        <v>91</v>
      </c>
      <c r="F434" s="74">
        <f>VLOOKUP(D434,'FERC Interest Rate'!$A:$B,2,TRUE)</f>
        <v>4.7503500000000004E-2</v>
      </c>
      <c r="G434" s="75">
        <f t="shared" si="196"/>
        <v>1070.9280282459431</v>
      </c>
      <c r="H434" s="75">
        <v>0</v>
      </c>
      <c r="I434" s="99">
        <f t="shared" si="201"/>
        <v>9.7130047076575217</v>
      </c>
      <c r="J434" s="76">
        <f t="shared" si="202"/>
        <v>12.648708996366354</v>
      </c>
      <c r="K434" s="116">
        <f t="shared" si="191"/>
        <v>22.361713704023877</v>
      </c>
      <c r="L434" s="76">
        <f t="shared" si="200"/>
        <v>168.77500000000001</v>
      </c>
      <c r="M434" s="117">
        <f t="shared" si="192"/>
        <v>191.13671370402389</v>
      </c>
      <c r="N434" s="8">
        <f t="shared" si="193"/>
        <v>1083.5767372423095</v>
      </c>
      <c r="O434" s="75">
        <f t="shared" si="194"/>
        <v>892.44002353828557</v>
      </c>
    </row>
    <row r="435" spans="1:15" x14ac:dyDescent="0.25">
      <c r="A435" s="17" t="s">
        <v>67</v>
      </c>
      <c r="B435" s="72" t="str">
        <f>+IF(MONTH(C435)&lt;4,"Q1",IF(MONTH(C435)&lt;7,"Q2",IF(MONTH(C435)&lt;10,"Q3","Q4")))&amp;"/"&amp;YEAR(C435)</f>
        <v>Q3/2020</v>
      </c>
      <c r="C435" s="73">
        <f t="shared" si="197"/>
        <v>44013</v>
      </c>
      <c r="D435" s="73">
        <f t="shared" si="198"/>
        <v>44104</v>
      </c>
      <c r="E435" s="72">
        <f t="shared" si="195"/>
        <v>92</v>
      </c>
      <c r="F435" s="74">
        <f>VLOOKUP(D435,'FERC Interest Rate'!$A:$B,2,TRUE)</f>
        <v>4.7507929999999997E-2</v>
      </c>
      <c r="G435" s="75">
        <f t="shared" si="196"/>
        <v>892.44002353828557</v>
      </c>
      <c r="H435" s="75">
        <v>0</v>
      </c>
      <c r="I435" s="99">
        <f t="shared" si="201"/>
        <v>9.7130047076575217</v>
      </c>
      <c r="J435" s="76">
        <f t="shared" si="202"/>
        <v>10.657415277065247</v>
      </c>
      <c r="K435" s="116">
        <f t="shared" si="191"/>
        <v>20.370419984722769</v>
      </c>
      <c r="L435" s="76">
        <f t="shared" si="200"/>
        <v>168.77500000000001</v>
      </c>
      <c r="M435" s="117">
        <f t="shared" si="192"/>
        <v>189.14541998472276</v>
      </c>
      <c r="N435" s="8">
        <f t="shared" si="193"/>
        <v>903.09743881535087</v>
      </c>
      <c r="O435" s="75">
        <f t="shared" si="194"/>
        <v>713.95201883062805</v>
      </c>
    </row>
    <row r="436" spans="1:15" x14ac:dyDescent="0.25">
      <c r="A436" s="17" t="s">
        <v>68</v>
      </c>
      <c r="B436" s="72" t="str">
        <f>+IF(MONTH(C436)&lt;4,"Q1",IF(MONTH(C436)&lt;7,"Q2",IF(MONTH(C436)&lt;10,"Q3","Q4")))&amp;"/"&amp;YEAR(C436)</f>
        <v>Q4/2020</v>
      </c>
      <c r="C436" s="73">
        <f t="shared" si="197"/>
        <v>44105</v>
      </c>
      <c r="D436" s="73">
        <f t="shared" si="198"/>
        <v>44196</v>
      </c>
      <c r="E436" s="72">
        <f t="shared" si="195"/>
        <v>92</v>
      </c>
      <c r="F436" s="74">
        <f>VLOOKUP(D436,'FERC Interest Rate'!$A:$B,2,TRUE)</f>
        <v>4.7922320000000004E-2</v>
      </c>
      <c r="G436" s="75">
        <f t="shared" si="196"/>
        <v>713.95201883062805</v>
      </c>
      <c r="H436" s="75">
        <v>0</v>
      </c>
      <c r="I436" s="99">
        <f t="shared" si="201"/>
        <v>9.7130047076575217</v>
      </c>
      <c r="J436" s="76">
        <f t="shared" si="202"/>
        <v>8.6003000388425139</v>
      </c>
      <c r="K436" s="116">
        <f t="shared" si="191"/>
        <v>18.313304746500037</v>
      </c>
      <c r="L436" s="76">
        <f t="shared" si="200"/>
        <v>168.77500000000001</v>
      </c>
      <c r="M436" s="117">
        <f t="shared" si="192"/>
        <v>187.08830474650006</v>
      </c>
      <c r="N436" s="8">
        <f t="shared" si="193"/>
        <v>722.55231886947058</v>
      </c>
      <c r="O436" s="75">
        <f t="shared" si="194"/>
        <v>535.46401412297053</v>
      </c>
    </row>
    <row r="437" spans="1:15" x14ac:dyDescent="0.25">
      <c r="A437" s="17" t="s">
        <v>69</v>
      </c>
      <c r="B437" s="72" t="str">
        <f>+IF(MONTH(C437)&lt;4,"Q1",IF(MONTH(C437)&lt;7,"Q2",IF(MONTH(C437)&lt;10,"Q3","Q4")))&amp;"/"&amp;YEAR(C437)</f>
        <v>Q1/2021</v>
      </c>
      <c r="C437" s="73">
        <f t="shared" si="197"/>
        <v>44197</v>
      </c>
      <c r="D437" s="73">
        <f t="shared" si="198"/>
        <v>44286</v>
      </c>
      <c r="E437" s="72">
        <f t="shared" si="195"/>
        <v>90</v>
      </c>
      <c r="F437" s="74">
        <f>VLOOKUP(D437,'FERC Interest Rate'!$A:$B,2,TRUE)</f>
        <v>5.0023470000000007E-2</v>
      </c>
      <c r="G437" s="75">
        <f t="shared" si="196"/>
        <v>535.46401412297053</v>
      </c>
      <c r="H437" s="75">
        <v>0</v>
      </c>
      <c r="I437" s="99">
        <f t="shared" si="201"/>
        <v>9.7130047076575217</v>
      </c>
      <c r="J437" s="76">
        <f t="shared" si="202"/>
        <v>6.6047099292887665</v>
      </c>
      <c r="K437" s="116">
        <f t="shared" si="191"/>
        <v>16.317714636946288</v>
      </c>
      <c r="L437" s="76">
        <f t="shared" si="200"/>
        <v>168.77500000000001</v>
      </c>
      <c r="M437" s="117">
        <f t="shared" si="192"/>
        <v>185.09271463694628</v>
      </c>
      <c r="N437" s="8">
        <f t="shared" si="193"/>
        <v>542.06872405225931</v>
      </c>
      <c r="O437" s="75">
        <f t="shared" si="194"/>
        <v>356.976009415313</v>
      </c>
    </row>
    <row r="438" spans="1:15" x14ac:dyDescent="0.25">
      <c r="A438" s="17" t="s">
        <v>70</v>
      </c>
      <c r="B438" s="72" t="str">
        <f>+IF(MONTH(C438)&lt;4,"Q1",IF(MONTH(C438)&lt;7,"Q2",IF(MONTH(C438)&lt;10,"Q3","Q4")))&amp;"/"&amp;YEAR(C438)</f>
        <v>Q2/2021</v>
      </c>
      <c r="C438" s="73">
        <f t="shared" si="197"/>
        <v>44287</v>
      </c>
      <c r="D438" s="73">
        <f t="shared" si="198"/>
        <v>44377</v>
      </c>
      <c r="E438" s="72">
        <f t="shared" si="195"/>
        <v>91</v>
      </c>
      <c r="F438" s="74">
        <f>VLOOKUP(D438,'FERC Interest Rate'!$A:$B,2,TRUE)</f>
        <v>5.0403730000000001E-2</v>
      </c>
      <c r="G438" s="75">
        <f t="shared" si="196"/>
        <v>356.976009415313</v>
      </c>
      <c r="H438" s="75">
        <v>0</v>
      </c>
      <c r="I438" s="99">
        <f t="shared" si="201"/>
        <v>9.7130047076575217</v>
      </c>
      <c r="J438" s="76">
        <f t="shared" si="202"/>
        <v>4.4859066793130609</v>
      </c>
      <c r="K438" s="116">
        <f t="shared" si="191"/>
        <v>14.198911386970583</v>
      </c>
      <c r="L438" s="76">
        <f t="shared" si="200"/>
        <v>168.77500000000001</v>
      </c>
      <c r="M438" s="117">
        <f t="shared" si="192"/>
        <v>182.9739113869706</v>
      </c>
      <c r="N438" s="8">
        <f t="shared" si="193"/>
        <v>361.46191609462608</v>
      </c>
      <c r="O438" s="75">
        <f t="shared" si="194"/>
        <v>178.48800470765548</v>
      </c>
    </row>
    <row r="439" spans="1:15" x14ac:dyDescent="0.25">
      <c r="A439" s="17" t="s">
        <v>71</v>
      </c>
      <c r="B439" s="72" t="str">
        <f>+IF(MONTH(C439)&lt;4,"Q1",IF(MONTH(C439)&lt;7,"Q2",IF(MONTH(C439)&lt;10,"Q3","Q4")))&amp;"/"&amp;YEAR(C439)</f>
        <v>Q3/2021</v>
      </c>
      <c r="C439" s="73">
        <f t="shared" si="197"/>
        <v>44378</v>
      </c>
      <c r="D439" s="73">
        <f t="shared" si="198"/>
        <v>44469</v>
      </c>
      <c r="E439" s="72">
        <f t="shared" si="195"/>
        <v>92</v>
      </c>
      <c r="F439" s="74">
        <f>VLOOKUP(D439,'FERC Interest Rate'!$A:$B,2,TRUE)</f>
        <v>5.2520850000000001E-2</v>
      </c>
      <c r="G439" s="75">
        <f t="shared" si="196"/>
        <v>178.48800470765548</v>
      </c>
      <c r="H439" s="75">
        <v>0</v>
      </c>
      <c r="I439" s="99">
        <f t="shared" si="201"/>
        <v>9.7130047076575217</v>
      </c>
      <c r="J439" s="76">
        <f t="shared" si="202"/>
        <v>2.3628477765167295</v>
      </c>
      <c r="K439" s="116">
        <f t="shared" si="191"/>
        <v>12.075852484174252</v>
      </c>
      <c r="L439" s="76">
        <f t="shared" si="200"/>
        <v>168.77500000000001</v>
      </c>
      <c r="M439" s="117">
        <f t="shared" si="192"/>
        <v>180.85085248417425</v>
      </c>
      <c r="N439" s="8">
        <f t="shared" si="193"/>
        <v>180.85085248417221</v>
      </c>
      <c r="O439" s="75">
        <f t="shared" si="194"/>
        <v>-2.049915792667889E-12</v>
      </c>
    </row>
    <row r="440" spans="1:15" x14ac:dyDescent="0.25">
      <c r="A440" s="78"/>
      <c r="B440" s="72"/>
      <c r="C440" s="73"/>
      <c r="D440" s="73"/>
      <c r="E440" s="72"/>
      <c r="F440" s="74"/>
      <c r="G440" s="75"/>
      <c r="H440" s="75"/>
      <c r="I440" s="99"/>
      <c r="J440" s="76"/>
      <c r="K440" s="116"/>
      <c r="L440" s="76"/>
      <c r="M440" s="117"/>
      <c r="N440" s="8"/>
      <c r="O440" s="75"/>
    </row>
    <row r="441" spans="1:15" ht="13.5" thickBot="1" x14ac:dyDescent="0.35">
      <c r="A441" s="142"/>
      <c r="B441" s="143"/>
      <c r="C441" s="144"/>
      <c r="D441" s="144"/>
      <c r="E441" s="145"/>
      <c r="F441" s="143"/>
      <c r="G441" s="124">
        <f t="shared" ref="G441:O441" si="203">SUM(G414:G440)</f>
        <v>58078.507852306422</v>
      </c>
      <c r="H441" s="124">
        <f t="shared" si="203"/>
        <v>194.26009415315045</v>
      </c>
      <c r="I441" s="125">
        <f t="shared" si="203"/>
        <v>194.26009415315039</v>
      </c>
      <c r="J441" s="124">
        <f t="shared" si="203"/>
        <v>381.56090872279577</v>
      </c>
      <c r="K441" s="124">
        <f t="shared" si="203"/>
        <v>575.82100287594631</v>
      </c>
      <c r="L441" s="124">
        <f t="shared" si="203"/>
        <v>3375.5000000000009</v>
      </c>
      <c r="M441" s="126">
        <f t="shared" si="203"/>
        <v>3951.3210028759459</v>
      </c>
      <c r="N441" s="124">
        <f t="shared" si="203"/>
        <v>58654.328855182364</v>
      </c>
      <c r="O441" s="124">
        <f t="shared" si="203"/>
        <v>54703.007852306422</v>
      </c>
    </row>
    <row r="442" spans="1:15" ht="13" thickTop="1" x14ac:dyDescent="0.25">
      <c r="B442" s="103"/>
      <c r="C442" s="103"/>
      <c r="D442" s="103"/>
      <c r="E442" s="103"/>
      <c r="F442" s="103"/>
      <c r="G442" s="103"/>
      <c r="H442" s="103"/>
      <c r="I442" s="102"/>
      <c r="J442" s="103"/>
      <c r="K442" s="103"/>
      <c r="L442" s="103"/>
      <c r="M442" s="118"/>
      <c r="O442" s="103"/>
    </row>
    <row r="443" spans="1:15" ht="52" x14ac:dyDescent="0.3">
      <c r="A443" s="77" t="s">
        <v>51</v>
      </c>
      <c r="B443" s="77" t="s">
        <v>3</v>
      </c>
      <c r="C443" s="77" t="s">
        <v>4</v>
      </c>
      <c r="D443" s="77" t="s">
        <v>5</v>
      </c>
      <c r="E443" s="77" t="s">
        <v>6</v>
      </c>
      <c r="F443" s="77" t="s">
        <v>7</v>
      </c>
      <c r="G443" s="77" t="s">
        <v>92</v>
      </c>
      <c r="H443" s="77" t="s">
        <v>93</v>
      </c>
      <c r="I443" s="94" t="s">
        <v>94</v>
      </c>
      <c r="J443" s="95" t="s">
        <v>95</v>
      </c>
      <c r="K443" s="95" t="s">
        <v>96</v>
      </c>
      <c r="L443" s="95" t="s">
        <v>97</v>
      </c>
      <c r="M443" s="96" t="s">
        <v>98</v>
      </c>
      <c r="N443" s="77" t="s">
        <v>99</v>
      </c>
      <c r="O443" s="77" t="s">
        <v>100</v>
      </c>
    </row>
    <row r="444" spans="1:15" ht="13" x14ac:dyDescent="0.3">
      <c r="A444" s="347" t="s">
        <v>14</v>
      </c>
      <c r="B444" s="347"/>
      <c r="C444" s="73">
        <f>VLOOKUP(B445,A$1:F$25,2,FALSE)</f>
        <v>42164</v>
      </c>
      <c r="D444" s="73">
        <f>DATE(YEAR(C444),IF(MONTH(C444)&lt;=3,3,IF(MONTH(C444)&lt;=6,6,IF(MONTH(C444)&lt;=9,9,12))),IF(OR(MONTH(C444)&lt;=3,MONTH(C444)&gt;=10),31,30))</f>
        <v>42185</v>
      </c>
      <c r="E444" s="72">
        <f>D444-C444+1</f>
        <v>22</v>
      </c>
      <c r="F444" s="74">
        <f>VLOOKUP(D444,'FERC Interest Rate'!$A:$B,2,TRUE)</f>
        <v>3.2500000000000001E-2</v>
      </c>
      <c r="G444" s="75">
        <f>VLOOKUP(B445,$A$1:$F$29,5,FALSE)</f>
        <v>2849</v>
      </c>
      <c r="H444" s="75">
        <f t="shared" ref="H444:H450" si="204">G444*F444*(E444/(DATE(YEAR(D444),12,31)-DATE(YEAR(D444),1,1)+1))</f>
        <v>5.5809178082191782</v>
      </c>
      <c r="I444" s="180">
        <v>0</v>
      </c>
      <c r="J444" s="76">
        <v>0</v>
      </c>
      <c r="K444" s="116">
        <f t="shared" ref="K444:K468" si="205">+SUM(I444:J444)</f>
        <v>0</v>
      </c>
      <c r="L444" s="76">
        <v>0</v>
      </c>
      <c r="M444" s="117">
        <f t="shared" ref="M444:M468" si="206">+SUM(K444:L444)</f>
        <v>0</v>
      </c>
      <c r="N444" s="8">
        <f t="shared" ref="N444:N468" si="207">+G444+H444+J444</f>
        <v>2854.5809178082191</v>
      </c>
      <c r="O444" s="75">
        <f t="shared" ref="O444:O468" si="208">G444+H444-L444-I444</f>
        <v>2854.5809178082191</v>
      </c>
    </row>
    <row r="445" spans="1:15" ht="13" x14ac:dyDescent="0.3">
      <c r="A445" s="110" t="s">
        <v>40</v>
      </c>
      <c r="B445" s="141" t="s">
        <v>64</v>
      </c>
      <c r="C445" s="73">
        <f>D444+1</f>
        <v>42186</v>
      </c>
      <c r="D445" s="73">
        <f>EOMONTH(D444,3)</f>
        <v>42277</v>
      </c>
      <c r="E445" s="72">
        <f t="shared" ref="E445:E468" si="209">D445-C445+1</f>
        <v>92</v>
      </c>
      <c r="F445" s="74">
        <f>VLOOKUP(D445,'FERC Interest Rate'!$A:$B,2,TRUE)</f>
        <v>3.2500000000000001E-2</v>
      </c>
      <c r="G445" s="75">
        <f t="shared" ref="G445:G468" si="210">O444</f>
        <v>2854.5809178082191</v>
      </c>
      <c r="H445" s="75">
        <f t="shared" si="204"/>
        <v>23.384101217113905</v>
      </c>
      <c r="I445" s="180">
        <v>0</v>
      </c>
      <c r="J445" s="76">
        <v>0</v>
      </c>
      <c r="K445" s="116">
        <f t="shared" si="205"/>
        <v>0</v>
      </c>
      <c r="L445" s="76">
        <v>0</v>
      </c>
      <c r="M445" s="117">
        <f t="shared" si="206"/>
        <v>0</v>
      </c>
      <c r="N445" s="8">
        <f t="shared" si="207"/>
        <v>2877.9650190253328</v>
      </c>
      <c r="O445" s="75">
        <f t="shared" si="208"/>
        <v>2877.9650190253328</v>
      </c>
    </row>
    <row r="446" spans="1:15" ht="13" x14ac:dyDescent="0.3">
      <c r="B446" s="301"/>
      <c r="C446" s="73">
        <f t="shared" ref="C446:C468" si="211">D445+1</f>
        <v>42278</v>
      </c>
      <c r="D446" s="73">
        <f t="shared" ref="D446:D469" si="212">EOMONTH(D445,3)</f>
        <v>42369</v>
      </c>
      <c r="E446" s="72">
        <f t="shared" si="209"/>
        <v>92</v>
      </c>
      <c r="F446" s="74">
        <f>VLOOKUP(D446,'FERC Interest Rate'!$A:$B,2,TRUE)</f>
        <v>3.2500000000000001E-2</v>
      </c>
      <c r="G446" s="75">
        <f t="shared" si="210"/>
        <v>2877.9650190253328</v>
      </c>
      <c r="H446" s="75">
        <f t="shared" si="204"/>
        <v>23.575658649002044</v>
      </c>
      <c r="I446" s="180">
        <v>0</v>
      </c>
      <c r="J446" s="76">
        <v>0</v>
      </c>
      <c r="K446" s="116">
        <f t="shared" si="205"/>
        <v>0</v>
      </c>
      <c r="L446" s="76">
        <v>0</v>
      </c>
      <c r="M446" s="117">
        <f t="shared" si="206"/>
        <v>0</v>
      </c>
      <c r="N446" s="8">
        <f t="shared" si="207"/>
        <v>2901.5406776743348</v>
      </c>
      <c r="O446" s="75">
        <f t="shared" si="208"/>
        <v>2901.5406776743348</v>
      </c>
    </row>
    <row r="447" spans="1:15" ht="13" x14ac:dyDescent="0.3">
      <c r="B447" s="301"/>
      <c r="C447" s="73">
        <f t="shared" si="211"/>
        <v>42370</v>
      </c>
      <c r="D447" s="73">
        <f t="shared" si="212"/>
        <v>42460</v>
      </c>
      <c r="E447" s="72">
        <f t="shared" si="209"/>
        <v>91</v>
      </c>
      <c r="F447" s="74">
        <f>VLOOKUP(D447,'FERC Interest Rate'!$A:$B,2,TRUE)</f>
        <v>3.2500000000000001E-2</v>
      </c>
      <c r="G447" s="75">
        <f t="shared" si="210"/>
        <v>2901.5406776743348</v>
      </c>
      <c r="H447" s="75">
        <f t="shared" si="204"/>
        <v>23.446192771097937</v>
      </c>
      <c r="I447" s="180">
        <v>0</v>
      </c>
      <c r="J447" s="76">
        <v>0</v>
      </c>
      <c r="K447" s="116">
        <f t="shared" si="205"/>
        <v>0</v>
      </c>
      <c r="L447" s="76">
        <v>0</v>
      </c>
      <c r="M447" s="117">
        <f t="shared" si="206"/>
        <v>0</v>
      </c>
      <c r="N447" s="8">
        <f t="shared" si="207"/>
        <v>2924.9868704454329</v>
      </c>
      <c r="O447" s="75">
        <f t="shared" si="208"/>
        <v>2924.9868704454329</v>
      </c>
    </row>
    <row r="448" spans="1:15" ht="13" x14ac:dyDescent="0.3">
      <c r="B448" s="301"/>
      <c r="C448" s="73">
        <f t="shared" si="211"/>
        <v>42461</v>
      </c>
      <c r="D448" s="73">
        <f t="shared" si="212"/>
        <v>42551</v>
      </c>
      <c r="E448" s="72">
        <f t="shared" si="209"/>
        <v>91</v>
      </c>
      <c r="F448" s="74">
        <f>VLOOKUP(D448,'FERC Interest Rate'!$A:$B,2,TRUE)</f>
        <v>3.4599999999999999E-2</v>
      </c>
      <c r="G448" s="75">
        <f t="shared" si="210"/>
        <v>2924.9868704454329</v>
      </c>
      <c r="H448" s="75">
        <f t="shared" si="204"/>
        <v>25.162878853236311</v>
      </c>
      <c r="I448" s="180">
        <v>0</v>
      </c>
      <c r="J448" s="76">
        <v>0</v>
      </c>
      <c r="K448" s="116">
        <f t="shared" si="205"/>
        <v>0</v>
      </c>
      <c r="L448" s="76">
        <v>0</v>
      </c>
      <c r="M448" s="117">
        <f t="shared" si="206"/>
        <v>0</v>
      </c>
      <c r="N448" s="8">
        <f t="shared" si="207"/>
        <v>2950.1497492986691</v>
      </c>
      <c r="O448" s="75">
        <f t="shared" si="208"/>
        <v>2950.1497492986691</v>
      </c>
    </row>
    <row r="449" spans="1:15" x14ac:dyDescent="0.25">
      <c r="A449" s="78"/>
      <c r="B449" s="72"/>
      <c r="C449" s="73">
        <f t="shared" si="211"/>
        <v>42552</v>
      </c>
      <c r="D449" s="73">
        <f t="shared" si="212"/>
        <v>42643</v>
      </c>
      <c r="E449" s="72">
        <f t="shared" si="209"/>
        <v>92</v>
      </c>
      <c r="F449" s="74">
        <f>VLOOKUP(D449,'FERC Interest Rate'!$A:$B,2,TRUE)</f>
        <v>3.5000000000000003E-2</v>
      </c>
      <c r="G449" s="75">
        <f t="shared" si="210"/>
        <v>2950.1497492986691</v>
      </c>
      <c r="H449" s="75">
        <f t="shared" si="204"/>
        <v>25.954869379075728</v>
      </c>
      <c r="I449" s="180">
        <v>0</v>
      </c>
      <c r="J449" s="76">
        <v>0</v>
      </c>
      <c r="K449" s="116">
        <f t="shared" si="205"/>
        <v>0</v>
      </c>
      <c r="L449" s="76">
        <v>0</v>
      </c>
      <c r="M449" s="117">
        <f t="shared" si="206"/>
        <v>0</v>
      </c>
      <c r="N449" s="8">
        <f t="shared" si="207"/>
        <v>2976.1046186777448</v>
      </c>
      <c r="O449" s="75">
        <f t="shared" si="208"/>
        <v>2976.1046186777448</v>
      </c>
    </row>
    <row r="450" spans="1:15" x14ac:dyDescent="0.25">
      <c r="A450" s="17" t="s">
        <v>52</v>
      </c>
      <c r="B450" s="72" t="str">
        <f t="shared" ref="B450:B464" si="213">+IF(MONTH(C450)&lt;4,"Q1",IF(MONTH(C450)&lt;7,"Q2",IF(MONTH(C450)&lt;10,"Q3","Q4")))&amp;"/"&amp;YEAR(C450)</f>
        <v>Q4/2016</v>
      </c>
      <c r="C450" s="73">
        <f t="shared" si="211"/>
        <v>42644</v>
      </c>
      <c r="D450" s="73">
        <f t="shared" si="212"/>
        <v>42735</v>
      </c>
      <c r="E450" s="72">
        <f t="shared" si="209"/>
        <v>92</v>
      </c>
      <c r="F450" s="74">
        <f>VLOOKUP(D450,'FERC Interest Rate'!$A:$B,2,TRUE)</f>
        <v>3.5000000000000003E-2</v>
      </c>
      <c r="G450" s="75">
        <f t="shared" si="210"/>
        <v>2976.1046186777448</v>
      </c>
      <c r="H450" s="75">
        <f t="shared" si="204"/>
        <v>26.183215497656665</v>
      </c>
      <c r="I450" s="180">
        <f>SUM($H$444:$H$470)/20</f>
        <v>7.6643917087700881</v>
      </c>
      <c r="J450" s="76">
        <v>0</v>
      </c>
      <c r="K450" s="116">
        <f t="shared" si="205"/>
        <v>7.6643917087700881</v>
      </c>
      <c r="L450" s="76">
        <f t="shared" ref="L450:L469" si="214">VLOOKUP($B$445,A$1:F$25,5,FALSE)/20</f>
        <v>142.44999999999999</v>
      </c>
      <c r="M450" s="117">
        <f t="shared" si="206"/>
        <v>150.11439170877009</v>
      </c>
      <c r="N450" s="8">
        <f t="shared" si="207"/>
        <v>3002.2878341754017</v>
      </c>
      <c r="O450" s="75">
        <f t="shared" si="208"/>
        <v>2852.173442466632</v>
      </c>
    </row>
    <row r="451" spans="1:15" x14ac:dyDescent="0.25">
      <c r="A451" s="17" t="s">
        <v>53</v>
      </c>
      <c r="B451" s="72" t="str">
        <f t="shared" si="213"/>
        <v>Q1/2017</v>
      </c>
      <c r="C451" s="73">
        <f t="shared" si="211"/>
        <v>42736</v>
      </c>
      <c r="D451" s="73">
        <f t="shared" si="212"/>
        <v>42825</v>
      </c>
      <c r="E451" s="72">
        <f t="shared" si="209"/>
        <v>90</v>
      </c>
      <c r="F451" s="74">
        <f>VLOOKUP(D451,'FERC Interest Rate'!$A:$B,2,TRUE)</f>
        <v>3.5000000000000003E-2</v>
      </c>
      <c r="G451" s="75">
        <f t="shared" si="210"/>
        <v>2852.173442466632</v>
      </c>
      <c r="H451" s="75">
        <v>0</v>
      </c>
      <c r="I451" s="180">
        <f t="shared" ref="I451:I469" si="215">SUM($H$444:$H$470)/20</f>
        <v>7.6643917087700881</v>
      </c>
      <c r="J451" s="76">
        <f t="shared" ref="J451:J456" si="216">G451*F451*(E451/(DATE(YEAR(D451),12,31)-DATE(YEAR(D451),1,1)+1))</f>
        <v>24.614647517177783</v>
      </c>
      <c r="K451" s="116">
        <f t="shared" si="205"/>
        <v>32.279039225947869</v>
      </c>
      <c r="L451" s="76">
        <f t="shared" si="214"/>
        <v>142.44999999999999</v>
      </c>
      <c r="M451" s="117">
        <f t="shared" si="206"/>
        <v>174.72903922594787</v>
      </c>
      <c r="N451" s="8">
        <f t="shared" si="207"/>
        <v>2876.7880899838096</v>
      </c>
      <c r="O451" s="75">
        <f t="shared" si="208"/>
        <v>2702.0590507578622</v>
      </c>
    </row>
    <row r="452" spans="1:15" x14ac:dyDescent="0.25">
      <c r="A452" s="17" t="s">
        <v>54</v>
      </c>
      <c r="B452" s="72" t="str">
        <f t="shared" si="213"/>
        <v>Q2/2017</v>
      </c>
      <c r="C452" s="73">
        <f t="shared" si="211"/>
        <v>42826</v>
      </c>
      <c r="D452" s="73">
        <f t="shared" si="212"/>
        <v>42916</v>
      </c>
      <c r="E452" s="72">
        <f t="shared" si="209"/>
        <v>91</v>
      </c>
      <c r="F452" s="74">
        <f>VLOOKUP(D452,'FERC Interest Rate'!$A:$B,2,TRUE)</f>
        <v>3.7100000000000001E-2</v>
      </c>
      <c r="G452" s="75">
        <f t="shared" si="210"/>
        <v>2702.0590507578622</v>
      </c>
      <c r="H452" s="75">
        <v>0</v>
      </c>
      <c r="I452" s="180">
        <f t="shared" si="215"/>
        <v>7.6643917087700881</v>
      </c>
      <c r="J452" s="76">
        <f t="shared" si="216"/>
        <v>24.992935784283887</v>
      </c>
      <c r="K452" s="116">
        <f t="shared" si="205"/>
        <v>32.657327493053977</v>
      </c>
      <c r="L452" s="76">
        <f t="shared" si="214"/>
        <v>142.44999999999999</v>
      </c>
      <c r="M452" s="117">
        <f t="shared" si="206"/>
        <v>175.10732749305396</v>
      </c>
      <c r="N452" s="8">
        <f t="shared" si="207"/>
        <v>2727.0519865421461</v>
      </c>
      <c r="O452" s="75">
        <f t="shared" si="208"/>
        <v>2551.9446590490925</v>
      </c>
    </row>
    <row r="453" spans="1:15" x14ac:dyDescent="0.25">
      <c r="A453" s="17" t="s">
        <v>55</v>
      </c>
      <c r="B453" s="72" t="str">
        <f t="shared" si="213"/>
        <v>Q3/2017</v>
      </c>
      <c r="C453" s="73">
        <f t="shared" si="211"/>
        <v>42917</v>
      </c>
      <c r="D453" s="73">
        <f t="shared" si="212"/>
        <v>43008</v>
      </c>
      <c r="E453" s="72">
        <f t="shared" si="209"/>
        <v>92</v>
      </c>
      <c r="F453" s="74">
        <f>VLOOKUP(D453,'FERC Interest Rate'!$A:$B,2,TRUE)</f>
        <v>3.9600000000000003E-2</v>
      </c>
      <c r="G453" s="75">
        <f t="shared" si="210"/>
        <v>2551.9446590490925</v>
      </c>
      <c r="H453" s="75">
        <v>0</v>
      </c>
      <c r="I453" s="99">
        <f t="shared" si="215"/>
        <v>7.6643917087700881</v>
      </c>
      <c r="J453" s="76">
        <f t="shared" si="216"/>
        <v>25.471903511911385</v>
      </c>
      <c r="K453" s="116">
        <f t="shared" si="205"/>
        <v>33.136295220681475</v>
      </c>
      <c r="L453" s="76">
        <f t="shared" si="214"/>
        <v>142.44999999999999</v>
      </c>
      <c r="M453" s="117">
        <f t="shared" si="206"/>
        <v>175.58629522068145</v>
      </c>
      <c r="N453" s="8">
        <f t="shared" si="207"/>
        <v>2577.416562561004</v>
      </c>
      <c r="O453" s="75">
        <f t="shared" si="208"/>
        <v>2401.8302673403227</v>
      </c>
    </row>
    <row r="454" spans="1:15" x14ac:dyDescent="0.25">
      <c r="A454" s="17" t="s">
        <v>56</v>
      </c>
      <c r="B454" s="72" t="str">
        <f t="shared" si="213"/>
        <v>Q4/2017</v>
      </c>
      <c r="C454" s="73">
        <f t="shared" si="211"/>
        <v>43009</v>
      </c>
      <c r="D454" s="73">
        <f t="shared" si="212"/>
        <v>43100</v>
      </c>
      <c r="E454" s="72">
        <f t="shared" si="209"/>
        <v>92</v>
      </c>
      <c r="F454" s="74">
        <f>VLOOKUP(D454,'FERC Interest Rate'!$A:$B,2,TRUE)</f>
        <v>4.2099999999999999E-2</v>
      </c>
      <c r="G454" s="75">
        <f t="shared" si="210"/>
        <v>2401.8302673403227</v>
      </c>
      <c r="H454" s="75">
        <v>0</v>
      </c>
      <c r="I454" s="99">
        <f t="shared" si="215"/>
        <v>7.6643917087700881</v>
      </c>
      <c r="J454" s="76">
        <f t="shared" si="216"/>
        <v>25.487038332774077</v>
      </c>
      <c r="K454" s="116">
        <f t="shared" si="205"/>
        <v>33.151430041544167</v>
      </c>
      <c r="L454" s="76">
        <f t="shared" si="214"/>
        <v>142.44999999999999</v>
      </c>
      <c r="M454" s="117">
        <f t="shared" si="206"/>
        <v>175.60143004154415</v>
      </c>
      <c r="N454" s="8">
        <f t="shared" si="207"/>
        <v>2427.3173056730966</v>
      </c>
      <c r="O454" s="75">
        <f t="shared" si="208"/>
        <v>2251.715875631553</v>
      </c>
    </row>
    <row r="455" spans="1:15" x14ac:dyDescent="0.25">
      <c r="A455" s="17" t="s">
        <v>57</v>
      </c>
      <c r="B455" s="72" t="str">
        <f t="shared" si="213"/>
        <v>Q1/2018</v>
      </c>
      <c r="C455" s="73">
        <f t="shared" si="211"/>
        <v>43101</v>
      </c>
      <c r="D455" s="73">
        <f t="shared" si="212"/>
        <v>43190</v>
      </c>
      <c r="E455" s="72">
        <f t="shared" si="209"/>
        <v>90</v>
      </c>
      <c r="F455" s="74">
        <f>VLOOKUP(D455,'FERC Interest Rate'!$A:$B,2,TRUE)</f>
        <v>4.2500000000000003E-2</v>
      </c>
      <c r="G455" s="75">
        <f t="shared" si="210"/>
        <v>2251.715875631553</v>
      </c>
      <c r="H455" s="75">
        <v>0</v>
      </c>
      <c r="I455" s="99">
        <f t="shared" si="215"/>
        <v>7.6643917087700881</v>
      </c>
      <c r="J455" s="76">
        <f t="shared" si="216"/>
        <v>23.596748559700522</v>
      </c>
      <c r="K455" s="116">
        <f t="shared" si="205"/>
        <v>31.261140268470612</v>
      </c>
      <c r="L455" s="76">
        <f t="shared" si="214"/>
        <v>142.44999999999999</v>
      </c>
      <c r="M455" s="117">
        <f t="shared" si="206"/>
        <v>173.71114026847061</v>
      </c>
      <c r="N455" s="8">
        <f t="shared" si="207"/>
        <v>2275.3126241912537</v>
      </c>
      <c r="O455" s="75">
        <f t="shared" si="208"/>
        <v>2101.6014839227832</v>
      </c>
    </row>
    <row r="456" spans="1:15" x14ac:dyDescent="0.25">
      <c r="A456" s="17" t="s">
        <v>58</v>
      </c>
      <c r="B456" s="72" t="str">
        <f t="shared" si="213"/>
        <v>Q2/2018</v>
      </c>
      <c r="C456" s="73">
        <f t="shared" si="211"/>
        <v>43191</v>
      </c>
      <c r="D456" s="73">
        <f t="shared" si="212"/>
        <v>43281</v>
      </c>
      <c r="E456" s="72">
        <f t="shared" si="209"/>
        <v>91</v>
      </c>
      <c r="F456" s="74">
        <f>VLOOKUP(D456,'FERC Interest Rate'!$A:$B,2,TRUE)</f>
        <v>4.4699999999999997E-2</v>
      </c>
      <c r="G456" s="75">
        <f t="shared" si="210"/>
        <v>2101.6014839227832</v>
      </c>
      <c r="H456" s="75">
        <v>0</v>
      </c>
      <c r="I456" s="99">
        <f t="shared" si="215"/>
        <v>7.6643917087700881</v>
      </c>
      <c r="J456" s="76">
        <f t="shared" si="216"/>
        <v>23.421053030555356</v>
      </c>
      <c r="K456" s="116">
        <f t="shared" si="205"/>
        <v>31.085444739325446</v>
      </c>
      <c r="L456" s="76">
        <f t="shared" si="214"/>
        <v>142.44999999999999</v>
      </c>
      <c r="M456" s="117">
        <f t="shared" si="206"/>
        <v>173.53544473932544</v>
      </c>
      <c r="N456" s="8">
        <f t="shared" si="207"/>
        <v>2125.0225369533387</v>
      </c>
      <c r="O456" s="75">
        <f t="shared" si="208"/>
        <v>1951.487092214013</v>
      </c>
    </row>
    <row r="457" spans="1:15" x14ac:dyDescent="0.25">
      <c r="A457" s="17" t="s">
        <v>59</v>
      </c>
      <c r="B457" s="72" t="str">
        <f t="shared" si="213"/>
        <v>Q3/2018</v>
      </c>
      <c r="C457" s="73">
        <f t="shared" si="211"/>
        <v>43282</v>
      </c>
      <c r="D457" s="73">
        <f t="shared" si="212"/>
        <v>43373</v>
      </c>
      <c r="E457" s="72">
        <f t="shared" si="209"/>
        <v>92</v>
      </c>
      <c r="F457" s="74">
        <f>VLOOKUP(D457,'FERC Interest Rate'!$A:$B,2,TRUE)</f>
        <v>4.6899999999999997E-2</v>
      </c>
      <c r="G457" s="75">
        <f t="shared" si="210"/>
        <v>1951.487092214013</v>
      </c>
      <c r="H457" s="75">
        <v>0</v>
      </c>
      <c r="I457" s="99">
        <f t="shared" si="215"/>
        <v>7.6643917087700881</v>
      </c>
      <c r="J457" s="76">
        <f t="shared" ref="J457:J468" si="217">G457*F457*(E457/(DATE(YEAR(D457),12,31)-DATE(YEAR(D457),1,1)+1))</f>
        <v>23.069250699958971</v>
      </c>
      <c r="K457" s="116">
        <f t="shared" si="205"/>
        <v>30.733642408729061</v>
      </c>
      <c r="L457" s="76">
        <f t="shared" si="214"/>
        <v>142.44999999999999</v>
      </c>
      <c r="M457" s="117">
        <f t="shared" si="206"/>
        <v>173.18364240872904</v>
      </c>
      <c r="N457" s="8">
        <f t="shared" si="207"/>
        <v>1974.556342913972</v>
      </c>
      <c r="O457" s="75">
        <f t="shared" si="208"/>
        <v>1801.3727005052428</v>
      </c>
    </row>
    <row r="458" spans="1:15" x14ac:dyDescent="0.25">
      <c r="A458" s="17" t="s">
        <v>60</v>
      </c>
      <c r="B458" s="72" t="str">
        <f t="shared" si="213"/>
        <v>Q4/2018</v>
      </c>
      <c r="C458" s="73">
        <f t="shared" si="211"/>
        <v>43374</v>
      </c>
      <c r="D458" s="73">
        <f t="shared" si="212"/>
        <v>43465</v>
      </c>
      <c r="E458" s="72">
        <f t="shared" si="209"/>
        <v>92</v>
      </c>
      <c r="F458" s="74">
        <f>VLOOKUP(D458,'FERC Interest Rate'!$A:$B,2,TRUE)</f>
        <v>4.9599999999999998E-2</v>
      </c>
      <c r="G458" s="75">
        <f t="shared" si="210"/>
        <v>1801.3727005052428</v>
      </c>
      <c r="H458" s="75">
        <v>0</v>
      </c>
      <c r="I458" s="99">
        <f t="shared" si="215"/>
        <v>7.6643917087700881</v>
      </c>
      <c r="J458" s="76">
        <f t="shared" si="217"/>
        <v>22.520613443686369</v>
      </c>
      <c r="K458" s="116">
        <f t="shared" si="205"/>
        <v>30.185005152456455</v>
      </c>
      <c r="L458" s="76">
        <f t="shared" si="214"/>
        <v>142.44999999999999</v>
      </c>
      <c r="M458" s="117">
        <f t="shared" si="206"/>
        <v>172.63500515245644</v>
      </c>
      <c r="N458" s="8">
        <f t="shared" si="207"/>
        <v>1823.8933139489293</v>
      </c>
      <c r="O458" s="75">
        <f t="shared" si="208"/>
        <v>1651.2583087964726</v>
      </c>
    </row>
    <row r="459" spans="1:15" x14ac:dyDescent="0.25">
      <c r="A459" s="17" t="s">
        <v>61</v>
      </c>
      <c r="B459" s="72" t="str">
        <f t="shared" si="213"/>
        <v>Q1/2019</v>
      </c>
      <c r="C459" s="73">
        <f t="shared" si="211"/>
        <v>43466</v>
      </c>
      <c r="D459" s="73">
        <f t="shared" si="212"/>
        <v>43555</v>
      </c>
      <c r="E459" s="72">
        <f t="shared" si="209"/>
        <v>90</v>
      </c>
      <c r="F459" s="74">
        <f>VLOOKUP(D459,'FERC Interest Rate'!$A:$B,2,TRUE)</f>
        <v>5.1799999999999999E-2</v>
      </c>
      <c r="G459" s="75">
        <f t="shared" si="210"/>
        <v>1651.2583087964726</v>
      </c>
      <c r="H459" s="75">
        <v>0</v>
      </c>
      <c r="I459" s="99">
        <f t="shared" si="215"/>
        <v>7.6643917087700881</v>
      </c>
      <c r="J459" s="76">
        <f t="shared" si="217"/>
        <v>21.09086639892919</v>
      </c>
      <c r="K459" s="116">
        <f t="shared" si="205"/>
        <v>28.755258107699277</v>
      </c>
      <c r="L459" s="76">
        <f t="shared" si="214"/>
        <v>142.44999999999999</v>
      </c>
      <c r="M459" s="117">
        <f t="shared" si="206"/>
        <v>171.20525810769925</v>
      </c>
      <c r="N459" s="8">
        <f t="shared" si="207"/>
        <v>1672.3491751954018</v>
      </c>
      <c r="O459" s="75">
        <f t="shared" si="208"/>
        <v>1501.1439170877024</v>
      </c>
    </row>
    <row r="460" spans="1:15" x14ac:dyDescent="0.25">
      <c r="A460" s="17" t="s">
        <v>62</v>
      </c>
      <c r="B460" s="72" t="str">
        <f t="shared" si="213"/>
        <v>Q2/2019</v>
      </c>
      <c r="C460" s="73">
        <f t="shared" si="211"/>
        <v>43556</v>
      </c>
      <c r="D460" s="73">
        <f t="shared" si="212"/>
        <v>43646</v>
      </c>
      <c r="E460" s="72">
        <f t="shared" si="209"/>
        <v>91</v>
      </c>
      <c r="F460" s="74">
        <f>VLOOKUP(D460,'FERC Interest Rate'!$A:$B,2,TRUE)</f>
        <v>5.45E-2</v>
      </c>
      <c r="G460" s="75">
        <f t="shared" si="210"/>
        <v>1501.1439170877024</v>
      </c>
      <c r="H460" s="75">
        <v>0</v>
      </c>
      <c r="I460" s="99">
        <f t="shared" si="215"/>
        <v>7.6643917087700881</v>
      </c>
      <c r="J460" s="76">
        <f t="shared" si="217"/>
        <v>20.39705001862044</v>
      </c>
      <c r="K460" s="116">
        <f t="shared" si="205"/>
        <v>28.06144172739053</v>
      </c>
      <c r="L460" s="76">
        <f t="shared" si="214"/>
        <v>142.44999999999999</v>
      </c>
      <c r="M460" s="117">
        <f t="shared" si="206"/>
        <v>170.51144172739052</v>
      </c>
      <c r="N460" s="8">
        <f t="shared" si="207"/>
        <v>1521.5409671063228</v>
      </c>
      <c r="O460" s="75">
        <f t="shared" si="208"/>
        <v>1351.0295253789322</v>
      </c>
    </row>
    <row r="461" spans="1:15" x14ac:dyDescent="0.25">
      <c r="A461" s="17" t="s">
        <v>63</v>
      </c>
      <c r="B461" s="72" t="str">
        <f t="shared" si="213"/>
        <v>Q3/2019</v>
      </c>
      <c r="C461" s="73">
        <f t="shared" si="211"/>
        <v>43647</v>
      </c>
      <c r="D461" s="73">
        <f t="shared" si="212"/>
        <v>43738</v>
      </c>
      <c r="E461" s="72">
        <f t="shared" si="209"/>
        <v>92</v>
      </c>
      <c r="F461" s="74">
        <f>VLOOKUP(D461,'FERC Interest Rate'!$A:$B,2,TRUE)</f>
        <v>5.5E-2</v>
      </c>
      <c r="G461" s="75">
        <f t="shared" si="210"/>
        <v>1351.0295253789322</v>
      </c>
      <c r="H461" s="75">
        <v>0</v>
      </c>
      <c r="I461" s="99">
        <f t="shared" si="215"/>
        <v>7.6643917087700881</v>
      </c>
      <c r="J461" s="76">
        <f t="shared" si="217"/>
        <v>18.72934081758191</v>
      </c>
      <c r="K461" s="116">
        <f t="shared" si="205"/>
        <v>26.393732526351997</v>
      </c>
      <c r="L461" s="76">
        <f t="shared" si="214"/>
        <v>142.44999999999999</v>
      </c>
      <c r="M461" s="117">
        <f t="shared" si="206"/>
        <v>168.84373252635197</v>
      </c>
      <c r="N461" s="8">
        <f t="shared" si="207"/>
        <v>1369.7588661965142</v>
      </c>
      <c r="O461" s="75">
        <f t="shared" si="208"/>
        <v>1200.915133670162</v>
      </c>
    </row>
    <row r="462" spans="1:15" x14ac:dyDescent="0.25">
      <c r="A462" s="17" t="s">
        <v>64</v>
      </c>
      <c r="B462" s="72" t="str">
        <f t="shared" si="213"/>
        <v>Q4/2019</v>
      </c>
      <c r="C462" s="73">
        <f t="shared" si="211"/>
        <v>43739</v>
      </c>
      <c r="D462" s="73">
        <f t="shared" si="212"/>
        <v>43830</v>
      </c>
      <c r="E462" s="72">
        <f t="shared" si="209"/>
        <v>92</v>
      </c>
      <c r="F462" s="74">
        <f>VLOOKUP(D462,'FERC Interest Rate'!$A:$B,2,TRUE)</f>
        <v>5.4199999999999998E-2</v>
      </c>
      <c r="G462" s="75">
        <f t="shared" si="210"/>
        <v>1200.915133670162</v>
      </c>
      <c r="H462" s="75">
        <v>0</v>
      </c>
      <c r="I462" s="99">
        <f t="shared" si="215"/>
        <v>7.6643917087700881</v>
      </c>
      <c r="J462" s="76">
        <f t="shared" si="217"/>
        <v>16.40614581515862</v>
      </c>
      <c r="K462" s="116">
        <f t="shared" si="205"/>
        <v>24.070537523928706</v>
      </c>
      <c r="L462" s="76">
        <f t="shared" si="214"/>
        <v>142.44999999999999</v>
      </c>
      <c r="M462" s="117">
        <f t="shared" si="206"/>
        <v>166.52053752392868</v>
      </c>
      <c r="N462" s="8">
        <f t="shared" si="207"/>
        <v>1217.3212794853207</v>
      </c>
      <c r="O462" s="75">
        <f t="shared" si="208"/>
        <v>1050.8007419613919</v>
      </c>
    </row>
    <row r="463" spans="1:15" x14ac:dyDescent="0.25">
      <c r="A463" s="17" t="s">
        <v>65</v>
      </c>
      <c r="B463" s="72" t="str">
        <f t="shared" si="213"/>
        <v>Q1/2020</v>
      </c>
      <c r="C463" s="73">
        <f t="shared" si="211"/>
        <v>43831</v>
      </c>
      <c r="D463" s="73">
        <f t="shared" si="212"/>
        <v>43921</v>
      </c>
      <c r="E463" s="72">
        <f t="shared" si="209"/>
        <v>91</v>
      </c>
      <c r="F463" s="74">
        <f>VLOOKUP(D463,'FERC Interest Rate'!$A:$B,2,TRUE)</f>
        <v>4.9599999999999998E-2</v>
      </c>
      <c r="G463" s="75">
        <f t="shared" si="210"/>
        <v>1050.8007419613919</v>
      </c>
      <c r="H463" s="75">
        <v>0</v>
      </c>
      <c r="I463" s="99">
        <f t="shared" si="215"/>
        <v>7.6643917087700881</v>
      </c>
      <c r="J463" s="76">
        <f t="shared" si="217"/>
        <v>12.9587274014124</v>
      </c>
      <c r="K463" s="116">
        <f t="shared" si="205"/>
        <v>20.623119110182486</v>
      </c>
      <c r="L463" s="76">
        <f t="shared" si="214"/>
        <v>142.44999999999999</v>
      </c>
      <c r="M463" s="117">
        <f t="shared" si="206"/>
        <v>163.07311911018246</v>
      </c>
      <c r="N463" s="8">
        <f t="shared" si="207"/>
        <v>1063.7594693628043</v>
      </c>
      <c r="O463" s="75">
        <f t="shared" si="208"/>
        <v>900.68635025262176</v>
      </c>
    </row>
    <row r="464" spans="1:15" x14ac:dyDescent="0.25">
      <c r="A464" s="17" t="s">
        <v>66</v>
      </c>
      <c r="B464" s="72" t="str">
        <f t="shared" si="213"/>
        <v>Q2/2020</v>
      </c>
      <c r="C464" s="73">
        <f t="shared" si="211"/>
        <v>43922</v>
      </c>
      <c r="D464" s="73">
        <f t="shared" si="212"/>
        <v>44012</v>
      </c>
      <c r="E464" s="72">
        <f t="shared" si="209"/>
        <v>91</v>
      </c>
      <c r="F464" s="74">
        <f>VLOOKUP(D464,'FERC Interest Rate'!$A:$B,2,TRUE)</f>
        <v>4.7503500000000004E-2</v>
      </c>
      <c r="G464" s="75">
        <f t="shared" si="210"/>
        <v>900.68635025262176</v>
      </c>
      <c r="H464" s="75">
        <v>0</v>
      </c>
      <c r="I464" s="99">
        <f t="shared" si="215"/>
        <v>7.6643917087700881</v>
      </c>
      <c r="J464" s="76">
        <f t="shared" si="217"/>
        <v>10.637988026146212</v>
      </c>
      <c r="K464" s="116">
        <f t="shared" si="205"/>
        <v>18.3023797349163</v>
      </c>
      <c r="L464" s="76">
        <f t="shared" si="214"/>
        <v>142.44999999999999</v>
      </c>
      <c r="M464" s="117">
        <f t="shared" si="206"/>
        <v>160.7523797349163</v>
      </c>
      <c r="N464" s="8">
        <f t="shared" si="207"/>
        <v>911.32433827876798</v>
      </c>
      <c r="O464" s="75">
        <f t="shared" si="208"/>
        <v>750.57195854385179</v>
      </c>
    </row>
    <row r="465" spans="1:15" x14ac:dyDescent="0.25">
      <c r="A465" s="17" t="s">
        <v>67</v>
      </c>
      <c r="B465" s="72" t="str">
        <f>+IF(MONTH(C465)&lt;4,"Q1",IF(MONTH(C465)&lt;7,"Q2",IF(MONTH(C465)&lt;10,"Q3","Q4")))&amp;"/"&amp;YEAR(C465)</f>
        <v>Q3/2020</v>
      </c>
      <c r="C465" s="73">
        <f t="shared" si="211"/>
        <v>44013</v>
      </c>
      <c r="D465" s="73">
        <f t="shared" si="212"/>
        <v>44104</v>
      </c>
      <c r="E465" s="72">
        <f t="shared" si="209"/>
        <v>92</v>
      </c>
      <c r="F465" s="74">
        <f>VLOOKUP(D465,'FERC Interest Rate'!$A:$B,2,TRUE)</f>
        <v>4.7507929999999997E-2</v>
      </c>
      <c r="G465" s="75">
        <f t="shared" si="210"/>
        <v>750.57195854385179</v>
      </c>
      <c r="H465" s="75">
        <v>0</v>
      </c>
      <c r="I465" s="99">
        <f t="shared" si="215"/>
        <v>7.6643917087700881</v>
      </c>
      <c r="J465" s="76">
        <f t="shared" si="217"/>
        <v>8.963243295395376</v>
      </c>
      <c r="K465" s="116">
        <f t="shared" si="205"/>
        <v>16.627635004165462</v>
      </c>
      <c r="L465" s="76">
        <f t="shared" si="214"/>
        <v>142.44999999999999</v>
      </c>
      <c r="M465" s="117">
        <f t="shared" si="206"/>
        <v>159.07763500416544</v>
      </c>
      <c r="N465" s="8">
        <f t="shared" si="207"/>
        <v>759.53520183924718</v>
      </c>
      <c r="O465" s="75">
        <f t="shared" si="208"/>
        <v>600.45756683508182</v>
      </c>
    </row>
    <row r="466" spans="1:15" x14ac:dyDescent="0.25">
      <c r="A466" s="17" t="s">
        <v>68</v>
      </c>
      <c r="B466" s="72" t="str">
        <f>+IF(MONTH(C466)&lt;4,"Q1",IF(MONTH(C466)&lt;7,"Q2",IF(MONTH(C466)&lt;10,"Q3","Q4")))&amp;"/"&amp;YEAR(C466)</f>
        <v>Q4/2020</v>
      </c>
      <c r="C466" s="73">
        <f t="shared" si="211"/>
        <v>44105</v>
      </c>
      <c r="D466" s="73">
        <f t="shared" si="212"/>
        <v>44196</v>
      </c>
      <c r="E466" s="72">
        <f t="shared" si="209"/>
        <v>92</v>
      </c>
      <c r="F466" s="74">
        <f>VLOOKUP(D466,'FERC Interest Rate'!$A:$B,2,TRUE)</f>
        <v>4.7922320000000004E-2</v>
      </c>
      <c r="G466" s="75">
        <f t="shared" si="210"/>
        <v>600.45756683508182</v>
      </c>
      <c r="H466" s="75">
        <v>0</v>
      </c>
      <c r="I466" s="99">
        <f t="shared" si="215"/>
        <v>7.6643917087700881</v>
      </c>
      <c r="J466" s="76">
        <f t="shared" si="217"/>
        <v>7.233140462062515</v>
      </c>
      <c r="K466" s="116">
        <f t="shared" si="205"/>
        <v>14.897532170832603</v>
      </c>
      <c r="L466" s="76">
        <f t="shared" si="214"/>
        <v>142.44999999999999</v>
      </c>
      <c r="M466" s="117">
        <f t="shared" si="206"/>
        <v>157.34753217083258</v>
      </c>
      <c r="N466" s="8">
        <f t="shared" si="207"/>
        <v>607.69070729714429</v>
      </c>
      <c r="O466" s="75">
        <f t="shared" si="208"/>
        <v>450.34317512631173</v>
      </c>
    </row>
    <row r="467" spans="1:15" x14ac:dyDescent="0.25">
      <c r="A467" s="17" t="s">
        <v>69</v>
      </c>
      <c r="B467" s="72" t="str">
        <f>+IF(MONTH(C467)&lt;4,"Q1",IF(MONTH(C467)&lt;7,"Q2",IF(MONTH(C467)&lt;10,"Q3","Q4")))&amp;"/"&amp;YEAR(C467)</f>
        <v>Q1/2021</v>
      </c>
      <c r="C467" s="73">
        <f t="shared" si="211"/>
        <v>44197</v>
      </c>
      <c r="D467" s="73">
        <f t="shared" si="212"/>
        <v>44286</v>
      </c>
      <c r="E467" s="72">
        <f t="shared" si="209"/>
        <v>90</v>
      </c>
      <c r="F467" s="74">
        <f>VLOOKUP(D467,'FERC Interest Rate'!$A:$B,2,TRUE)</f>
        <v>5.0023470000000007E-2</v>
      </c>
      <c r="G467" s="75">
        <f t="shared" si="210"/>
        <v>450.34317512631173</v>
      </c>
      <c r="H467" s="75">
        <v>0</v>
      </c>
      <c r="I467" s="99">
        <f t="shared" si="215"/>
        <v>7.6643917087700881</v>
      </c>
      <c r="J467" s="76">
        <f t="shared" si="217"/>
        <v>5.554782323170472</v>
      </c>
      <c r="K467" s="116">
        <f t="shared" si="205"/>
        <v>13.219174031940561</v>
      </c>
      <c r="L467" s="76">
        <f t="shared" si="214"/>
        <v>142.44999999999999</v>
      </c>
      <c r="M467" s="117">
        <f t="shared" si="206"/>
        <v>155.66917403194054</v>
      </c>
      <c r="N467" s="8">
        <f t="shared" si="207"/>
        <v>455.89795744948219</v>
      </c>
      <c r="O467" s="75">
        <f t="shared" si="208"/>
        <v>300.22878341754165</v>
      </c>
    </row>
    <row r="468" spans="1:15" x14ac:dyDescent="0.25">
      <c r="A468" s="17" t="s">
        <v>70</v>
      </c>
      <c r="B468" s="72" t="str">
        <f>+IF(MONTH(C468)&lt;4,"Q1",IF(MONTH(C468)&lt;7,"Q2",IF(MONTH(C468)&lt;10,"Q3","Q4")))&amp;"/"&amp;YEAR(C468)</f>
        <v>Q2/2021</v>
      </c>
      <c r="C468" s="73">
        <f t="shared" si="211"/>
        <v>44287</v>
      </c>
      <c r="D468" s="73">
        <f t="shared" si="212"/>
        <v>44377</v>
      </c>
      <c r="E468" s="72">
        <f t="shared" si="209"/>
        <v>91</v>
      </c>
      <c r="F468" s="74">
        <f>VLOOKUP(D468,'FERC Interest Rate'!$A:$B,2,TRUE)</f>
        <v>5.0403730000000001E-2</v>
      </c>
      <c r="G468" s="75">
        <f t="shared" si="210"/>
        <v>300.22878341754165</v>
      </c>
      <c r="H468" s="75">
        <v>0</v>
      </c>
      <c r="I468" s="99">
        <f t="shared" si="215"/>
        <v>7.6643917087700881</v>
      </c>
      <c r="J468" s="76">
        <f t="shared" si="217"/>
        <v>3.7727978052662152</v>
      </c>
      <c r="K468" s="116">
        <f t="shared" si="205"/>
        <v>11.437189514036303</v>
      </c>
      <c r="L468" s="76">
        <f t="shared" si="214"/>
        <v>142.44999999999999</v>
      </c>
      <c r="M468" s="117">
        <f t="shared" si="206"/>
        <v>153.88718951403629</v>
      </c>
      <c r="N468" s="8">
        <f t="shared" si="207"/>
        <v>304.00158122280789</v>
      </c>
      <c r="O468" s="75">
        <f t="shared" si="208"/>
        <v>150.11439170877156</v>
      </c>
    </row>
    <row r="469" spans="1:15" x14ac:dyDescent="0.25">
      <c r="A469" s="17" t="s">
        <v>71</v>
      </c>
      <c r="B469" s="72" t="str">
        <f>+IF(MONTH(C469)&lt;4,"Q1",IF(MONTH(C469)&lt;7,"Q2",IF(MONTH(C469)&lt;10,"Q3","Q4")))&amp;"/"&amp;YEAR(C469)</f>
        <v>Q3/2021</v>
      </c>
      <c r="C469" s="73">
        <f>D468+1</f>
        <v>44378</v>
      </c>
      <c r="D469" s="73">
        <f t="shared" si="212"/>
        <v>44469</v>
      </c>
      <c r="E469" s="72">
        <f>D469-C469+1</f>
        <v>92</v>
      </c>
      <c r="F469" s="74">
        <f>VLOOKUP(D469,'FERC Interest Rate'!$A:$B,2,TRUE)</f>
        <v>5.2520850000000001E-2</v>
      </c>
      <c r="G469" s="75">
        <f>O468</f>
        <v>150.11439170877156</v>
      </c>
      <c r="H469" s="75">
        <v>0</v>
      </c>
      <c r="I469" s="99">
        <f t="shared" si="215"/>
        <v>7.6643917087700881</v>
      </c>
      <c r="J469" s="76">
        <f>G469*F469*(E469/(DATE(YEAR(D469),12,31)-DATE(YEAR(D469),1,1)+1))</f>
        <v>1.9872341407658698</v>
      </c>
      <c r="K469" s="116">
        <f>+SUM(I469:J469)</f>
        <v>9.6516258495359573</v>
      </c>
      <c r="L469" s="76">
        <f t="shared" si="214"/>
        <v>142.44999999999999</v>
      </c>
      <c r="M469" s="117">
        <f>+SUM(K469:L469)</f>
        <v>152.10162584953594</v>
      </c>
      <c r="N469" s="8">
        <f>+G469+H469+J469</f>
        <v>152.10162584953744</v>
      </c>
      <c r="O469" s="75">
        <f>G469+H469-L469-I469</f>
        <v>1.4868106745780096E-12</v>
      </c>
    </row>
    <row r="470" spans="1:15" x14ac:dyDescent="0.25">
      <c r="A470" s="78"/>
      <c r="B470" s="72"/>
      <c r="C470" s="73"/>
      <c r="D470" s="73"/>
      <c r="E470" s="72"/>
      <c r="F470" s="74"/>
      <c r="G470" s="75"/>
      <c r="H470" s="75"/>
      <c r="I470" s="99"/>
      <c r="J470" s="76"/>
      <c r="K470" s="116"/>
      <c r="L470" s="76"/>
      <c r="M470" s="117"/>
      <c r="N470" s="8"/>
      <c r="O470" s="75"/>
    </row>
    <row r="471" spans="1:15" ht="13.5" thickBot="1" x14ac:dyDescent="0.35">
      <c r="A471" s="142"/>
      <c r="B471" s="143"/>
      <c r="C471" s="144"/>
      <c r="D471" s="144"/>
      <c r="E471" s="145"/>
      <c r="F471" s="143"/>
      <c r="G471" s="127">
        <f t="shared" ref="G471:O471" si="218">+SUM(G444:G470)</f>
        <v>48856.06227759608</v>
      </c>
      <c r="H471" s="127">
        <f t="shared" si="218"/>
        <v>153.28783417540177</v>
      </c>
      <c r="I471" s="128">
        <f t="shared" si="218"/>
        <v>153.28783417540177</v>
      </c>
      <c r="J471" s="127">
        <f t="shared" si="218"/>
        <v>320.9055073845575</v>
      </c>
      <c r="K471" s="127">
        <f t="shared" si="218"/>
        <v>474.19334155995926</v>
      </c>
      <c r="L471" s="127">
        <f t="shared" si="218"/>
        <v>2848.9999999999995</v>
      </c>
      <c r="M471" s="129">
        <f t="shared" si="218"/>
        <v>3323.1933415599592</v>
      </c>
      <c r="N471" s="127">
        <f t="shared" si="218"/>
        <v>49330.255619156022</v>
      </c>
      <c r="O471" s="127">
        <f t="shared" si="218"/>
        <v>46007.06227759608</v>
      </c>
    </row>
    <row r="472" spans="1:15" ht="13" thickTop="1" x14ac:dyDescent="0.25">
      <c r="B472" s="103"/>
      <c r="C472" s="103"/>
      <c r="D472" s="103"/>
      <c r="E472" s="103"/>
      <c r="F472" s="103"/>
      <c r="G472" s="103"/>
      <c r="H472" s="103"/>
      <c r="I472" s="102"/>
      <c r="J472" s="103"/>
      <c r="K472" s="103"/>
      <c r="L472" s="103"/>
      <c r="M472" s="118"/>
      <c r="O472" s="103"/>
    </row>
    <row r="473" spans="1:15" ht="52" x14ac:dyDescent="0.3">
      <c r="A473" s="77" t="s">
        <v>51</v>
      </c>
      <c r="B473" s="77" t="s">
        <v>3</v>
      </c>
      <c r="C473" s="77" t="s">
        <v>4</v>
      </c>
      <c r="D473" s="77" t="s">
        <v>5</v>
      </c>
      <c r="E473" s="77" t="s">
        <v>6</v>
      </c>
      <c r="F473" s="77" t="s">
        <v>7</v>
      </c>
      <c r="G473" s="77" t="s">
        <v>92</v>
      </c>
      <c r="H473" s="77" t="s">
        <v>93</v>
      </c>
      <c r="I473" s="94" t="s">
        <v>94</v>
      </c>
      <c r="J473" s="95" t="s">
        <v>95</v>
      </c>
      <c r="K473" s="95" t="s">
        <v>96</v>
      </c>
      <c r="L473" s="95" t="s">
        <v>97</v>
      </c>
      <c r="M473" s="96" t="s">
        <v>98</v>
      </c>
      <c r="N473" s="77" t="s">
        <v>99</v>
      </c>
      <c r="O473" s="77" t="s">
        <v>100</v>
      </c>
    </row>
    <row r="474" spans="1:15" ht="13" x14ac:dyDescent="0.3">
      <c r="A474" s="347" t="s">
        <v>14</v>
      </c>
      <c r="B474" s="347"/>
      <c r="C474" s="73">
        <f>VLOOKUP(B475,A$1:F$25,2,FALSE)</f>
        <v>42180</v>
      </c>
      <c r="D474" s="73">
        <f>DATE(YEAR(C474),IF(MONTH(C474)&lt;=3,3,IF(MONTH(C474)&lt;=6,6,IF(MONTH(C474)&lt;=9,9,12))),IF(OR(MONTH(C474)&lt;=3,MONTH(C474)&gt;=10),31,30))</f>
        <v>42185</v>
      </c>
      <c r="E474" s="72">
        <f>D474-C474+1</f>
        <v>6</v>
      </c>
      <c r="F474" s="74">
        <f>VLOOKUP(D474,'FERC Interest Rate'!$A:$B,2,TRUE)</f>
        <v>3.2500000000000001E-2</v>
      </c>
      <c r="G474" s="75">
        <f>VLOOKUP(B475,$A$1:$F$29,5,FALSE)</f>
        <v>2285</v>
      </c>
      <c r="H474" s="75">
        <f t="shared" ref="H474:H480" si="219">G474*F474*(E474/(DATE(YEAR(D474),12,31)-DATE(YEAR(D474),1,1)+1))</f>
        <v>1.2207534246575342</v>
      </c>
      <c r="I474" s="180">
        <v>0</v>
      </c>
      <c r="J474" s="76">
        <v>0</v>
      </c>
      <c r="K474" s="116">
        <f t="shared" ref="K474:K497" si="220">+SUM(I474:J474)</f>
        <v>0</v>
      </c>
      <c r="L474" s="76">
        <v>0</v>
      </c>
      <c r="M474" s="117">
        <f t="shared" ref="M474:M497" si="221">+SUM(K474:L474)</f>
        <v>0</v>
      </c>
      <c r="N474" s="8">
        <f t="shared" ref="N474:N497" si="222">+G474+H474+J474</f>
        <v>2286.2207534246577</v>
      </c>
      <c r="O474" s="75">
        <f t="shared" ref="O474:O497" si="223">G474+H474-L474-I474</f>
        <v>2286.2207534246577</v>
      </c>
    </row>
    <row r="475" spans="1:15" ht="13" x14ac:dyDescent="0.3">
      <c r="A475" s="110" t="s">
        <v>40</v>
      </c>
      <c r="B475" s="141" t="s">
        <v>65</v>
      </c>
      <c r="C475" s="73">
        <f>D474+1</f>
        <v>42186</v>
      </c>
      <c r="D475" s="73">
        <f>EOMONTH(D474,3)</f>
        <v>42277</v>
      </c>
      <c r="E475" s="72">
        <f t="shared" ref="E475:E497" si="224">D475-C475+1</f>
        <v>92</v>
      </c>
      <c r="F475" s="74">
        <f>VLOOKUP(D475,'FERC Interest Rate'!$A:$B,2,TRUE)</f>
        <v>3.2500000000000001E-2</v>
      </c>
      <c r="G475" s="75">
        <f t="shared" ref="G475:G497" si="225">O474</f>
        <v>2286.2207534246577</v>
      </c>
      <c r="H475" s="75">
        <f t="shared" si="219"/>
        <v>18.728219322574596</v>
      </c>
      <c r="I475" s="180">
        <v>0</v>
      </c>
      <c r="J475" s="76">
        <v>0</v>
      </c>
      <c r="K475" s="116">
        <f t="shared" si="220"/>
        <v>0</v>
      </c>
      <c r="L475" s="76">
        <v>0</v>
      </c>
      <c r="M475" s="117">
        <f t="shared" si="221"/>
        <v>0</v>
      </c>
      <c r="N475" s="8">
        <f t="shared" si="222"/>
        <v>2304.9489727472323</v>
      </c>
      <c r="O475" s="75">
        <f t="shared" si="223"/>
        <v>2304.9489727472323</v>
      </c>
    </row>
    <row r="476" spans="1:15" ht="13" x14ac:dyDescent="0.3">
      <c r="B476" s="301"/>
      <c r="C476" s="73">
        <f t="shared" ref="C476:C497" si="226">D475+1</f>
        <v>42278</v>
      </c>
      <c r="D476" s="73">
        <f t="shared" ref="D476:D499" si="227">EOMONTH(D475,3)</f>
        <v>42369</v>
      </c>
      <c r="E476" s="72">
        <f t="shared" si="224"/>
        <v>92</v>
      </c>
      <c r="F476" s="74">
        <f>VLOOKUP(D476,'FERC Interest Rate'!$A:$B,2,TRUE)</f>
        <v>3.2500000000000001E-2</v>
      </c>
      <c r="G476" s="75">
        <f t="shared" si="225"/>
        <v>2304.9489727472323</v>
      </c>
      <c r="H476" s="75">
        <f t="shared" si="219"/>
        <v>18.881636790449932</v>
      </c>
      <c r="I476" s="180">
        <v>0</v>
      </c>
      <c r="J476" s="76">
        <v>0</v>
      </c>
      <c r="K476" s="116">
        <f t="shared" si="220"/>
        <v>0</v>
      </c>
      <c r="L476" s="76">
        <v>0</v>
      </c>
      <c r="M476" s="117">
        <f t="shared" si="221"/>
        <v>0</v>
      </c>
      <c r="N476" s="8">
        <f t="shared" si="222"/>
        <v>2323.8306095376824</v>
      </c>
      <c r="O476" s="75">
        <f t="shared" si="223"/>
        <v>2323.8306095376824</v>
      </c>
    </row>
    <row r="477" spans="1:15" ht="13" x14ac:dyDescent="0.3">
      <c r="B477" s="301"/>
      <c r="C477" s="73">
        <f t="shared" si="226"/>
        <v>42370</v>
      </c>
      <c r="D477" s="73">
        <f t="shared" si="227"/>
        <v>42460</v>
      </c>
      <c r="E477" s="72">
        <f t="shared" si="224"/>
        <v>91</v>
      </c>
      <c r="F477" s="74">
        <f>VLOOKUP(D477,'FERC Interest Rate'!$A:$B,2,TRUE)</f>
        <v>3.2500000000000001E-2</v>
      </c>
      <c r="G477" s="75">
        <f t="shared" si="225"/>
        <v>2323.8306095376824</v>
      </c>
      <c r="H477" s="75">
        <f t="shared" si="219"/>
        <v>18.777948163135783</v>
      </c>
      <c r="I477" s="180">
        <v>0</v>
      </c>
      <c r="J477" s="76">
        <v>0</v>
      </c>
      <c r="K477" s="116">
        <f t="shared" si="220"/>
        <v>0</v>
      </c>
      <c r="L477" s="76">
        <v>0</v>
      </c>
      <c r="M477" s="117">
        <f t="shared" si="221"/>
        <v>0</v>
      </c>
      <c r="N477" s="8">
        <f t="shared" si="222"/>
        <v>2342.6085577008184</v>
      </c>
      <c r="O477" s="75">
        <f t="shared" si="223"/>
        <v>2342.6085577008184</v>
      </c>
    </row>
    <row r="478" spans="1:15" x14ac:dyDescent="0.25">
      <c r="A478" s="78"/>
      <c r="B478" s="72"/>
      <c r="C478" s="73">
        <f t="shared" si="226"/>
        <v>42461</v>
      </c>
      <c r="D478" s="73">
        <f t="shared" si="227"/>
        <v>42551</v>
      </c>
      <c r="E478" s="72">
        <f t="shared" si="224"/>
        <v>91</v>
      </c>
      <c r="F478" s="74">
        <f>VLOOKUP(D478,'FERC Interest Rate'!$A:$B,2,TRUE)</f>
        <v>3.4599999999999999E-2</v>
      </c>
      <c r="G478" s="75">
        <f t="shared" si="225"/>
        <v>2342.6085577008184</v>
      </c>
      <c r="H478" s="75">
        <f t="shared" si="219"/>
        <v>20.15283416605682</v>
      </c>
      <c r="I478" s="180">
        <v>0</v>
      </c>
      <c r="J478" s="76">
        <v>0</v>
      </c>
      <c r="K478" s="116">
        <f t="shared" si="220"/>
        <v>0</v>
      </c>
      <c r="L478" s="76">
        <v>0</v>
      </c>
      <c r="M478" s="117">
        <f t="shared" si="221"/>
        <v>0</v>
      </c>
      <c r="N478" s="8">
        <f t="shared" si="222"/>
        <v>2362.7613918668753</v>
      </c>
      <c r="O478" s="75">
        <f t="shared" si="223"/>
        <v>2362.7613918668753</v>
      </c>
    </row>
    <row r="479" spans="1:15" x14ac:dyDescent="0.25">
      <c r="A479" s="78"/>
      <c r="B479" s="72"/>
      <c r="C479" s="73">
        <f t="shared" si="226"/>
        <v>42552</v>
      </c>
      <c r="D479" s="73">
        <f t="shared" si="227"/>
        <v>42643</v>
      </c>
      <c r="E479" s="72">
        <f t="shared" si="224"/>
        <v>92</v>
      </c>
      <c r="F479" s="74">
        <f>VLOOKUP(D479,'FERC Interest Rate'!$A:$B,2,TRUE)</f>
        <v>3.5000000000000003E-2</v>
      </c>
      <c r="G479" s="75">
        <f t="shared" si="225"/>
        <v>2362.7613918668753</v>
      </c>
      <c r="H479" s="75">
        <f t="shared" si="219"/>
        <v>20.787135742653934</v>
      </c>
      <c r="I479" s="180">
        <v>0</v>
      </c>
      <c r="J479" s="76">
        <v>0</v>
      </c>
      <c r="K479" s="116">
        <f t="shared" si="220"/>
        <v>0</v>
      </c>
      <c r="L479" s="76">
        <v>0</v>
      </c>
      <c r="M479" s="117">
        <f t="shared" si="221"/>
        <v>0</v>
      </c>
      <c r="N479" s="8">
        <f t="shared" si="222"/>
        <v>2383.5485276095292</v>
      </c>
      <c r="O479" s="75">
        <f t="shared" si="223"/>
        <v>2383.5485276095292</v>
      </c>
    </row>
    <row r="480" spans="1:15" x14ac:dyDescent="0.25">
      <c r="A480" s="17" t="s">
        <v>52</v>
      </c>
      <c r="B480" s="72" t="str">
        <f t="shared" ref="B480:B494" si="228">+IF(MONTH(C480)&lt;4,"Q1",IF(MONTH(C480)&lt;7,"Q2",IF(MONTH(C480)&lt;10,"Q3","Q4")))&amp;"/"&amp;YEAR(C480)</f>
        <v>Q4/2016</v>
      </c>
      <c r="C480" s="73">
        <f t="shared" si="226"/>
        <v>42644</v>
      </c>
      <c r="D480" s="73">
        <f t="shared" si="227"/>
        <v>42735</v>
      </c>
      <c r="E480" s="72">
        <f t="shared" si="224"/>
        <v>92</v>
      </c>
      <c r="F480" s="74">
        <f>VLOOKUP(D480,'FERC Interest Rate'!$A:$B,2,TRUE)</f>
        <v>3.5000000000000003E-2</v>
      </c>
      <c r="G480" s="75">
        <f t="shared" si="225"/>
        <v>2383.5485276095292</v>
      </c>
      <c r="H480" s="75">
        <f t="shared" si="219"/>
        <v>20.970017100827008</v>
      </c>
      <c r="I480" s="180">
        <f>SUM($H$474:$H$500)/20</f>
        <v>5.9759272355177808</v>
      </c>
      <c r="J480" s="76">
        <v>0</v>
      </c>
      <c r="K480" s="116">
        <f t="shared" si="220"/>
        <v>5.9759272355177808</v>
      </c>
      <c r="L480" s="76">
        <f t="shared" ref="L480:L499" si="229">VLOOKUP($B$475,A$1:F$25,5,FALSE)/20</f>
        <v>114.25</v>
      </c>
      <c r="M480" s="117">
        <f t="shared" si="221"/>
        <v>120.22592723551779</v>
      </c>
      <c r="N480" s="8">
        <f t="shared" si="222"/>
        <v>2404.5185447103563</v>
      </c>
      <c r="O480" s="75">
        <f t="shared" si="223"/>
        <v>2284.2926174748386</v>
      </c>
    </row>
    <row r="481" spans="1:15" x14ac:dyDescent="0.25">
      <c r="A481" s="17" t="s">
        <v>53</v>
      </c>
      <c r="B481" s="72" t="str">
        <f t="shared" si="228"/>
        <v>Q1/2017</v>
      </c>
      <c r="C481" s="73">
        <f t="shared" si="226"/>
        <v>42736</v>
      </c>
      <c r="D481" s="73">
        <f t="shared" si="227"/>
        <v>42825</v>
      </c>
      <c r="E481" s="72">
        <f t="shared" si="224"/>
        <v>90</v>
      </c>
      <c r="F481" s="74">
        <f>VLOOKUP(D481,'FERC Interest Rate'!$A:$B,2,TRUE)</f>
        <v>3.5000000000000003E-2</v>
      </c>
      <c r="G481" s="75">
        <f t="shared" si="225"/>
        <v>2284.2926174748386</v>
      </c>
      <c r="H481" s="75">
        <v>0</v>
      </c>
      <c r="I481" s="180">
        <f t="shared" ref="I481:I499" si="230">SUM($H$474:$H$500)/20</f>
        <v>5.9759272355177808</v>
      </c>
      <c r="J481" s="76">
        <f>G481*F481*(E481/(DATE(YEAR(D481),12,31)-DATE(YEAR(D481),1,1)+1))</f>
        <v>19.713758205604773</v>
      </c>
      <c r="K481" s="116">
        <f t="shared" si="220"/>
        <v>25.689685441122553</v>
      </c>
      <c r="L481" s="76">
        <f t="shared" si="229"/>
        <v>114.25</v>
      </c>
      <c r="M481" s="117">
        <f t="shared" si="221"/>
        <v>139.93968544112255</v>
      </c>
      <c r="N481" s="8">
        <f t="shared" si="222"/>
        <v>2304.0063756804434</v>
      </c>
      <c r="O481" s="75">
        <f t="shared" si="223"/>
        <v>2164.0666902393209</v>
      </c>
    </row>
    <row r="482" spans="1:15" x14ac:dyDescent="0.25">
      <c r="A482" s="17" t="s">
        <v>54</v>
      </c>
      <c r="B482" s="72" t="str">
        <f t="shared" si="228"/>
        <v>Q2/2017</v>
      </c>
      <c r="C482" s="73">
        <f t="shared" si="226"/>
        <v>42826</v>
      </c>
      <c r="D482" s="73">
        <f t="shared" si="227"/>
        <v>42916</v>
      </c>
      <c r="E482" s="72">
        <f t="shared" si="224"/>
        <v>91</v>
      </c>
      <c r="F482" s="74">
        <f>VLOOKUP(D482,'FERC Interest Rate'!$A:$B,2,TRUE)</f>
        <v>3.7100000000000001E-2</v>
      </c>
      <c r="G482" s="75">
        <f t="shared" si="225"/>
        <v>2164.0666902393209</v>
      </c>
      <c r="H482" s="75">
        <v>0</v>
      </c>
      <c r="I482" s="99">
        <f t="shared" si="230"/>
        <v>5.9759272355177808</v>
      </c>
      <c r="J482" s="76">
        <f>G482*F482*(E482/(DATE(YEAR(D482),12,31)-DATE(YEAR(D482),1,1)+1))</f>
        <v>20.016727542238279</v>
      </c>
      <c r="K482" s="116">
        <f t="shared" si="220"/>
        <v>25.992654777756059</v>
      </c>
      <c r="L482" s="76">
        <f t="shared" si="229"/>
        <v>114.25</v>
      </c>
      <c r="M482" s="117">
        <f t="shared" si="221"/>
        <v>140.24265477775606</v>
      </c>
      <c r="N482" s="8">
        <f t="shared" si="222"/>
        <v>2184.0834177815591</v>
      </c>
      <c r="O482" s="75">
        <f t="shared" si="223"/>
        <v>2043.8407630038032</v>
      </c>
    </row>
    <row r="483" spans="1:15" x14ac:dyDescent="0.25">
      <c r="A483" s="17" t="s">
        <v>55</v>
      </c>
      <c r="B483" s="72" t="str">
        <f t="shared" si="228"/>
        <v>Q3/2017</v>
      </c>
      <c r="C483" s="73">
        <f t="shared" si="226"/>
        <v>42917</v>
      </c>
      <c r="D483" s="73">
        <f t="shared" si="227"/>
        <v>43008</v>
      </c>
      <c r="E483" s="72">
        <f t="shared" si="224"/>
        <v>92</v>
      </c>
      <c r="F483" s="74">
        <f>VLOOKUP(D483,'FERC Interest Rate'!$A:$B,2,TRUE)</f>
        <v>3.9600000000000003E-2</v>
      </c>
      <c r="G483" s="75">
        <f t="shared" si="225"/>
        <v>2043.8407630038032</v>
      </c>
      <c r="H483" s="75">
        <v>0</v>
      </c>
      <c r="I483" s="99">
        <f t="shared" si="230"/>
        <v>5.9759272355177808</v>
      </c>
      <c r="J483" s="76">
        <f>G483*F483*(E483/(DATE(YEAR(D483),12,31)-DATE(YEAR(D483),1,1)+1))</f>
        <v>20.400330596645087</v>
      </c>
      <c r="K483" s="116">
        <f t="shared" si="220"/>
        <v>26.376257832162867</v>
      </c>
      <c r="L483" s="76">
        <f t="shared" si="229"/>
        <v>114.25</v>
      </c>
      <c r="M483" s="117">
        <f t="shared" si="221"/>
        <v>140.62625783216288</v>
      </c>
      <c r="N483" s="8">
        <f t="shared" si="222"/>
        <v>2064.2410936004485</v>
      </c>
      <c r="O483" s="75">
        <f t="shared" si="223"/>
        <v>1923.6148357682855</v>
      </c>
    </row>
    <row r="484" spans="1:15" x14ac:dyDescent="0.25">
      <c r="A484" s="17" t="s">
        <v>56</v>
      </c>
      <c r="B484" s="72" t="str">
        <f t="shared" si="228"/>
        <v>Q4/2017</v>
      </c>
      <c r="C484" s="73">
        <f t="shared" si="226"/>
        <v>43009</v>
      </c>
      <c r="D484" s="73">
        <f t="shared" si="227"/>
        <v>43100</v>
      </c>
      <c r="E484" s="72">
        <f t="shared" si="224"/>
        <v>92</v>
      </c>
      <c r="F484" s="74">
        <f>VLOOKUP(D484,'FERC Interest Rate'!$A:$B,2,TRUE)</f>
        <v>4.2099999999999999E-2</v>
      </c>
      <c r="G484" s="75">
        <f t="shared" si="225"/>
        <v>1923.6148357682855</v>
      </c>
      <c r="H484" s="75">
        <v>0</v>
      </c>
      <c r="I484" s="99">
        <f t="shared" si="230"/>
        <v>5.9759272355177808</v>
      </c>
      <c r="J484" s="76">
        <f>G484*F484*(E484/(DATE(YEAR(D484),12,31)-DATE(YEAR(D484),1,1)+1))</f>
        <v>20.412452005199242</v>
      </c>
      <c r="K484" s="116">
        <f t="shared" si="220"/>
        <v>26.388379240717022</v>
      </c>
      <c r="L484" s="76">
        <f t="shared" si="229"/>
        <v>114.25</v>
      </c>
      <c r="M484" s="117">
        <f t="shared" si="221"/>
        <v>140.63837924071703</v>
      </c>
      <c r="N484" s="8">
        <f t="shared" si="222"/>
        <v>1944.0272877734847</v>
      </c>
      <c r="O484" s="75">
        <f t="shared" si="223"/>
        <v>1803.3889085327678</v>
      </c>
    </row>
    <row r="485" spans="1:15" x14ac:dyDescent="0.25">
      <c r="A485" s="17" t="s">
        <v>57</v>
      </c>
      <c r="B485" s="72" t="str">
        <f t="shared" si="228"/>
        <v>Q1/2018</v>
      </c>
      <c r="C485" s="73">
        <f t="shared" si="226"/>
        <v>43101</v>
      </c>
      <c r="D485" s="73">
        <f t="shared" si="227"/>
        <v>43190</v>
      </c>
      <c r="E485" s="72">
        <f t="shared" si="224"/>
        <v>90</v>
      </c>
      <c r="F485" s="74">
        <f>VLOOKUP(D485,'FERC Interest Rate'!$A:$B,2,TRUE)</f>
        <v>4.2500000000000003E-2</v>
      </c>
      <c r="G485" s="75">
        <f t="shared" si="225"/>
        <v>1803.3889085327678</v>
      </c>
      <c r="H485" s="75">
        <v>0</v>
      </c>
      <c r="I485" s="99">
        <f t="shared" si="230"/>
        <v>5.9759272355177808</v>
      </c>
      <c r="J485" s="76">
        <f>G485*F485*(E485/(DATE(YEAR(D485),12,31)-DATE(YEAR(D485),1,1)+1))</f>
        <v>18.898527603117362</v>
      </c>
      <c r="K485" s="116">
        <f t="shared" si="220"/>
        <v>24.874454838635142</v>
      </c>
      <c r="L485" s="76">
        <f t="shared" si="229"/>
        <v>114.25</v>
      </c>
      <c r="M485" s="117">
        <f t="shared" si="221"/>
        <v>139.12445483863513</v>
      </c>
      <c r="N485" s="8">
        <f t="shared" si="222"/>
        <v>1822.2874361358852</v>
      </c>
      <c r="O485" s="75">
        <f t="shared" si="223"/>
        <v>1683.1629812972501</v>
      </c>
    </row>
    <row r="486" spans="1:15" x14ac:dyDescent="0.25">
      <c r="A486" s="17" t="s">
        <v>58</v>
      </c>
      <c r="B486" s="72" t="str">
        <f t="shared" si="228"/>
        <v>Q2/2018</v>
      </c>
      <c r="C486" s="73">
        <f t="shared" si="226"/>
        <v>43191</v>
      </c>
      <c r="D486" s="73">
        <f t="shared" si="227"/>
        <v>43281</v>
      </c>
      <c r="E486" s="72">
        <f t="shared" si="224"/>
        <v>91</v>
      </c>
      <c r="F486" s="74">
        <f>VLOOKUP(D486,'FERC Interest Rate'!$A:$B,2,TRUE)</f>
        <v>4.4699999999999997E-2</v>
      </c>
      <c r="G486" s="75">
        <f t="shared" si="225"/>
        <v>1683.1629812972501</v>
      </c>
      <c r="H486" s="75">
        <v>0</v>
      </c>
      <c r="I486" s="99">
        <f t="shared" si="230"/>
        <v>5.9759272355177808</v>
      </c>
      <c r="J486" s="76">
        <f t="shared" ref="J486:J497" si="231">G486*F486*(E486/(DATE(YEAR(D486),12,31)-DATE(YEAR(D486),1,1)+1))</f>
        <v>18.757813860336505</v>
      </c>
      <c r="K486" s="116">
        <f t="shared" si="220"/>
        <v>24.733741095854285</v>
      </c>
      <c r="L486" s="76">
        <f t="shared" si="229"/>
        <v>114.25</v>
      </c>
      <c r="M486" s="117">
        <f t="shared" si="221"/>
        <v>138.98374109585427</v>
      </c>
      <c r="N486" s="8">
        <f t="shared" si="222"/>
        <v>1701.9207951575866</v>
      </c>
      <c r="O486" s="75">
        <f t="shared" si="223"/>
        <v>1562.9370540617324</v>
      </c>
    </row>
    <row r="487" spans="1:15" x14ac:dyDescent="0.25">
      <c r="A487" s="17" t="s">
        <v>59</v>
      </c>
      <c r="B487" s="72" t="str">
        <f t="shared" si="228"/>
        <v>Q3/2018</v>
      </c>
      <c r="C487" s="73">
        <f t="shared" si="226"/>
        <v>43282</v>
      </c>
      <c r="D487" s="73">
        <f t="shared" si="227"/>
        <v>43373</v>
      </c>
      <c r="E487" s="72">
        <f t="shared" si="224"/>
        <v>92</v>
      </c>
      <c r="F487" s="74">
        <f>VLOOKUP(D487,'FERC Interest Rate'!$A:$B,2,TRUE)</f>
        <v>4.6899999999999997E-2</v>
      </c>
      <c r="G487" s="75">
        <f t="shared" si="225"/>
        <v>1562.9370540617324</v>
      </c>
      <c r="H487" s="75">
        <v>0</v>
      </c>
      <c r="I487" s="99">
        <f t="shared" si="230"/>
        <v>5.9759272355177808</v>
      </c>
      <c r="J487" s="76">
        <f t="shared" si="231"/>
        <v>18.476056988672777</v>
      </c>
      <c r="K487" s="116">
        <f t="shared" si="220"/>
        <v>24.451984224190557</v>
      </c>
      <c r="L487" s="76">
        <f t="shared" si="229"/>
        <v>114.25</v>
      </c>
      <c r="M487" s="117">
        <f t="shared" si="221"/>
        <v>138.70198422419057</v>
      </c>
      <c r="N487" s="8">
        <f t="shared" si="222"/>
        <v>1581.4131110504052</v>
      </c>
      <c r="O487" s="75">
        <f t="shared" si="223"/>
        <v>1442.7111268262147</v>
      </c>
    </row>
    <row r="488" spans="1:15" x14ac:dyDescent="0.25">
      <c r="A488" s="17" t="s">
        <v>60</v>
      </c>
      <c r="B488" s="72" t="str">
        <f t="shared" si="228"/>
        <v>Q4/2018</v>
      </c>
      <c r="C488" s="73">
        <f t="shared" si="226"/>
        <v>43374</v>
      </c>
      <c r="D488" s="73">
        <f t="shared" si="227"/>
        <v>43465</v>
      </c>
      <c r="E488" s="72">
        <f t="shared" si="224"/>
        <v>92</v>
      </c>
      <c r="F488" s="74">
        <f>VLOOKUP(D488,'FERC Interest Rate'!$A:$B,2,TRUE)</f>
        <v>4.9599999999999998E-2</v>
      </c>
      <c r="G488" s="75">
        <f t="shared" si="225"/>
        <v>1442.7111268262147</v>
      </c>
      <c r="H488" s="75">
        <v>0</v>
      </c>
      <c r="I488" s="99">
        <f t="shared" si="230"/>
        <v>5.9759272355177808</v>
      </c>
      <c r="J488" s="76">
        <f t="shared" si="231"/>
        <v>18.036655928584612</v>
      </c>
      <c r="K488" s="116">
        <f t="shared" si="220"/>
        <v>24.012583164102391</v>
      </c>
      <c r="L488" s="76">
        <f t="shared" si="229"/>
        <v>114.25</v>
      </c>
      <c r="M488" s="117">
        <f t="shared" si="221"/>
        <v>138.26258316410238</v>
      </c>
      <c r="N488" s="8">
        <f t="shared" si="222"/>
        <v>1460.7477827547993</v>
      </c>
      <c r="O488" s="75">
        <f t="shared" si="223"/>
        <v>1322.485199590697</v>
      </c>
    </row>
    <row r="489" spans="1:15" x14ac:dyDescent="0.25">
      <c r="A489" s="17" t="s">
        <v>61</v>
      </c>
      <c r="B489" s="72" t="str">
        <f t="shared" si="228"/>
        <v>Q1/2019</v>
      </c>
      <c r="C489" s="73">
        <f t="shared" si="226"/>
        <v>43466</v>
      </c>
      <c r="D489" s="73">
        <f t="shared" si="227"/>
        <v>43555</v>
      </c>
      <c r="E489" s="72">
        <f t="shared" si="224"/>
        <v>90</v>
      </c>
      <c r="F489" s="74">
        <f>VLOOKUP(D489,'FERC Interest Rate'!$A:$B,2,TRUE)</f>
        <v>5.1799999999999999E-2</v>
      </c>
      <c r="G489" s="75">
        <f t="shared" si="225"/>
        <v>1322.485199590697</v>
      </c>
      <c r="H489" s="75">
        <v>0</v>
      </c>
      <c r="I489" s="99">
        <f t="shared" si="230"/>
        <v>5.9759272355177808</v>
      </c>
      <c r="J489" s="76">
        <f t="shared" si="231"/>
        <v>16.891578083539258</v>
      </c>
      <c r="K489" s="116">
        <f t="shared" si="220"/>
        <v>22.867505319057038</v>
      </c>
      <c r="L489" s="76">
        <f t="shared" si="229"/>
        <v>114.25</v>
      </c>
      <c r="M489" s="117">
        <f t="shared" si="221"/>
        <v>137.11750531905705</v>
      </c>
      <c r="N489" s="8">
        <f t="shared" si="222"/>
        <v>1339.3767776742363</v>
      </c>
      <c r="O489" s="75">
        <f t="shared" si="223"/>
        <v>1202.2592723551793</v>
      </c>
    </row>
    <row r="490" spans="1:15" x14ac:dyDescent="0.25">
      <c r="A490" s="17" t="s">
        <v>62</v>
      </c>
      <c r="B490" s="72" t="str">
        <f t="shared" si="228"/>
        <v>Q2/2019</v>
      </c>
      <c r="C490" s="73">
        <f t="shared" si="226"/>
        <v>43556</v>
      </c>
      <c r="D490" s="73">
        <f t="shared" si="227"/>
        <v>43646</v>
      </c>
      <c r="E490" s="72">
        <f t="shared" si="224"/>
        <v>91</v>
      </c>
      <c r="F490" s="74">
        <f>VLOOKUP(D490,'FERC Interest Rate'!$A:$B,2,TRUE)</f>
        <v>5.45E-2</v>
      </c>
      <c r="G490" s="75">
        <f t="shared" si="225"/>
        <v>1202.2592723551793</v>
      </c>
      <c r="H490" s="75">
        <v>0</v>
      </c>
      <c r="I490" s="99">
        <f t="shared" si="230"/>
        <v>5.9759272355177808</v>
      </c>
      <c r="J490" s="76">
        <f t="shared" si="231"/>
        <v>16.335903729439757</v>
      </c>
      <c r="K490" s="116">
        <f t="shared" si="220"/>
        <v>22.311830964957537</v>
      </c>
      <c r="L490" s="76">
        <f t="shared" si="229"/>
        <v>114.25</v>
      </c>
      <c r="M490" s="117">
        <f t="shared" si="221"/>
        <v>136.56183096495755</v>
      </c>
      <c r="N490" s="8">
        <f t="shared" si="222"/>
        <v>1218.595176084619</v>
      </c>
      <c r="O490" s="75">
        <f t="shared" si="223"/>
        <v>1082.0333451196616</v>
      </c>
    </row>
    <row r="491" spans="1:15" x14ac:dyDescent="0.25">
      <c r="A491" s="17" t="s">
        <v>63</v>
      </c>
      <c r="B491" s="72" t="str">
        <f t="shared" si="228"/>
        <v>Q3/2019</v>
      </c>
      <c r="C491" s="73">
        <f t="shared" si="226"/>
        <v>43647</v>
      </c>
      <c r="D491" s="73">
        <f t="shared" si="227"/>
        <v>43738</v>
      </c>
      <c r="E491" s="72">
        <f t="shared" si="224"/>
        <v>92</v>
      </c>
      <c r="F491" s="74">
        <f>VLOOKUP(D491,'FERC Interest Rate'!$A:$B,2,TRUE)</f>
        <v>5.5E-2</v>
      </c>
      <c r="G491" s="75">
        <f t="shared" si="225"/>
        <v>1082.0333451196616</v>
      </c>
      <c r="H491" s="75">
        <v>0</v>
      </c>
      <c r="I491" s="99">
        <f t="shared" si="230"/>
        <v>5.9759272355177808</v>
      </c>
      <c r="J491" s="76">
        <f t="shared" si="231"/>
        <v>15.000243085768462</v>
      </c>
      <c r="K491" s="116">
        <f t="shared" si="220"/>
        <v>20.976170321286244</v>
      </c>
      <c r="L491" s="76">
        <f t="shared" si="229"/>
        <v>114.25</v>
      </c>
      <c r="M491" s="117">
        <f t="shared" si="221"/>
        <v>135.22617032128625</v>
      </c>
      <c r="N491" s="8">
        <f t="shared" si="222"/>
        <v>1097.0335882054301</v>
      </c>
      <c r="O491" s="75">
        <f t="shared" si="223"/>
        <v>961.80741788414377</v>
      </c>
    </row>
    <row r="492" spans="1:15" x14ac:dyDescent="0.25">
      <c r="A492" s="17" t="s">
        <v>64</v>
      </c>
      <c r="B492" s="72" t="str">
        <f t="shared" si="228"/>
        <v>Q4/2019</v>
      </c>
      <c r="C492" s="73">
        <f t="shared" si="226"/>
        <v>43739</v>
      </c>
      <c r="D492" s="73">
        <f t="shared" si="227"/>
        <v>43830</v>
      </c>
      <c r="E492" s="72">
        <f t="shared" si="224"/>
        <v>92</v>
      </c>
      <c r="F492" s="74">
        <f>VLOOKUP(D492,'FERC Interest Rate'!$A:$B,2,TRUE)</f>
        <v>5.4199999999999998E-2</v>
      </c>
      <c r="G492" s="75">
        <f t="shared" si="225"/>
        <v>961.80741788414377</v>
      </c>
      <c r="H492" s="75">
        <v>0</v>
      </c>
      <c r="I492" s="99">
        <f t="shared" si="230"/>
        <v>5.9759272355177808</v>
      </c>
      <c r="J492" s="76">
        <f t="shared" si="231"/>
        <v>13.139606872705464</v>
      </c>
      <c r="K492" s="116">
        <f t="shared" si="220"/>
        <v>19.115534108223244</v>
      </c>
      <c r="L492" s="76">
        <f t="shared" si="229"/>
        <v>114.25</v>
      </c>
      <c r="M492" s="117">
        <f t="shared" si="221"/>
        <v>133.36553410822324</v>
      </c>
      <c r="N492" s="8">
        <f t="shared" si="222"/>
        <v>974.94702475684926</v>
      </c>
      <c r="O492" s="75">
        <f t="shared" si="223"/>
        <v>841.58149064862596</v>
      </c>
    </row>
    <row r="493" spans="1:15" x14ac:dyDescent="0.25">
      <c r="A493" s="17" t="s">
        <v>65</v>
      </c>
      <c r="B493" s="72" t="str">
        <f t="shared" si="228"/>
        <v>Q1/2020</v>
      </c>
      <c r="C493" s="73">
        <f t="shared" si="226"/>
        <v>43831</v>
      </c>
      <c r="D493" s="73">
        <f t="shared" si="227"/>
        <v>43921</v>
      </c>
      <c r="E493" s="72">
        <f t="shared" si="224"/>
        <v>91</v>
      </c>
      <c r="F493" s="74">
        <f>VLOOKUP(D493,'FERC Interest Rate'!$A:$B,2,TRUE)</f>
        <v>4.9599999999999998E-2</v>
      </c>
      <c r="G493" s="75">
        <f t="shared" si="225"/>
        <v>841.58149064862596</v>
      </c>
      <c r="H493" s="75">
        <v>0</v>
      </c>
      <c r="I493" s="99">
        <f t="shared" si="230"/>
        <v>5.9759272355177808</v>
      </c>
      <c r="J493" s="76">
        <f t="shared" si="231"/>
        <v>10.378585290141087</v>
      </c>
      <c r="K493" s="116">
        <f t="shared" si="220"/>
        <v>16.354512525658869</v>
      </c>
      <c r="L493" s="76">
        <f t="shared" si="229"/>
        <v>114.25</v>
      </c>
      <c r="M493" s="117">
        <f t="shared" si="221"/>
        <v>130.60451252565886</v>
      </c>
      <c r="N493" s="8">
        <f t="shared" si="222"/>
        <v>851.96007593876709</v>
      </c>
      <c r="O493" s="75">
        <f t="shared" si="223"/>
        <v>721.35556341310814</v>
      </c>
    </row>
    <row r="494" spans="1:15" x14ac:dyDescent="0.25">
      <c r="A494" s="17" t="s">
        <v>66</v>
      </c>
      <c r="B494" s="72" t="str">
        <f t="shared" si="228"/>
        <v>Q2/2020</v>
      </c>
      <c r="C494" s="73">
        <f t="shared" si="226"/>
        <v>43922</v>
      </c>
      <c r="D494" s="73">
        <f t="shared" si="227"/>
        <v>44012</v>
      </c>
      <c r="E494" s="72">
        <f t="shared" si="224"/>
        <v>91</v>
      </c>
      <c r="F494" s="74">
        <f>VLOOKUP(D494,'FERC Interest Rate'!$A:$B,2,TRUE)</f>
        <v>4.7503500000000004E-2</v>
      </c>
      <c r="G494" s="75">
        <f t="shared" si="225"/>
        <v>721.35556341310814</v>
      </c>
      <c r="H494" s="75">
        <v>0</v>
      </c>
      <c r="I494" s="99">
        <f t="shared" si="230"/>
        <v>5.9759272355177808</v>
      </c>
      <c r="J494" s="76">
        <f t="shared" si="231"/>
        <v>8.5199157775959211</v>
      </c>
      <c r="K494" s="116">
        <f t="shared" si="220"/>
        <v>14.495843013113703</v>
      </c>
      <c r="L494" s="76">
        <f t="shared" si="229"/>
        <v>114.25</v>
      </c>
      <c r="M494" s="117">
        <f t="shared" si="221"/>
        <v>128.7458430131137</v>
      </c>
      <c r="N494" s="8">
        <f t="shared" si="222"/>
        <v>729.87547919070403</v>
      </c>
      <c r="O494" s="75">
        <f t="shared" si="223"/>
        <v>601.12963617759033</v>
      </c>
    </row>
    <row r="495" spans="1:15" x14ac:dyDescent="0.25">
      <c r="A495" s="17" t="s">
        <v>67</v>
      </c>
      <c r="B495" s="72" t="str">
        <f>+IF(MONTH(C495)&lt;4,"Q1",IF(MONTH(C495)&lt;7,"Q2",IF(MONTH(C495)&lt;10,"Q3","Q4")))&amp;"/"&amp;YEAR(C495)</f>
        <v>Q3/2020</v>
      </c>
      <c r="C495" s="73">
        <f t="shared" si="226"/>
        <v>44013</v>
      </c>
      <c r="D495" s="73">
        <f t="shared" si="227"/>
        <v>44104</v>
      </c>
      <c r="E495" s="72">
        <f t="shared" si="224"/>
        <v>92</v>
      </c>
      <c r="F495" s="74">
        <f>VLOOKUP(D495,'FERC Interest Rate'!$A:$B,2,TRUE)</f>
        <v>4.7507929999999997E-2</v>
      </c>
      <c r="G495" s="75">
        <f t="shared" si="225"/>
        <v>601.12963617759033</v>
      </c>
      <c r="H495" s="75">
        <v>0</v>
      </c>
      <c r="I495" s="99">
        <f t="shared" si="230"/>
        <v>5.9759272355177808</v>
      </c>
      <c r="J495" s="76">
        <f t="shared" si="231"/>
        <v>7.1786204104738784</v>
      </c>
      <c r="K495" s="116">
        <f t="shared" si="220"/>
        <v>13.154547645991659</v>
      </c>
      <c r="L495" s="76">
        <f t="shared" si="229"/>
        <v>114.25</v>
      </c>
      <c r="M495" s="117">
        <f t="shared" si="221"/>
        <v>127.40454764599166</v>
      </c>
      <c r="N495" s="8">
        <f t="shared" si="222"/>
        <v>608.30825658806418</v>
      </c>
      <c r="O495" s="75">
        <f t="shared" si="223"/>
        <v>480.90370894207257</v>
      </c>
    </row>
    <row r="496" spans="1:15" x14ac:dyDescent="0.25">
      <c r="A496" s="17" t="s">
        <v>68</v>
      </c>
      <c r="B496" s="72" t="str">
        <f>+IF(MONTH(C496)&lt;4,"Q1",IF(MONTH(C496)&lt;7,"Q2",IF(MONTH(C496)&lt;10,"Q3","Q4")))&amp;"/"&amp;YEAR(C496)</f>
        <v>Q4/2020</v>
      </c>
      <c r="C496" s="73">
        <f t="shared" si="226"/>
        <v>44105</v>
      </c>
      <c r="D496" s="73">
        <f t="shared" si="227"/>
        <v>44196</v>
      </c>
      <c r="E496" s="72">
        <f t="shared" si="224"/>
        <v>92</v>
      </c>
      <c r="F496" s="74">
        <f>VLOOKUP(D496,'FERC Interest Rate'!$A:$B,2,TRUE)</f>
        <v>4.7922320000000004E-2</v>
      </c>
      <c r="G496" s="75">
        <f t="shared" si="225"/>
        <v>480.90370894207257</v>
      </c>
      <c r="H496" s="75">
        <v>0</v>
      </c>
      <c r="I496" s="99">
        <f t="shared" si="230"/>
        <v>5.9759272355177808</v>
      </c>
      <c r="J496" s="76">
        <f t="shared" si="231"/>
        <v>5.7929889931093319</v>
      </c>
      <c r="K496" s="116">
        <f t="shared" si="220"/>
        <v>11.768916228627113</v>
      </c>
      <c r="L496" s="76">
        <f t="shared" si="229"/>
        <v>114.25</v>
      </c>
      <c r="M496" s="117">
        <f t="shared" si="221"/>
        <v>126.01891622862712</v>
      </c>
      <c r="N496" s="8">
        <f t="shared" si="222"/>
        <v>486.69669793518187</v>
      </c>
      <c r="O496" s="75">
        <f t="shared" si="223"/>
        <v>360.67778170655481</v>
      </c>
    </row>
    <row r="497" spans="1:15" x14ac:dyDescent="0.25">
      <c r="A497" s="17" t="s">
        <v>69</v>
      </c>
      <c r="B497" s="72" t="str">
        <f>+IF(MONTH(C497)&lt;4,"Q1",IF(MONTH(C497)&lt;7,"Q2",IF(MONTH(C497)&lt;10,"Q3","Q4")))&amp;"/"&amp;YEAR(C497)</f>
        <v>Q1/2021</v>
      </c>
      <c r="C497" s="73">
        <f t="shared" si="226"/>
        <v>44197</v>
      </c>
      <c r="D497" s="73">
        <f t="shared" si="227"/>
        <v>44286</v>
      </c>
      <c r="E497" s="72">
        <f t="shared" si="224"/>
        <v>90</v>
      </c>
      <c r="F497" s="74">
        <f>VLOOKUP(D497,'FERC Interest Rate'!$A:$B,2,TRUE)</f>
        <v>5.0023470000000007E-2</v>
      </c>
      <c r="G497" s="75">
        <f t="shared" si="225"/>
        <v>360.67778170655481</v>
      </c>
      <c r="H497" s="75">
        <v>0</v>
      </c>
      <c r="I497" s="99">
        <f t="shared" si="230"/>
        <v>5.9759272355177808</v>
      </c>
      <c r="J497" s="76">
        <f t="shared" si="231"/>
        <v>4.4487996639939604</v>
      </c>
      <c r="K497" s="116">
        <f t="shared" si="220"/>
        <v>10.424726899511741</v>
      </c>
      <c r="L497" s="76">
        <f t="shared" si="229"/>
        <v>114.25</v>
      </c>
      <c r="M497" s="117">
        <f t="shared" si="221"/>
        <v>124.67472689951174</v>
      </c>
      <c r="N497" s="8">
        <f t="shared" si="222"/>
        <v>365.12658137054876</v>
      </c>
      <c r="O497" s="75">
        <f t="shared" si="223"/>
        <v>240.45185447103702</v>
      </c>
    </row>
    <row r="498" spans="1:15" x14ac:dyDescent="0.25">
      <c r="A498" s="17" t="s">
        <v>70</v>
      </c>
      <c r="B498" s="72" t="str">
        <f>+IF(MONTH(C498)&lt;4,"Q1",IF(MONTH(C498)&lt;7,"Q2",IF(MONTH(C498)&lt;10,"Q3","Q4")))&amp;"/"&amp;YEAR(C498)</f>
        <v>Q2/2021</v>
      </c>
      <c r="C498" s="73">
        <f>D497+1</f>
        <v>44287</v>
      </c>
      <c r="D498" s="73">
        <f t="shared" si="227"/>
        <v>44377</v>
      </c>
      <c r="E498" s="72">
        <f>D498-C498+1</f>
        <v>91</v>
      </c>
      <c r="F498" s="74">
        <f>VLOOKUP(D498,'FERC Interest Rate'!$A:$B,2,TRUE)</f>
        <v>5.0403730000000001E-2</v>
      </c>
      <c r="G498" s="75">
        <f>O497</f>
        <v>240.45185447103702</v>
      </c>
      <c r="H498" s="75">
        <v>0</v>
      </c>
      <c r="I498" s="99">
        <f t="shared" si="230"/>
        <v>5.9759272355177808</v>
      </c>
      <c r="J498" s="76">
        <f>G498*F498*(E498/(DATE(YEAR(D498),12,31)-DATE(YEAR(D498),1,1)+1))</f>
        <v>3.0216164436134996</v>
      </c>
      <c r="K498" s="116">
        <f>+SUM(I498:J498)</f>
        <v>8.9975436791312795</v>
      </c>
      <c r="L498" s="76">
        <f t="shared" si="229"/>
        <v>114.25</v>
      </c>
      <c r="M498" s="117">
        <f>+SUM(K498:L498)</f>
        <v>123.24754367913128</v>
      </c>
      <c r="N498" s="8">
        <f>+G498+H498+J498</f>
        <v>243.47347091465053</v>
      </c>
      <c r="O498" s="75">
        <f>G498+H498-L498-I498</f>
        <v>120.22592723551924</v>
      </c>
    </row>
    <row r="499" spans="1:15" x14ac:dyDescent="0.25">
      <c r="A499" s="17" t="s">
        <v>71</v>
      </c>
      <c r="B499" s="72" t="str">
        <f>+IF(MONTH(C499)&lt;4,"Q1",IF(MONTH(C499)&lt;7,"Q2",IF(MONTH(C499)&lt;10,"Q3","Q4")))&amp;"/"&amp;YEAR(C499)</f>
        <v>Q3/2021</v>
      </c>
      <c r="C499" s="73">
        <f>D498+1</f>
        <v>44378</v>
      </c>
      <c r="D499" s="73">
        <f t="shared" si="227"/>
        <v>44469</v>
      </c>
      <c r="E499" s="72">
        <f>D499-C499+1</f>
        <v>92</v>
      </c>
      <c r="F499" s="74">
        <f>VLOOKUP(D499,'FERC Interest Rate'!$A:$B,2,TRUE)</f>
        <v>5.2520850000000001E-2</v>
      </c>
      <c r="G499" s="75">
        <f>O498</f>
        <v>120.22592723551924</v>
      </c>
      <c r="H499" s="75">
        <v>0</v>
      </c>
      <c r="I499" s="99">
        <f t="shared" si="230"/>
        <v>5.9759272355177808</v>
      </c>
      <c r="J499" s="76">
        <f>G499*F499*(E499/(DATE(YEAR(D499),12,31)-DATE(YEAR(D499),1,1)+1))</f>
        <v>1.591566701153921</v>
      </c>
      <c r="K499" s="116">
        <f>+SUM(I499:J499)</f>
        <v>7.5674939366717018</v>
      </c>
      <c r="L499" s="76">
        <f t="shared" si="229"/>
        <v>114.25</v>
      </c>
      <c r="M499" s="117">
        <f>+SUM(K499:L499)</f>
        <v>121.8174939366717</v>
      </c>
      <c r="N499" s="8">
        <f>+G499+H499+J499</f>
        <v>121.81749393667316</v>
      </c>
      <c r="O499" s="75">
        <f>G499+H499-L499-I499</f>
        <v>1.4557244298885053E-12</v>
      </c>
    </row>
    <row r="500" spans="1:15" x14ac:dyDescent="0.25">
      <c r="A500" s="78"/>
      <c r="B500" s="72"/>
      <c r="C500" s="73"/>
      <c r="D500" s="73"/>
      <c r="E500" s="72"/>
      <c r="F500" s="74"/>
      <c r="G500" s="75"/>
      <c r="H500" s="75"/>
      <c r="I500" s="99"/>
      <c r="J500" s="76"/>
      <c r="K500" s="116"/>
      <c r="L500" s="76"/>
      <c r="M500" s="117"/>
      <c r="N500" s="8"/>
      <c r="O500" s="75"/>
    </row>
    <row r="501" spans="1:15" ht="13.5" thickBot="1" x14ac:dyDescent="0.35">
      <c r="A501" s="142"/>
      <c r="B501" s="143"/>
      <c r="C501" s="144"/>
      <c r="D501" s="144"/>
      <c r="E501" s="145"/>
      <c r="F501" s="143"/>
      <c r="G501" s="127">
        <f t="shared" ref="G501:O501" si="232">+SUM(G474:G500)</f>
        <v>39131.844987635202</v>
      </c>
      <c r="H501" s="127">
        <f t="shared" si="232"/>
        <v>119.51854471035561</v>
      </c>
      <c r="I501" s="128">
        <f t="shared" si="232"/>
        <v>119.51854471035567</v>
      </c>
      <c r="J501" s="127">
        <f t="shared" si="232"/>
        <v>257.0117477819332</v>
      </c>
      <c r="K501" s="127">
        <f t="shared" si="232"/>
        <v>376.53029249228888</v>
      </c>
      <c r="L501" s="127">
        <f t="shared" si="232"/>
        <v>2285</v>
      </c>
      <c r="M501" s="129">
        <f t="shared" si="232"/>
        <v>2661.5302924922889</v>
      </c>
      <c r="N501" s="127">
        <f t="shared" si="232"/>
        <v>39508.375280127482</v>
      </c>
      <c r="O501" s="127">
        <f t="shared" si="232"/>
        <v>36846.844987635202</v>
      </c>
    </row>
    <row r="502" spans="1:15" ht="13" thickTop="1" x14ac:dyDescent="0.25">
      <c r="B502" s="103"/>
      <c r="C502" s="103"/>
      <c r="D502" s="103"/>
      <c r="E502" s="103"/>
      <c r="F502" s="103"/>
      <c r="G502" s="103"/>
      <c r="H502" s="103"/>
      <c r="I502" s="102"/>
      <c r="J502" s="103"/>
      <c r="K502" s="103"/>
      <c r="L502" s="103"/>
      <c r="M502" s="118"/>
      <c r="O502" s="103"/>
    </row>
    <row r="503" spans="1:15" ht="52" x14ac:dyDescent="0.3">
      <c r="A503" s="77" t="s">
        <v>51</v>
      </c>
      <c r="B503" s="77" t="s">
        <v>3</v>
      </c>
      <c r="C503" s="77" t="s">
        <v>4</v>
      </c>
      <c r="D503" s="77" t="s">
        <v>5</v>
      </c>
      <c r="E503" s="77" t="s">
        <v>6</v>
      </c>
      <c r="F503" s="77" t="s">
        <v>7</v>
      </c>
      <c r="G503" s="77" t="s">
        <v>92</v>
      </c>
      <c r="H503" s="77" t="s">
        <v>93</v>
      </c>
      <c r="I503" s="94" t="s">
        <v>94</v>
      </c>
      <c r="J503" s="95" t="s">
        <v>95</v>
      </c>
      <c r="K503" s="95" t="s">
        <v>96</v>
      </c>
      <c r="L503" s="95" t="s">
        <v>97</v>
      </c>
      <c r="M503" s="96" t="s">
        <v>98</v>
      </c>
      <c r="N503" s="77" t="s">
        <v>99</v>
      </c>
      <c r="O503" s="77" t="s">
        <v>100</v>
      </c>
    </row>
    <row r="504" spans="1:15" ht="13" x14ac:dyDescent="0.3">
      <c r="A504" s="347" t="s">
        <v>14</v>
      </c>
      <c r="B504" s="347"/>
      <c r="C504" s="73">
        <f>VLOOKUP(B505,A$1:F$25,2,FALSE)</f>
        <v>42201</v>
      </c>
      <c r="D504" s="73">
        <f>DATE(YEAR(C504),IF(MONTH(C504)&lt;=3,3,IF(MONTH(C504)&lt;=6,6,IF(MONTH(C504)&lt;=9,9,12))),IF(OR(MONTH(C504)&lt;=3,MONTH(C504)&gt;=10),31,30))</f>
        <v>42277</v>
      </c>
      <c r="E504" s="72">
        <f>D504-C504+1</f>
        <v>77</v>
      </c>
      <c r="F504" s="74">
        <f>VLOOKUP(D504,'FERC Interest Rate'!$A:$B,2,TRUE)</f>
        <v>3.2500000000000001E-2</v>
      </c>
      <c r="G504" s="75">
        <f>VLOOKUP(B505,$A$1:$F$29,5,FALSE)</f>
        <v>1792</v>
      </c>
      <c r="H504" s="75">
        <f t="shared" ref="H504:H509" si="233">G504*F504*(E504/(DATE(YEAR(D504),12,31)-DATE(YEAR(D504),1,1)+1))</f>
        <v>12.286246575342465</v>
      </c>
      <c r="I504" s="180">
        <v>0</v>
      </c>
      <c r="J504" s="76">
        <v>0</v>
      </c>
      <c r="K504" s="116">
        <f t="shared" ref="K504:K526" si="234">+SUM(I504:J504)</f>
        <v>0</v>
      </c>
      <c r="L504" s="76">
        <v>0</v>
      </c>
      <c r="M504" s="117">
        <f t="shared" ref="M504:M526" si="235">+SUM(K504:L504)</f>
        <v>0</v>
      </c>
      <c r="N504" s="8">
        <f t="shared" ref="N504:N526" si="236">+G504+H504+J504</f>
        <v>1804.2862465753424</v>
      </c>
      <c r="O504" s="75">
        <f t="shared" ref="O504:O526" si="237">G504+H504-L504-I504</f>
        <v>1804.2862465753424</v>
      </c>
    </row>
    <row r="505" spans="1:15" ht="13" x14ac:dyDescent="0.3">
      <c r="A505" s="110" t="s">
        <v>40</v>
      </c>
      <c r="B505" s="141" t="s">
        <v>66</v>
      </c>
      <c r="C505" s="73">
        <f>D504+1</f>
        <v>42278</v>
      </c>
      <c r="D505" s="73">
        <f>EOMONTH(D504,3)</f>
        <v>42369</v>
      </c>
      <c r="E505" s="72">
        <f t="shared" ref="E505:E526" si="238">D505-C505+1</f>
        <v>92</v>
      </c>
      <c r="F505" s="74">
        <f>VLOOKUP(D505,'FERC Interest Rate'!$A:$B,2,TRUE)</f>
        <v>3.2500000000000001E-2</v>
      </c>
      <c r="G505" s="75">
        <f t="shared" ref="G505:G526" si="239">O504</f>
        <v>1804.2862465753424</v>
      </c>
      <c r="H505" s="75">
        <f t="shared" si="233"/>
        <v>14.780317471945956</v>
      </c>
      <c r="I505" s="180">
        <v>0</v>
      </c>
      <c r="J505" s="76">
        <v>0</v>
      </c>
      <c r="K505" s="116">
        <f t="shared" si="234"/>
        <v>0</v>
      </c>
      <c r="L505" s="76">
        <v>0</v>
      </c>
      <c r="M505" s="117">
        <f t="shared" si="235"/>
        <v>0</v>
      </c>
      <c r="N505" s="8">
        <f t="shared" si="236"/>
        <v>1819.0665640472882</v>
      </c>
      <c r="O505" s="75">
        <f t="shared" si="237"/>
        <v>1819.0665640472882</v>
      </c>
    </row>
    <row r="506" spans="1:15" ht="13" x14ac:dyDescent="0.3">
      <c r="B506" s="301"/>
      <c r="C506" s="73">
        <f t="shared" ref="C506:C526" si="240">D505+1</f>
        <v>42370</v>
      </c>
      <c r="D506" s="73">
        <f t="shared" ref="D506:D528" si="241">EOMONTH(D505,3)</f>
        <v>42460</v>
      </c>
      <c r="E506" s="72">
        <f t="shared" si="238"/>
        <v>91</v>
      </c>
      <c r="F506" s="74">
        <f>VLOOKUP(D506,'FERC Interest Rate'!$A:$B,2,TRUE)</f>
        <v>3.2500000000000001E-2</v>
      </c>
      <c r="G506" s="75">
        <f t="shared" si="239"/>
        <v>1819.0665640472882</v>
      </c>
      <c r="H506" s="75">
        <f t="shared" si="233"/>
        <v>14.699151265491407</v>
      </c>
      <c r="I506" s="180">
        <v>0</v>
      </c>
      <c r="J506" s="76">
        <v>0</v>
      </c>
      <c r="K506" s="116">
        <f t="shared" si="234"/>
        <v>0</v>
      </c>
      <c r="L506" s="76">
        <v>0</v>
      </c>
      <c r="M506" s="117">
        <f t="shared" si="235"/>
        <v>0</v>
      </c>
      <c r="N506" s="8">
        <f t="shared" si="236"/>
        <v>1833.7657153127795</v>
      </c>
      <c r="O506" s="75">
        <f t="shared" si="237"/>
        <v>1833.7657153127795</v>
      </c>
    </row>
    <row r="507" spans="1:15" x14ac:dyDescent="0.25">
      <c r="A507" s="78"/>
      <c r="B507" s="72"/>
      <c r="C507" s="73">
        <f t="shared" si="240"/>
        <v>42461</v>
      </c>
      <c r="D507" s="73">
        <f t="shared" si="241"/>
        <v>42551</v>
      </c>
      <c r="E507" s="72">
        <f t="shared" si="238"/>
        <v>91</v>
      </c>
      <c r="F507" s="74">
        <f>VLOOKUP(D507,'FERC Interest Rate'!$A:$B,2,TRUE)</f>
        <v>3.4599999999999999E-2</v>
      </c>
      <c r="G507" s="75">
        <f t="shared" si="239"/>
        <v>1833.7657153127795</v>
      </c>
      <c r="H507" s="75">
        <f t="shared" si="233"/>
        <v>15.775395440529556</v>
      </c>
      <c r="I507" s="180">
        <v>0</v>
      </c>
      <c r="J507" s="76">
        <v>0</v>
      </c>
      <c r="K507" s="116">
        <f t="shared" si="234"/>
        <v>0</v>
      </c>
      <c r="L507" s="76">
        <v>0</v>
      </c>
      <c r="M507" s="117">
        <f t="shared" si="235"/>
        <v>0</v>
      </c>
      <c r="N507" s="8">
        <f t="shared" si="236"/>
        <v>1849.5411107533091</v>
      </c>
      <c r="O507" s="75">
        <f t="shared" si="237"/>
        <v>1849.5411107533091</v>
      </c>
    </row>
    <row r="508" spans="1:15" x14ac:dyDescent="0.25">
      <c r="A508" s="78"/>
      <c r="B508" s="72"/>
      <c r="C508" s="73">
        <f t="shared" si="240"/>
        <v>42552</v>
      </c>
      <c r="D508" s="73">
        <f t="shared" si="241"/>
        <v>42643</v>
      </c>
      <c r="E508" s="72">
        <f t="shared" si="238"/>
        <v>92</v>
      </c>
      <c r="F508" s="74">
        <f>VLOOKUP(D508,'FERC Interest Rate'!$A:$B,2,TRUE)</f>
        <v>3.5000000000000003E-2</v>
      </c>
      <c r="G508" s="75">
        <f t="shared" si="239"/>
        <v>1849.5411107533091</v>
      </c>
      <c r="H508" s="75">
        <f t="shared" si="233"/>
        <v>16.271919061818732</v>
      </c>
      <c r="I508" s="180">
        <v>0</v>
      </c>
      <c r="J508" s="76">
        <v>0</v>
      </c>
      <c r="K508" s="116">
        <f t="shared" si="234"/>
        <v>0</v>
      </c>
      <c r="L508" s="76">
        <v>0</v>
      </c>
      <c r="M508" s="117">
        <f t="shared" si="235"/>
        <v>0</v>
      </c>
      <c r="N508" s="8">
        <f t="shared" si="236"/>
        <v>1865.8130298151279</v>
      </c>
      <c r="O508" s="75">
        <f t="shared" si="237"/>
        <v>1865.8130298151279</v>
      </c>
    </row>
    <row r="509" spans="1:15" x14ac:dyDescent="0.25">
      <c r="A509" s="17" t="s">
        <v>52</v>
      </c>
      <c r="B509" s="72" t="str">
        <f t="shared" ref="B509:B523" si="242">+IF(MONTH(C509)&lt;4,"Q1",IF(MONTH(C509)&lt;7,"Q2",IF(MONTH(C509)&lt;10,"Q3","Q4")))&amp;"/"&amp;YEAR(C509)</f>
        <v>Q4/2016</v>
      </c>
      <c r="C509" s="73">
        <f t="shared" si="240"/>
        <v>42644</v>
      </c>
      <c r="D509" s="73">
        <f t="shared" si="241"/>
        <v>42735</v>
      </c>
      <c r="E509" s="72">
        <f t="shared" si="238"/>
        <v>92</v>
      </c>
      <c r="F509" s="74">
        <f>VLOOKUP(D509,'FERC Interest Rate'!$A:$B,2,TRUE)</f>
        <v>3.5000000000000003E-2</v>
      </c>
      <c r="G509" s="75">
        <f t="shared" si="239"/>
        <v>1865.8130298151279</v>
      </c>
      <c r="H509" s="75">
        <f t="shared" si="233"/>
        <v>16.415076382526536</v>
      </c>
      <c r="I509" s="180">
        <f>SUM($H$504:$H$529)/20</f>
        <v>4.5114053098827327</v>
      </c>
      <c r="J509" s="76">
        <v>0</v>
      </c>
      <c r="K509" s="116">
        <f t="shared" si="234"/>
        <v>4.5114053098827327</v>
      </c>
      <c r="L509" s="76">
        <f t="shared" ref="L509:L528" si="243">VLOOKUP($B$505,A$1:F$25,5,FALSE)/20</f>
        <v>89.6</v>
      </c>
      <c r="M509" s="117">
        <f t="shared" si="235"/>
        <v>94.111405309882727</v>
      </c>
      <c r="N509" s="8">
        <f t="shared" si="236"/>
        <v>1882.2281061976546</v>
      </c>
      <c r="O509" s="75">
        <f t="shared" si="237"/>
        <v>1788.1167008877719</v>
      </c>
    </row>
    <row r="510" spans="1:15" x14ac:dyDescent="0.25">
      <c r="A510" s="17" t="s">
        <v>53</v>
      </c>
      <c r="B510" s="72" t="str">
        <f t="shared" si="242"/>
        <v>Q1/2017</v>
      </c>
      <c r="C510" s="73">
        <f t="shared" si="240"/>
        <v>42736</v>
      </c>
      <c r="D510" s="73">
        <f t="shared" si="241"/>
        <v>42825</v>
      </c>
      <c r="E510" s="72">
        <f t="shared" si="238"/>
        <v>90</v>
      </c>
      <c r="F510" s="74">
        <f>VLOOKUP(D510,'FERC Interest Rate'!$A:$B,2,TRUE)</f>
        <v>3.5000000000000003E-2</v>
      </c>
      <c r="G510" s="75">
        <f t="shared" si="239"/>
        <v>1788.1167008877719</v>
      </c>
      <c r="H510" s="75">
        <v>0</v>
      </c>
      <c r="I510" s="180">
        <f t="shared" ref="I510:I528" si="244">SUM($H$504:$H$529)/20</f>
        <v>4.5114053098827327</v>
      </c>
      <c r="J510" s="76">
        <f>G510*F510*(E510/(DATE(YEAR(D510),12,31)-DATE(YEAR(D510),1,1)+1))</f>
        <v>15.431692076154745</v>
      </c>
      <c r="K510" s="116">
        <f t="shared" si="234"/>
        <v>19.943097386037479</v>
      </c>
      <c r="L510" s="76">
        <f t="shared" si="243"/>
        <v>89.6</v>
      </c>
      <c r="M510" s="117">
        <f t="shared" si="235"/>
        <v>109.54309738603747</v>
      </c>
      <c r="N510" s="8">
        <f t="shared" si="236"/>
        <v>1803.5483929639267</v>
      </c>
      <c r="O510" s="75">
        <f t="shared" si="237"/>
        <v>1694.0052955778892</v>
      </c>
    </row>
    <row r="511" spans="1:15" x14ac:dyDescent="0.25">
      <c r="A511" s="17" t="s">
        <v>54</v>
      </c>
      <c r="B511" s="72" t="str">
        <f t="shared" si="242"/>
        <v>Q2/2017</v>
      </c>
      <c r="C511" s="73">
        <f t="shared" si="240"/>
        <v>42826</v>
      </c>
      <c r="D511" s="73">
        <f t="shared" si="241"/>
        <v>42916</v>
      </c>
      <c r="E511" s="72">
        <f t="shared" si="238"/>
        <v>91</v>
      </c>
      <c r="F511" s="74">
        <f>VLOOKUP(D511,'FERC Interest Rate'!$A:$B,2,TRUE)</f>
        <v>3.7100000000000001E-2</v>
      </c>
      <c r="G511" s="75">
        <f t="shared" si="239"/>
        <v>1694.0052955778892</v>
      </c>
      <c r="H511" s="75">
        <v>0</v>
      </c>
      <c r="I511" s="180">
        <f t="shared" si="244"/>
        <v>4.5114053098827327</v>
      </c>
      <c r="J511" s="76">
        <f>G511*F511*(E511/(DATE(YEAR(D511),12,31)-DATE(YEAR(D511),1,1)+1))</f>
        <v>15.668852817535651</v>
      </c>
      <c r="K511" s="116">
        <f t="shared" si="234"/>
        <v>20.180258127418384</v>
      </c>
      <c r="L511" s="76">
        <f t="shared" si="243"/>
        <v>89.6</v>
      </c>
      <c r="M511" s="117">
        <f t="shared" si="235"/>
        <v>109.78025812741838</v>
      </c>
      <c r="N511" s="8">
        <f t="shared" si="236"/>
        <v>1709.6741483954249</v>
      </c>
      <c r="O511" s="75">
        <f t="shared" si="237"/>
        <v>1599.8938902680065</v>
      </c>
    </row>
    <row r="512" spans="1:15" x14ac:dyDescent="0.25">
      <c r="A512" s="17" t="s">
        <v>55</v>
      </c>
      <c r="B512" s="72" t="str">
        <f t="shared" si="242"/>
        <v>Q3/2017</v>
      </c>
      <c r="C512" s="73">
        <f t="shared" si="240"/>
        <v>42917</v>
      </c>
      <c r="D512" s="73">
        <f t="shared" si="241"/>
        <v>43008</v>
      </c>
      <c r="E512" s="72">
        <f t="shared" si="238"/>
        <v>92</v>
      </c>
      <c r="F512" s="74">
        <f>VLOOKUP(D512,'FERC Interest Rate'!$A:$B,2,TRUE)</f>
        <v>3.9600000000000003E-2</v>
      </c>
      <c r="G512" s="75">
        <f t="shared" si="239"/>
        <v>1599.8938902680065</v>
      </c>
      <c r="H512" s="75">
        <v>0</v>
      </c>
      <c r="I512" s="99">
        <f t="shared" si="244"/>
        <v>4.5114053098827327</v>
      </c>
      <c r="J512" s="76">
        <f>G512*F512*(E512/(DATE(YEAR(D512),12,31)-DATE(YEAR(D512),1,1)+1))</f>
        <v>15.969132660340827</v>
      </c>
      <c r="K512" s="116">
        <f t="shared" si="234"/>
        <v>20.480537970223558</v>
      </c>
      <c r="L512" s="76">
        <f t="shared" si="243"/>
        <v>89.6</v>
      </c>
      <c r="M512" s="117">
        <f t="shared" si="235"/>
        <v>110.08053797022356</v>
      </c>
      <c r="N512" s="8">
        <f t="shared" si="236"/>
        <v>1615.8630229283474</v>
      </c>
      <c r="O512" s="75">
        <f t="shared" si="237"/>
        <v>1505.7824849581239</v>
      </c>
    </row>
    <row r="513" spans="1:15" x14ac:dyDescent="0.25">
      <c r="A513" s="17" t="s">
        <v>56</v>
      </c>
      <c r="B513" s="72" t="str">
        <f t="shared" si="242"/>
        <v>Q4/2017</v>
      </c>
      <c r="C513" s="73">
        <f t="shared" si="240"/>
        <v>43009</v>
      </c>
      <c r="D513" s="73">
        <f t="shared" si="241"/>
        <v>43100</v>
      </c>
      <c r="E513" s="72">
        <f t="shared" si="238"/>
        <v>92</v>
      </c>
      <c r="F513" s="74">
        <f>VLOOKUP(D513,'FERC Interest Rate'!$A:$B,2,TRUE)</f>
        <v>4.2099999999999999E-2</v>
      </c>
      <c r="G513" s="75">
        <f t="shared" si="239"/>
        <v>1505.7824849581239</v>
      </c>
      <c r="H513" s="75">
        <v>0</v>
      </c>
      <c r="I513" s="99">
        <f t="shared" si="244"/>
        <v>4.5114053098827327</v>
      </c>
      <c r="J513" s="76">
        <f t="shared" ref="J513:J526" si="245">G513*F513*(E513/(DATE(YEAR(D513),12,31)-DATE(YEAR(D513),1,1)+1))</f>
        <v>15.978621152711796</v>
      </c>
      <c r="K513" s="116">
        <f t="shared" si="234"/>
        <v>20.490026462594528</v>
      </c>
      <c r="L513" s="76">
        <f t="shared" si="243"/>
        <v>89.6</v>
      </c>
      <c r="M513" s="117">
        <f t="shared" si="235"/>
        <v>110.09002646259452</v>
      </c>
      <c r="N513" s="8">
        <f t="shared" si="236"/>
        <v>1521.7611061108357</v>
      </c>
      <c r="O513" s="75">
        <f t="shared" si="237"/>
        <v>1411.6710796482412</v>
      </c>
    </row>
    <row r="514" spans="1:15" x14ac:dyDescent="0.25">
      <c r="A514" s="17" t="s">
        <v>57</v>
      </c>
      <c r="B514" s="72" t="str">
        <f t="shared" si="242"/>
        <v>Q1/2018</v>
      </c>
      <c r="C514" s="73">
        <f t="shared" si="240"/>
        <v>43101</v>
      </c>
      <c r="D514" s="73">
        <f t="shared" si="241"/>
        <v>43190</v>
      </c>
      <c r="E514" s="72">
        <f t="shared" si="238"/>
        <v>90</v>
      </c>
      <c r="F514" s="74">
        <f>VLOOKUP(D514,'FERC Interest Rate'!$A:$B,2,TRUE)</f>
        <v>4.2500000000000003E-2</v>
      </c>
      <c r="G514" s="75">
        <f t="shared" si="239"/>
        <v>1411.6710796482412</v>
      </c>
      <c r="H514" s="75">
        <v>0</v>
      </c>
      <c r="I514" s="99">
        <f t="shared" si="244"/>
        <v>4.5114053098827327</v>
      </c>
      <c r="J514" s="76">
        <f t="shared" si="245"/>
        <v>14.793539396313761</v>
      </c>
      <c r="K514" s="116">
        <f t="shared" si="234"/>
        <v>19.304944706196494</v>
      </c>
      <c r="L514" s="76">
        <f t="shared" si="243"/>
        <v>89.6</v>
      </c>
      <c r="M514" s="117">
        <f t="shared" si="235"/>
        <v>108.90494470619649</v>
      </c>
      <c r="N514" s="8">
        <f t="shared" si="236"/>
        <v>1426.4646190445549</v>
      </c>
      <c r="O514" s="75">
        <f t="shared" si="237"/>
        <v>1317.5596743383585</v>
      </c>
    </row>
    <row r="515" spans="1:15" x14ac:dyDescent="0.25">
      <c r="A515" s="17" t="s">
        <v>58</v>
      </c>
      <c r="B515" s="72" t="str">
        <f t="shared" si="242"/>
        <v>Q2/2018</v>
      </c>
      <c r="C515" s="73">
        <f t="shared" si="240"/>
        <v>43191</v>
      </c>
      <c r="D515" s="73">
        <f t="shared" si="241"/>
        <v>43281</v>
      </c>
      <c r="E515" s="72">
        <f t="shared" si="238"/>
        <v>91</v>
      </c>
      <c r="F515" s="74">
        <f>VLOOKUP(D515,'FERC Interest Rate'!$A:$B,2,TRUE)</f>
        <v>4.4699999999999997E-2</v>
      </c>
      <c r="G515" s="75">
        <f t="shared" si="239"/>
        <v>1317.5596743383585</v>
      </c>
      <c r="H515" s="75">
        <v>0</v>
      </c>
      <c r="I515" s="99">
        <f t="shared" si="244"/>
        <v>4.5114053098827327</v>
      </c>
      <c r="J515" s="76">
        <f t="shared" si="245"/>
        <v>14.683390376181208</v>
      </c>
      <c r="K515" s="116">
        <f t="shared" si="234"/>
        <v>19.194795686063941</v>
      </c>
      <c r="L515" s="76">
        <f t="shared" si="243"/>
        <v>89.6</v>
      </c>
      <c r="M515" s="117">
        <f t="shared" si="235"/>
        <v>108.79479568606394</v>
      </c>
      <c r="N515" s="8">
        <f t="shared" si="236"/>
        <v>1332.2430647145397</v>
      </c>
      <c r="O515" s="75">
        <f t="shared" si="237"/>
        <v>1223.4482690284758</v>
      </c>
    </row>
    <row r="516" spans="1:15" x14ac:dyDescent="0.25">
      <c r="A516" s="17" t="s">
        <v>59</v>
      </c>
      <c r="B516" s="72" t="str">
        <f t="shared" si="242"/>
        <v>Q3/2018</v>
      </c>
      <c r="C516" s="73">
        <f t="shared" si="240"/>
        <v>43282</v>
      </c>
      <c r="D516" s="73">
        <f t="shared" si="241"/>
        <v>43373</v>
      </c>
      <c r="E516" s="72">
        <f t="shared" si="238"/>
        <v>92</v>
      </c>
      <c r="F516" s="74">
        <f>VLOOKUP(D516,'FERC Interest Rate'!$A:$B,2,TRUE)</f>
        <v>4.6899999999999997E-2</v>
      </c>
      <c r="G516" s="75">
        <f t="shared" si="239"/>
        <v>1223.4482690284758</v>
      </c>
      <c r="H516" s="75">
        <v>0</v>
      </c>
      <c r="I516" s="99">
        <f t="shared" si="244"/>
        <v>4.5114053098827327</v>
      </c>
      <c r="J516" s="76">
        <f t="shared" si="245"/>
        <v>14.462834496449499</v>
      </c>
      <c r="K516" s="116">
        <f t="shared" si="234"/>
        <v>18.974239806332232</v>
      </c>
      <c r="L516" s="76">
        <f t="shared" si="243"/>
        <v>89.6</v>
      </c>
      <c r="M516" s="117">
        <f t="shared" si="235"/>
        <v>108.57423980633223</v>
      </c>
      <c r="N516" s="8">
        <f t="shared" si="236"/>
        <v>1237.9111035249252</v>
      </c>
      <c r="O516" s="75">
        <f t="shared" si="237"/>
        <v>1129.3368637185931</v>
      </c>
    </row>
    <row r="517" spans="1:15" x14ac:dyDescent="0.25">
      <c r="A517" s="17" t="s">
        <v>60</v>
      </c>
      <c r="B517" s="72" t="str">
        <f t="shared" si="242"/>
        <v>Q4/2018</v>
      </c>
      <c r="C517" s="73">
        <f t="shared" si="240"/>
        <v>43374</v>
      </c>
      <c r="D517" s="73">
        <f t="shared" si="241"/>
        <v>43465</v>
      </c>
      <c r="E517" s="72">
        <f t="shared" si="238"/>
        <v>92</v>
      </c>
      <c r="F517" s="74">
        <f>VLOOKUP(D517,'FERC Interest Rate'!$A:$B,2,TRUE)</f>
        <v>4.9599999999999998E-2</v>
      </c>
      <c r="G517" s="75">
        <f t="shared" si="239"/>
        <v>1129.3368637185931</v>
      </c>
      <c r="H517" s="75">
        <v>0</v>
      </c>
      <c r="I517" s="99">
        <f t="shared" si="244"/>
        <v>4.5114053098827327</v>
      </c>
      <c r="J517" s="76">
        <f t="shared" si="245"/>
        <v>14.118876648001876</v>
      </c>
      <c r="K517" s="116">
        <f t="shared" si="234"/>
        <v>18.630281957884609</v>
      </c>
      <c r="L517" s="76">
        <f t="shared" si="243"/>
        <v>89.6</v>
      </c>
      <c r="M517" s="117">
        <f t="shared" si="235"/>
        <v>108.2302819578846</v>
      </c>
      <c r="N517" s="8">
        <f t="shared" si="236"/>
        <v>1143.4557403665949</v>
      </c>
      <c r="O517" s="75">
        <f t="shared" si="237"/>
        <v>1035.2254584087104</v>
      </c>
    </row>
    <row r="518" spans="1:15" x14ac:dyDescent="0.25">
      <c r="A518" s="17" t="s">
        <v>61</v>
      </c>
      <c r="B518" s="72" t="str">
        <f t="shared" si="242"/>
        <v>Q1/2019</v>
      </c>
      <c r="C518" s="73">
        <f t="shared" si="240"/>
        <v>43466</v>
      </c>
      <c r="D518" s="73">
        <f t="shared" si="241"/>
        <v>43555</v>
      </c>
      <c r="E518" s="72">
        <f t="shared" si="238"/>
        <v>90</v>
      </c>
      <c r="F518" s="74">
        <f>VLOOKUP(D518,'FERC Interest Rate'!$A:$B,2,TRUE)</f>
        <v>5.1799999999999999E-2</v>
      </c>
      <c r="G518" s="75">
        <f t="shared" si="239"/>
        <v>1035.2254584087104</v>
      </c>
      <c r="H518" s="75">
        <v>0</v>
      </c>
      <c r="I518" s="99">
        <f t="shared" si="244"/>
        <v>4.5114053098827327</v>
      </c>
      <c r="J518" s="76">
        <f t="shared" si="245"/>
        <v>13.222523526305228</v>
      </c>
      <c r="K518" s="116">
        <f t="shared" si="234"/>
        <v>17.73392883618796</v>
      </c>
      <c r="L518" s="76">
        <f t="shared" si="243"/>
        <v>89.6</v>
      </c>
      <c r="M518" s="117">
        <f t="shared" si="235"/>
        <v>107.33392883618795</v>
      </c>
      <c r="N518" s="8">
        <f t="shared" si="236"/>
        <v>1048.4479819350156</v>
      </c>
      <c r="O518" s="75">
        <f t="shared" si="237"/>
        <v>941.11405309882764</v>
      </c>
    </row>
    <row r="519" spans="1:15" x14ac:dyDescent="0.25">
      <c r="A519" s="17" t="s">
        <v>62</v>
      </c>
      <c r="B519" s="72" t="str">
        <f t="shared" si="242"/>
        <v>Q2/2019</v>
      </c>
      <c r="C519" s="73">
        <f t="shared" si="240"/>
        <v>43556</v>
      </c>
      <c r="D519" s="73">
        <f t="shared" si="241"/>
        <v>43646</v>
      </c>
      <c r="E519" s="72">
        <f t="shared" si="238"/>
        <v>91</v>
      </c>
      <c r="F519" s="74">
        <f>VLOOKUP(D519,'FERC Interest Rate'!$A:$B,2,TRUE)</f>
        <v>5.45E-2</v>
      </c>
      <c r="G519" s="75">
        <f t="shared" si="239"/>
        <v>941.11405309882764</v>
      </c>
      <c r="H519" s="75">
        <v>0</v>
      </c>
      <c r="I519" s="99">
        <f t="shared" si="244"/>
        <v>4.5114053098827327</v>
      </c>
      <c r="J519" s="76">
        <f t="shared" si="245"/>
        <v>12.787548346146949</v>
      </c>
      <c r="K519" s="116">
        <f t="shared" si="234"/>
        <v>17.298953656029681</v>
      </c>
      <c r="L519" s="76">
        <f t="shared" si="243"/>
        <v>89.6</v>
      </c>
      <c r="M519" s="117">
        <f t="shared" si="235"/>
        <v>106.89895365602968</v>
      </c>
      <c r="N519" s="8">
        <f t="shared" si="236"/>
        <v>953.90160144497463</v>
      </c>
      <c r="O519" s="75">
        <f t="shared" si="237"/>
        <v>847.00264778894484</v>
      </c>
    </row>
    <row r="520" spans="1:15" x14ac:dyDescent="0.25">
      <c r="A520" s="17" t="s">
        <v>63</v>
      </c>
      <c r="B520" s="72" t="str">
        <f t="shared" si="242"/>
        <v>Q3/2019</v>
      </c>
      <c r="C520" s="73">
        <f t="shared" si="240"/>
        <v>43647</v>
      </c>
      <c r="D520" s="73">
        <f t="shared" si="241"/>
        <v>43738</v>
      </c>
      <c r="E520" s="72">
        <f t="shared" si="238"/>
        <v>92</v>
      </c>
      <c r="F520" s="74">
        <f>VLOOKUP(D520,'FERC Interest Rate'!$A:$B,2,TRUE)</f>
        <v>5.5E-2</v>
      </c>
      <c r="G520" s="75">
        <f t="shared" si="239"/>
        <v>847.00264778894484</v>
      </c>
      <c r="H520" s="75">
        <v>0</v>
      </c>
      <c r="I520" s="99">
        <f t="shared" si="244"/>
        <v>4.5114053098827327</v>
      </c>
      <c r="J520" s="76">
        <f t="shared" si="245"/>
        <v>11.74200930907414</v>
      </c>
      <c r="K520" s="116">
        <f t="shared" si="234"/>
        <v>16.253414618956874</v>
      </c>
      <c r="L520" s="76">
        <f t="shared" si="243"/>
        <v>89.6</v>
      </c>
      <c r="M520" s="117">
        <f t="shared" si="235"/>
        <v>105.85341461895686</v>
      </c>
      <c r="N520" s="8">
        <f t="shared" si="236"/>
        <v>858.74465709801893</v>
      </c>
      <c r="O520" s="75">
        <f t="shared" si="237"/>
        <v>752.89124247906204</v>
      </c>
    </row>
    <row r="521" spans="1:15" x14ac:dyDescent="0.25">
      <c r="A521" s="17" t="s">
        <v>64</v>
      </c>
      <c r="B521" s="72" t="str">
        <f t="shared" si="242"/>
        <v>Q4/2019</v>
      </c>
      <c r="C521" s="73">
        <f t="shared" si="240"/>
        <v>43739</v>
      </c>
      <c r="D521" s="73">
        <f t="shared" si="241"/>
        <v>43830</v>
      </c>
      <c r="E521" s="72">
        <f t="shared" si="238"/>
        <v>92</v>
      </c>
      <c r="F521" s="74">
        <f>VLOOKUP(D521,'FERC Interest Rate'!$A:$B,2,TRUE)</f>
        <v>5.4199999999999998E-2</v>
      </c>
      <c r="G521" s="75">
        <f t="shared" si="239"/>
        <v>752.89124247906204</v>
      </c>
      <c r="H521" s="75">
        <v>0</v>
      </c>
      <c r="I521" s="99">
        <f t="shared" si="244"/>
        <v>4.5114053098827327</v>
      </c>
      <c r="J521" s="76">
        <f t="shared" si="245"/>
        <v>10.285525730130399</v>
      </c>
      <c r="K521" s="116">
        <f t="shared" si="234"/>
        <v>14.796931040013131</v>
      </c>
      <c r="L521" s="76">
        <f t="shared" si="243"/>
        <v>89.6</v>
      </c>
      <c r="M521" s="117">
        <f t="shared" si="235"/>
        <v>104.39693104001313</v>
      </c>
      <c r="N521" s="8">
        <f t="shared" si="236"/>
        <v>763.17676820919246</v>
      </c>
      <c r="O521" s="75">
        <f t="shared" si="237"/>
        <v>658.77983716917925</v>
      </c>
    </row>
    <row r="522" spans="1:15" x14ac:dyDescent="0.25">
      <c r="A522" s="17" t="s">
        <v>65</v>
      </c>
      <c r="B522" s="72" t="str">
        <f t="shared" si="242"/>
        <v>Q1/2020</v>
      </c>
      <c r="C522" s="73">
        <f t="shared" si="240"/>
        <v>43831</v>
      </c>
      <c r="D522" s="73">
        <f t="shared" si="241"/>
        <v>43921</v>
      </c>
      <c r="E522" s="72">
        <f t="shared" si="238"/>
        <v>91</v>
      </c>
      <c r="F522" s="74">
        <f>VLOOKUP(D522,'FERC Interest Rate'!$A:$B,2,TRUE)</f>
        <v>4.9599999999999998E-2</v>
      </c>
      <c r="G522" s="75">
        <f t="shared" si="239"/>
        <v>658.77983716917925</v>
      </c>
      <c r="H522" s="75">
        <v>0</v>
      </c>
      <c r="I522" s="99">
        <f t="shared" si="244"/>
        <v>4.5114053098827327</v>
      </c>
      <c r="J522" s="76">
        <f t="shared" si="245"/>
        <v>8.124231347122425</v>
      </c>
      <c r="K522" s="116">
        <f t="shared" si="234"/>
        <v>12.635636657005158</v>
      </c>
      <c r="L522" s="76">
        <f t="shared" si="243"/>
        <v>89.6</v>
      </c>
      <c r="M522" s="117">
        <f t="shared" si="235"/>
        <v>102.23563665700516</v>
      </c>
      <c r="N522" s="8">
        <f t="shared" si="236"/>
        <v>666.90406851630166</v>
      </c>
      <c r="O522" s="75">
        <f t="shared" si="237"/>
        <v>564.66843185929645</v>
      </c>
    </row>
    <row r="523" spans="1:15" x14ac:dyDescent="0.25">
      <c r="A523" s="17" t="s">
        <v>66</v>
      </c>
      <c r="B523" s="72" t="str">
        <f t="shared" si="242"/>
        <v>Q2/2020</v>
      </c>
      <c r="C523" s="73">
        <f t="shared" si="240"/>
        <v>43922</v>
      </c>
      <c r="D523" s="73">
        <f t="shared" si="241"/>
        <v>44012</v>
      </c>
      <c r="E523" s="72">
        <f t="shared" si="238"/>
        <v>91</v>
      </c>
      <c r="F523" s="74">
        <f>VLOOKUP(D523,'FERC Interest Rate'!$A:$B,2,TRUE)</f>
        <v>4.7503500000000004E-2</v>
      </c>
      <c r="G523" s="75">
        <f t="shared" si="239"/>
        <v>564.66843185929645</v>
      </c>
      <c r="H523" s="75">
        <v>0</v>
      </c>
      <c r="I523" s="99">
        <f t="shared" si="244"/>
        <v>4.5114053098827327</v>
      </c>
      <c r="J523" s="76">
        <f t="shared" si="245"/>
        <v>6.6692872776157275</v>
      </c>
      <c r="K523" s="116">
        <f t="shared" si="234"/>
        <v>11.180692587498459</v>
      </c>
      <c r="L523" s="76">
        <f t="shared" si="243"/>
        <v>89.6</v>
      </c>
      <c r="M523" s="117">
        <f t="shared" si="235"/>
        <v>100.78069258749845</v>
      </c>
      <c r="N523" s="8">
        <f t="shared" si="236"/>
        <v>571.33771913691214</v>
      </c>
      <c r="O523" s="75">
        <f t="shared" si="237"/>
        <v>470.55702654941371</v>
      </c>
    </row>
    <row r="524" spans="1:15" x14ac:dyDescent="0.25">
      <c r="A524" s="17" t="s">
        <v>67</v>
      </c>
      <c r="B524" s="72" t="str">
        <f>+IF(MONTH(C524)&lt;4,"Q1",IF(MONTH(C524)&lt;7,"Q2",IF(MONTH(C524)&lt;10,"Q3","Q4")))&amp;"/"&amp;YEAR(C524)</f>
        <v>Q3/2020</v>
      </c>
      <c r="C524" s="73">
        <f t="shared" si="240"/>
        <v>44013</v>
      </c>
      <c r="D524" s="73">
        <f t="shared" si="241"/>
        <v>44104</v>
      </c>
      <c r="E524" s="72">
        <f t="shared" si="238"/>
        <v>92</v>
      </c>
      <c r="F524" s="74">
        <f>VLOOKUP(D524,'FERC Interest Rate'!$A:$B,2,TRUE)</f>
        <v>4.7507929999999997E-2</v>
      </c>
      <c r="G524" s="75">
        <f t="shared" si="239"/>
        <v>470.55702654941371</v>
      </c>
      <c r="H524" s="75">
        <v>0</v>
      </c>
      <c r="I524" s="99">
        <f t="shared" si="244"/>
        <v>4.5114053098827327</v>
      </c>
      <c r="J524" s="76">
        <f t="shared" si="245"/>
        <v>5.6193374470088173</v>
      </c>
      <c r="K524" s="116">
        <f t="shared" si="234"/>
        <v>10.13074275689155</v>
      </c>
      <c r="L524" s="76">
        <f t="shared" si="243"/>
        <v>89.6</v>
      </c>
      <c r="M524" s="117">
        <f t="shared" si="235"/>
        <v>99.730742756891544</v>
      </c>
      <c r="N524" s="8">
        <f t="shared" si="236"/>
        <v>476.17636399642254</v>
      </c>
      <c r="O524" s="75">
        <f t="shared" si="237"/>
        <v>376.44562123953102</v>
      </c>
    </row>
    <row r="525" spans="1:15" x14ac:dyDescent="0.25">
      <c r="A525" s="17" t="s">
        <v>68</v>
      </c>
      <c r="B525" s="72" t="str">
        <f>+IF(MONTH(C525)&lt;4,"Q1",IF(MONTH(C525)&lt;7,"Q2",IF(MONTH(C525)&lt;10,"Q3","Q4")))&amp;"/"&amp;YEAR(C525)</f>
        <v>Q4/2020</v>
      </c>
      <c r="C525" s="73">
        <f t="shared" si="240"/>
        <v>44105</v>
      </c>
      <c r="D525" s="73">
        <f t="shared" si="241"/>
        <v>44196</v>
      </c>
      <c r="E525" s="72">
        <f t="shared" si="238"/>
        <v>92</v>
      </c>
      <c r="F525" s="74">
        <f>VLOOKUP(D525,'FERC Interest Rate'!$A:$B,2,TRUE)</f>
        <v>4.7922320000000004E-2</v>
      </c>
      <c r="G525" s="75">
        <f t="shared" si="239"/>
        <v>376.44562123953102</v>
      </c>
      <c r="H525" s="75">
        <v>0</v>
      </c>
      <c r="I525" s="99">
        <f t="shared" si="244"/>
        <v>4.5114053098827327</v>
      </c>
      <c r="J525" s="76">
        <f t="shared" si="245"/>
        <v>4.5346818911880975</v>
      </c>
      <c r="K525" s="116">
        <f t="shared" si="234"/>
        <v>9.0460872010708293</v>
      </c>
      <c r="L525" s="76">
        <f t="shared" si="243"/>
        <v>89.6</v>
      </c>
      <c r="M525" s="117">
        <f t="shared" si="235"/>
        <v>98.646087201070827</v>
      </c>
      <c r="N525" s="8">
        <f t="shared" si="236"/>
        <v>380.98030313071911</v>
      </c>
      <c r="O525" s="75">
        <f t="shared" si="237"/>
        <v>282.33421592964834</v>
      </c>
    </row>
    <row r="526" spans="1:15" x14ac:dyDescent="0.25">
      <c r="A526" s="17" t="s">
        <v>69</v>
      </c>
      <c r="B526" s="72" t="str">
        <f>+IF(MONTH(C526)&lt;4,"Q1",IF(MONTH(C526)&lt;7,"Q2",IF(MONTH(C526)&lt;10,"Q3","Q4")))&amp;"/"&amp;YEAR(C526)</f>
        <v>Q1/2021</v>
      </c>
      <c r="C526" s="73">
        <f t="shared" si="240"/>
        <v>44197</v>
      </c>
      <c r="D526" s="73">
        <f t="shared" si="241"/>
        <v>44286</v>
      </c>
      <c r="E526" s="72">
        <f t="shared" si="238"/>
        <v>90</v>
      </c>
      <c r="F526" s="74">
        <f>VLOOKUP(D526,'FERC Interest Rate'!$A:$B,2,TRUE)</f>
        <v>5.0023470000000007E-2</v>
      </c>
      <c r="G526" s="75">
        <f t="shared" si="239"/>
        <v>282.33421592964834</v>
      </c>
      <c r="H526" s="75">
        <v>0</v>
      </c>
      <c r="I526" s="99">
        <f t="shared" si="244"/>
        <v>4.5114053098827327</v>
      </c>
      <c r="J526" s="76">
        <f t="shared" si="245"/>
        <v>3.4824667020485638</v>
      </c>
      <c r="K526" s="116">
        <f t="shared" si="234"/>
        <v>7.9938720119312965</v>
      </c>
      <c r="L526" s="76">
        <f t="shared" si="243"/>
        <v>89.6</v>
      </c>
      <c r="M526" s="117">
        <f t="shared" si="235"/>
        <v>97.593872011931296</v>
      </c>
      <c r="N526" s="8">
        <f t="shared" si="236"/>
        <v>285.81668263169689</v>
      </c>
      <c r="O526" s="75">
        <f t="shared" si="237"/>
        <v>188.2228106197656</v>
      </c>
    </row>
    <row r="527" spans="1:15" x14ac:dyDescent="0.25">
      <c r="A527" s="17" t="s">
        <v>70</v>
      </c>
      <c r="B527" s="72" t="str">
        <f>+IF(MONTH(C527)&lt;4,"Q1",IF(MONTH(C527)&lt;7,"Q2",IF(MONTH(C527)&lt;10,"Q3","Q4")))&amp;"/"&amp;YEAR(C527)</f>
        <v>Q2/2021</v>
      </c>
      <c r="C527" s="73">
        <f>D526+1</f>
        <v>44287</v>
      </c>
      <c r="D527" s="73">
        <f t="shared" si="241"/>
        <v>44377</v>
      </c>
      <c r="E527" s="72">
        <f>D527-C527+1</f>
        <v>91</v>
      </c>
      <c r="F527" s="74">
        <f>VLOOKUP(D527,'FERC Interest Rate'!$A:$B,2,TRUE)</f>
        <v>5.0403730000000001E-2</v>
      </c>
      <c r="G527" s="75">
        <f>O526</f>
        <v>188.2228106197656</v>
      </c>
      <c r="H527" s="75">
        <v>0</v>
      </c>
      <c r="I527" s="99">
        <f t="shared" si="244"/>
        <v>4.5114053098827327</v>
      </c>
      <c r="J527" s="76">
        <f>G527*F527*(E527/(DATE(YEAR(D527),12,31)-DATE(YEAR(D527),1,1)+1))</f>
        <v>2.3652848961509636</v>
      </c>
      <c r="K527" s="116">
        <f>+SUM(I527:J527)</f>
        <v>6.8766902060336967</v>
      </c>
      <c r="L527" s="76">
        <f t="shared" si="243"/>
        <v>89.6</v>
      </c>
      <c r="M527" s="117">
        <f>+SUM(K527:L527)</f>
        <v>96.476690206033695</v>
      </c>
      <c r="N527" s="8">
        <f>+G527+H527+J527</f>
        <v>190.58809551591656</v>
      </c>
      <c r="O527" s="75">
        <f>G527+H527-L527-I527</f>
        <v>94.111405309882869</v>
      </c>
    </row>
    <row r="528" spans="1:15" x14ac:dyDescent="0.25">
      <c r="A528" s="17" t="s">
        <v>71</v>
      </c>
      <c r="B528" s="72" t="str">
        <f>+IF(MONTH(C528)&lt;4,"Q1",IF(MONTH(C528)&lt;7,"Q2",IF(MONTH(C528)&lt;10,"Q3","Q4")))&amp;"/"&amp;YEAR(C528)</f>
        <v>Q3/2021</v>
      </c>
      <c r="C528" s="73">
        <f>D527+1</f>
        <v>44378</v>
      </c>
      <c r="D528" s="73">
        <f t="shared" si="241"/>
        <v>44469</v>
      </c>
      <c r="E528" s="72">
        <f>D528-C528+1</f>
        <v>92</v>
      </c>
      <c r="F528" s="74">
        <f>VLOOKUP(D528,'FERC Interest Rate'!$A:$B,2,TRUE)</f>
        <v>5.2520850000000001E-2</v>
      </c>
      <c r="G528" s="75">
        <f>O527</f>
        <v>94.111405309882869</v>
      </c>
      <c r="H528" s="75">
        <v>0</v>
      </c>
      <c r="I528" s="99">
        <f t="shared" si="244"/>
        <v>4.5114053098827327</v>
      </c>
      <c r="J528" s="76">
        <f>G528*F528*(E528/(DATE(YEAR(D528),12,31)-DATE(YEAR(D528),1,1)+1))</f>
        <v>1.2458592113545199</v>
      </c>
      <c r="K528" s="116">
        <f>+SUM(I528:J528)</f>
        <v>5.7572645212372526</v>
      </c>
      <c r="L528" s="76">
        <f t="shared" si="243"/>
        <v>89.6</v>
      </c>
      <c r="M528" s="117">
        <f>+SUM(K528:L528)</f>
        <v>95.357264521237241</v>
      </c>
      <c r="N528" s="8">
        <f>+G528+H528+J528</f>
        <v>95.357264521237383</v>
      </c>
      <c r="O528" s="75">
        <f>G528+H528-L528-I528</f>
        <v>1.4210854715202004E-13</v>
      </c>
    </row>
    <row r="529" spans="1:15" x14ac:dyDescent="0.25">
      <c r="A529" s="78"/>
      <c r="B529" s="72"/>
      <c r="C529" s="73"/>
      <c r="D529" s="73"/>
      <c r="E529" s="72"/>
      <c r="F529" s="74"/>
      <c r="G529" s="75"/>
      <c r="H529" s="75"/>
      <c r="I529" s="99"/>
      <c r="J529" s="76"/>
      <c r="K529" s="116"/>
      <c r="L529" s="76"/>
      <c r="M529" s="117"/>
      <c r="N529" s="8"/>
      <c r="O529" s="75"/>
    </row>
    <row r="530" spans="1:15" ht="13.5" thickBot="1" x14ac:dyDescent="0.35">
      <c r="A530" s="142"/>
      <c r="B530" s="143"/>
      <c r="C530" s="144"/>
      <c r="D530" s="144"/>
      <c r="E530" s="145"/>
      <c r="F530" s="143"/>
      <c r="G530" s="127">
        <f t="shared" ref="G530:O530" si="246">+SUM(G504:G529)</f>
        <v>28845.639675381557</v>
      </c>
      <c r="H530" s="127">
        <f t="shared" si="246"/>
        <v>90.228106197654654</v>
      </c>
      <c r="I530" s="128">
        <f t="shared" si="246"/>
        <v>90.228106197654654</v>
      </c>
      <c r="J530" s="127">
        <f t="shared" si="246"/>
        <v>201.18569530783515</v>
      </c>
      <c r="K530" s="127">
        <f t="shared" si="246"/>
        <v>291.4138015054898</v>
      </c>
      <c r="L530" s="127">
        <f t="shared" si="246"/>
        <v>1791.9999999999993</v>
      </c>
      <c r="M530" s="129">
        <f t="shared" si="246"/>
        <v>2083.4138015054896</v>
      </c>
      <c r="N530" s="127">
        <f t="shared" si="246"/>
        <v>29137.053476887057</v>
      </c>
      <c r="O530" s="127">
        <f t="shared" si="246"/>
        <v>27053.639675381557</v>
      </c>
    </row>
    <row r="531" spans="1:15" ht="13" thickTop="1" x14ac:dyDescent="0.25">
      <c r="B531" s="103"/>
      <c r="C531" s="103"/>
      <c r="D531" s="103"/>
      <c r="E531" s="103"/>
      <c r="F531" s="103"/>
      <c r="G531" s="103"/>
      <c r="H531" s="103"/>
      <c r="I531" s="102"/>
      <c r="J531" s="103"/>
      <c r="K531" s="103"/>
      <c r="L531" s="103"/>
      <c r="M531" s="118"/>
      <c r="O531" s="103"/>
    </row>
    <row r="532" spans="1:15" ht="52" x14ac:dyDescent="0.3">
      <c r="A532" s="77" t="s">
        <v>51</v>
      </c>
      <c r="B532" s="77" t="s">
        <v>3</v>
      </c>
      <c r="C532" s="77" t="s">
        <v>4</v>
      </c>
      <c r="D532" s="77" t="s">
        <v>5</v>
      </c>
      <c r="E532" s="77" t="s">
        <v>6</v>
      </c>
      <c r="F532" s="77" t="s">
        <v>7</v>
      </c>
      <c r="G532" s="77" t="s">
        <v>92</v>
      </c>
      <c r="H532" s="77" t="s">
        <v>93</v>
      </c>
      <c r="I532" s="94" t="s">
        <v>94</v>
      </c>
      <c r="J532" s="95" t="s">
        <v>95</v>
      </c>
      <c r="K532" s="95" t="s">
        <v>96</v>
      </c>
      <c r="L532" s="95" t="s">
        <v>97</v>
      </c>
      <c r="M532" s="96" t="s">
        <v>98</v>
      </c>
      <c r="N532" s="77" t="s">
        <v>99</v>
      </c>
      <c r="O532" s="77" t="s">
        <v>100</v>
      </c>
    </row>
    <row r="533" spans="1:15" ht="13" x14ac:dyDescent="0.3">
      <c r="A533" s="347" t="s">
        <v>14</v>
      </c>
      <c r="B533" s="347"/>
      <c r="C533" s="73">
        <f>VLOOKUP(B534,A$1:F$29,2,FALSE)</f>
        <v>42256</v>
      </c>
      <c r="D533" s="73">
        <f>DATE(YEAR(C533),IF(MONTH(C533)&lt;=3,3,IF(MONTH(C533)&lt;=6,6,IF(MONTH(C533)&lt;=9,9,12))),IF(OR(MONTH(C533)&lt;=3,MONTH(C533)&gt;=10),31,30))</f>
        <v>42277</v>
      </c>
      <c r="E533" s="72">
        <f>D533-C533+1</f>
        <v>22</v>
      </c>
      <c r="F533" s="74">
        <f>VLOOKUP(D533,'FERC Interest Rate'!$A:$B,2,TRUE)</f>
        <v>3.2500000000000001E-2</v>
      </c>
      <c r="G533" s="75">
        <f>VLOOKUP(B534,$A$1:$F$29,5,FALSE)</f>
        <v>1380</v>
      </c>
      <c r="H533" s="75">
        <f t="shared" ref="H533:H538" si="247">G533*F533*(E533/(DATE(YEAR(D533),12,31)-DATE(YEAR(D533),1,1)+1))</f>
        <v>2.7032876712328768</v>
      </c>
      <c r="I533" s="180">
        <v>0</v>
      </c>
      <c r="J533" s="76">
        <v>0</v>
      </c>
      <c r="K533" s="116">
        <f t="shared" ref="K533:K554" si="248">+SUM(I533:J533)</f>
        <v>0</v>
      </c>
      <c r="L533" s="76">
        <v>0</v>
      </c>
      <c r="M533" s="117">
        <f t="shared" ref="M533:M554" si="249">+SUM(K533:L533)</f>
        <v>0</v>
      </c>
      <c r="N533" s="8">
        <f t="shared" ref="N533:N554" si="250">+G533+H533+J533</f>
        <v>1382.7032876712328</v>
      </c>
      <c r="O533" s="75">
        <f t="shared" ref="O533:O554" si="251">G533+H533-L533-I533</f>
        <v>1382.7032876712328</v>
      </c>
    </row>
    <row r="534" spans="1:15" ht="13" x14ac:dyDescent="0.3">
      <c r="A534" s="110" t="s">
        <v>40</v>
      </c>
      <c r="B534" s="141" t="s">
        <v>67</v>
      </c>
      <c r="C534" s="73">
        <f>D533+1</f>
        <v>42278</v>
      </c>
      <c r="D534" s="73">
        <f>EOMONTH(D533,3)</f>
        <v>42369</v>
      </c>
      <c r="E534" s="72">
        <f t="shared" ref="E534:E554" si="252">D534-C534+1</f>
        <v>92</v>
      </c>
      <c r="F534" s="74">
        <f>VLOOKUP(D534,'FERC Interest Rate'!$A:$B,2,TRUE)</f>
        <v>3.2500000000000001E-2</v>
      </c>
      <c r="G534" s="75">
        <f t="shared" ref="G534:G554" si="253">O533</f>
        <v>1382.7032876712328</v>
      </c>
      <c r="H534" s="75">
        <f t="shared" si="247"/>
        <v>11.326802274347909</v>
      </c>
      <c r="I534" s="180">
        <v>0</v>
      </c>
      <c r="J534" s="76">
        <v>0</v>
      </c>
      <c r="K534" s="116">
        <f t="shared" si="248"/>
        <v>0</v>
      </c>
      <c r="L534" s="76">
        <v>0</v>
      </c>
      <c r="M534" s="117">
        <f t="shared" si="249"/>
        <v>0</v>
      </c>
      <c r="N534" s="8">
        <f t="shared" si="250"/>
        <v>1394.0300899455808</v>
      </c>
      <c r="O534" s="75">
        <f t="shared" si="251"/>
        <v>1394.0300899455808</v>
      </c>
    </row>
    <row r="535" spans="1:15" x14ac:dyDescent="0.25">
      <c r="A535" s="78"/>
      <c r="B535" s="72"/>
      <c r="C535" s="73">
        <f t="shared" ref="C535:C554" si="254">D534+1</f>
        <v>42370</v>
      </c>
      <c r="D535" s="73">
        <f t="shared" ref="D535:D557" si="255">EOMONTH(D534,3)</f>
        <v>42460</v>
      </c>
      <c r="E535" s="72">
        <f t="shared" si="252"/>
        <v>91</v>
      </c>
      <c r="F535" s="74">
        <f>VLOOKUP(D535,'FERC Interest Rate'!$A:$B,2,TRUE)</f>
        <v>3.2500000000000001E-2</v>
      </c>
      <c r="G535" s="75">
        <f t="shared" si="253"/>
        <v>1394.0300899455808</v>
      </c>
      <c r="H535" s="75">
        <f t="shared" si="247"/>
        <v>11.264601068344414</v>
      </c>
      <c r="I535" s="180">
        <v>0</v>
      </c>
      <c r="J535" s="76">
        <v>0</v>
      </c>
      <c r="K535" s="116">
        <f t="shared" si="248"/>
        <v>0</v>
      </c>
      <c r="L535" s="76">
        <v>0</v>
      </c>
      <c r="M535" s="117">
        <f t="shared" si="249"/>
        <v>0</v>
      </c>
      <c r="N535" s="8">
        <f t="shared" si="250"/>
        <v>1405.2946910139253</v>
      </c>
      <c r="O535" s="75">
        <f t="shared" si="251"/>
        <v>1405.2946910139253</v>
      </c>
    </row>
    <row r="536" spans="1:15" x14ac:dyDescent="0.25">
      <c r="A536" s="78"/>
      <c r="B536" s="72"/>
      <c r="C536" s="73">
        <f t="shared" si="254"/>
        <v>42461</v>
      </c>
      <c r="D536" s="73">
        <f t="shared" si="255"/>
        <v>42551</v>
      </c>
      <c r="E536" s="72">
        <f t="shared" si="252"/>
        <v>91</v>
      </c>
      <c r="F536" s="74">
        <f>VLOOKUP(D536,'FERC Interest Rate'!$A:$B,2,TRUE)</f>
        <v>3.4599999999999999E-2</v>
      </c>
      <c r="G536" s="75">
        <f t="shared" si="253"/>
        <v>1405.2946910139253</v>
      </c>
      <c r="H536" s="75">
        <f t="shared" si="247"/>
        <v>12.08937394570067</v>
      </c>
      <c r="I536" s="180">
        <v>0</v>
      </c>
      <c r="J536" s="76">
        <v>0</v>
      </c>
      <c r="K536" s="116">
        <f t="shared" si="248"/>
        <v>0</v>
      </c>
      <c r="L536" s="76">
        <v>0</v>
      </c>
      <c r="M536" s="117">
        <f t="shared" si="249"/>
        <v>0</v>
      </c>
      <c r="N536" s="8">
        <f t="shared" si="250"/>
        <v>1417.3840649596259</v>
      </c>
      <c r="O536" s="75">
        <f t="shared" si="251"/>
        <v>1417.3840649596259</v>
      </c>
    </row>
    <row r="537" spans="1:15" x14ac:dyDescent="0.25">
      <c r="A537" s="78"/>
      <c r="B537" s="72"/>
      <c r="C537" s="73">
        <f t="shared" si="254"/>
        <v>42552</v>
      </c>
      <c r="D537" s="73">
        <f t="shared" si="255"/>
        <v>42643</v>
      </c>
      <c r="E537" s="72">
        <f t="shared" si="252"/>
        <v>92</v>
      </c>
      <c r="F537" s="74">
        <f>VLOOKUP(D537,'FERC Interest Rate'!$A:$B,2,TRUE)</f>
        <v>3.5000000000000003E-2</v>
      </c>
      <c r="G537" s="75">
        <f t="shared" si="253"/>
        <v>1417.3840649596259</v>
      </c>
      <c r="H537" s="75">
        <f t="shared" si="247"/>
        <v>12.469881664398896</v>
      </c>
      <c r="I537" s="180">
        <v>0</v>
      </c>
      <c r="J537" s="76">
        <v>0</v>
      </c>
      <c r="K537" s="116">
        <f t="shared" si="248"/>
        <v>0</v>
      </c>
      <c r="L537" s="76">
        <v>0</v>
      </c>
      <c r="M537" s="117">
        <f t="shared" si="249"/>
        <v>0</v>
      </c>
      <c r="N537" s="8">
        <f t="shared" si="250"/>
        <v>1429.8539466240247</v>
      </c>
      <c r="O537" s="75">
        <f t="shared" si="251"/>
        <v>1429.8539466240247</v>
      </c>
    </row>
    <row r="538" spans="1:15" x14ac:dyDescent="0.25">
      <c r="A538" s="17" t="s">
        <v>52</v>
      </c>
      <c r="B538" s="72" t="str">
        <f t="shared" ref="B538:B552" si="256">+IF(MONTH(C538)&lt;4,"Q1",IF(MONTH(C538)&lt;7,"Q2",IF(MONTH(C538)&lt;10,"Q3","Q4")))&amp;"/"&amp;YEAR(C538)</f>
        <v>Q4/2016</v>
      </c>
      <c r="C538" s="73">
        <f t="shared" si="254"/>
        <v>42644</v>
      </c>
      <c r="D538" s="73">
        <f t="shared" si="255"/>
        <v>42735</v>
      </c>
      <c r="E538" s="72">
        <f t="shared" si="252"/>
        <v>92</v>
      </c>
      <c r="F538" s="74">
        <f>VLOOKUP(D538,'FERC Interest Rate'!$A:$B,2,TRUE)</f>
        <v>3.5000000000000003E-2</v>
      </c>
      <c r="G538" s="75">
        <f t="shared" si="253"/>
        <v>1429.8539466240247</v>
      </c>
      <c r="H538" s="75">
        <f t="shared" si="247"/>
        <v>12.579589366473662</v>
      </c>
      <c r="I538" s="180">
        <f t="shared" ref="I538:I557" si="257">SUM($H$533:$H$558)/20</f>
        <v>3.1216767995249213</v>
      </c>
      <c r="J538" s="76">
        <v>0</v>
      </c>
      <c r="K538" s="116">
        <f t="shared" si="248"/>
        <v>3.1216767995249213</v>
      </c>
      <c r="L538" s="76">
        <f t="shared" ref="L538:L557" si="258">VLOOKUP($B$534,A$1:F$25,5,FALSE)/20</f>
        <v>69</v>
      </c>
      <c r="M538" s="117">
        <f t="shared" si="249"/>
        <v>72.12167679952492</v>
      </c>
      <c r="N538" s="8">
        <f t="shared" si="250"/>
        <v>1442.4335359904983</v>
      </c>
      <c r="O538" s="75">
        <f t="shared" si="251"/>
        <v>1370.3118591909733</v>
      </c>
    </row>
    <row r="539" spans="1:15" x14ac:dyDescent="0.25">
      <c r="A539" s="17" t="s">
        <v>53</v>
      </c>
      <c r="B539" s="72" t="str">
        <f t="shared" si="256"/>
        <v>Q1/2017</v>
      </c>
      <c r="C539" s="73">
        <f t="shared" si="254"/>
        <v>42736</v>
      </c>
      <c r="D539" s="73">
        <f t="shared" si="255"/>
        <v>42825</v>
      </c>
      <c r="E539" s="72">
        <f t="shared" si="252"/>
        <v>90</v>
      </c>
      <c r="F539" s="74">
        <f>VLOOKUP(D539,'FERC Interest Rate'!$A:$B,2,TRUE)</f>
        <v>3.5000000000000003E-2</v>
      </c>
      <c r="G539" s="75">
        <f t="shared" si="253"/>
        <v>1370.3118591909733</v>
      </c>
      <c r="H539" s="75">
        <v>0</v>
      </c>
      <c r="I539" s="180">
        <f t="shared" si="257"/>
        <v>3.1216767995249213</v>
      </c>
      <c r="J539" s="76">
        <f>G539*F539*(E539/(DATE(YEAR(D539),12,31)-DATE(YEAR(D539),1,1)+1))</f>
        <v>11.825979058771415</v>
      </c>
      <c r="K539" s="116">
        <f t="shared" si="248"/>
        <v>14.947655858296336</v>
      </c>
      <c r="L539" s="76">
        <f t="shared" si="258"/>
        <v>69</v>
      </c>
      <c r="M539" s="117">
        <f t="shared" si="249"/>
        <v>83.947655858296343</v>
      </c>
      <c r="N539" s="8">
        <f t="shared" si="250"/>
        <v>1382.1378382497448</v>
      </c>
      <c r="O539" s="75">
        <f t="shared" si="251"/>
        <v>1298.1901823914484</v>
      </c>
    </row>
    <row r="540" spans="1:15" x14ac:dyDescent="0.25">
      <c r="A540" s="17" t="s">
        <v>54</v>
      </c>
      <c r="B540" s="72" t="str">
        <f t="shared" si="256"/>
        <v>Q2/2017</v>
      </c>
      <c r="C540" s="73">
        <f t="shared" si="254"/>
        <v>42826</v>
      </c>
      <c r="D540" s="73">
        <f t="shared" si="255"/>
        <v>42916</v>
      </c>
      <c r="E540" s="72">
        <f t="shared" si="252"/>
        <v>91</v>
      </c>
      <c r="F540" s="74">
        <f>VLOOKUP(D540,'FERC Interest Rate'!$A:$B,2,TRUE)</f>
        <v>3.7100000000000001E-2</v>
      </c>
      <c r="G540" s="75">
        <f t="shared" si="253"/>
        <v>1298.1901823914484</v>
      </c>
      <c r="H540" s="75">
        <v>0</v>
      </c>
      <c r="I540" s="180">
        <f t="shared" si="257"/>
        <v>3.1216767995249213</v>
      </c>
      <c r="J540" s="76">
        <f>G540*F540*(E540/(DATE(YEAR(D540),12,31)-DATE(YEAR(D540),1,1)+1))</f>
        <v>12.007725684306216</v>
      </c>
      <c r="K540" s="116">
        <f t="shared" si="248"/>
        <v>15.129402483831138</v>
      </c>
      <c r="L540" s="76">
        <f t="shared" si="258"/>
        <v>69</v>
      </c>
      <c r="M540" s="117">
        <f t="shared" si="249"/>
        <v>84.129402483831143</v>
      </c>
      <c r="N540" s="8">
        <f t="shared" si="250"/>
        <v>1310.1979080757546</v>
      </c>
      <c r="O540" s="75">
        <f t="shared" si="251"/>
        <v>1226.0685055919234</v>
      </c>
    </row>
    <row r="541" spans="1:15" x14ac:dyDescent="0.25">
      <c r="A541" s="17" t="s">
        <v>55</v>
      </c>
      <c r="B541" s="72" t="str">
        <f t="shared" si="256"/>
        <v>Q3/2017</v>
      </c>
      <c r="C541" s="73">
        <f t="shared" si="254"/>
        <v>42917</v>
      </c>
      <c r="D541" s="73">
        <f t="shared" si="255"/>
        <v>43008</v>
      </c>
      <c r="E541" s="72">
        <f t="shared" si="252"/>
        <v>92</v>
      </c>
      <c r="F541" s="74">
        <f>VLOOKUP(D541,'FERC Interest Rate'!$A:$B,2,TRUE)</f>
        <v>3.9600000000000003E-2</v>
      </c>
      <c r="G541" s="75">
        <f t="shared" si="253"/>
        <v>1226.0685055919234</v>
      </c>
      <c r="H541" s="75">
        <v>0</v>
      </c>
      <c r="I541" s="99">
        <f t="shared" si="257"/>
        <v>3.1216767995249213</v>
      </c>
      <c r="J541" s="76">
        <f>G541*F541*(E541/(DATE(YEAR(D541),12,31)-DATE(YEAR(D541),1,1)+1))</f>
        <v>12.237843231705471</v>
      </c>
      <c r="K541" s="116">
        <f t="shared" si="248"/>
        <v>15.359520031230392</v>
      </c>
      <c r="L541" s="76">
        <f t="shared" si="258"/>
        <v>69</v>
      </c>
      <c r="M541" s="117">
        <f t="shared" si="249"/>
        <v>84.359520031230389</v>
      </c>
      <c r="N541" s="8">
        <f t="shared" si="250"/>
        <v>1238.3063488236289</v>
      </c>
      <c r="O541" s="75">
        <f t="shared" si="251"/>
        <v>1153.9468287923985</v>
      </c>
    </row>
    <row r="542" spans="1:15" x14ac:dyDescent="0.25">
      <c r="A542" s="17" t="s">
        <v>56</v>
      </c>
      <c r="B542" s="72" t="str">
        <f t="shared" si="256"/>
        <v>Q4/2017</v>
      </c>
      <c r="C542" s="73">
        <f t="shared" si="254"/>
        <v>43009</v>
      </c>
      <c r="D542" s="73">
        <f t="shared" si="255"/>
        <v>43100</v>
      </c>
      <c r="E542" s="72">
        <f t="shared" si="252"/>
        <v>92</v>
      </c>
      <c r="F542" s="74">
        <f>VLOOKUP(D542,'FERC Interest Rate'!$A:$B,2,TRUE)</f>
        <v>4.2099999999999999E-2</v>
      </c>
      <c r="G542" s="75">
        <f t="shared" si="253"/>
        <v>1153.9468287923985</v>
      </c>
      <c r="H542" s="75">
        <v>0</v>
      </c>
      <c r="I542" s="99">
        <f t="shared" si="257"/>
        <v>3.1216767995249213</v>
      </c>
      <c r="J542" s="76">
        <f>G542*F542*(E542/(DATE(YEAR(D542),12,31)-DATE(YEAR(D542),1,1)+1))</f>
        <v>12.245114677475939</v>
      </c>
      <c r="K542" s="116">
        <f t="shared" si="248"/>
        <v>15.366791477000861</v>
      </c>
      <c r="L542" s="76">
        <f t="shared" si="258"/>
        <v>69</v>
      </c>
      <c r="M542" s="117">
        <f t="shared" si="249"/>
        <v>84.366791477000859</v>
      </c>
      <c r="N542" s="8">
        <f t="shared" si="250"/>
        <v>1166.1919434698743</v>
      </c>
      <c r="O542" s="75">
        <f t="shared" si="251"/>
        <v>1081.8251519928735</v>
      </c>
    </row>
    <row r="543" spans="1:15" x14ac:dyDescent="0.25">
      <c r="A543" s="17" t="s">
        <v>57</v>
      </c>
      <c r="B543" s="72" t="str">
        <f t="shared" si="256"/>
        <v>Q1/2018</v>
      </c>
      <c r="C543" s="73">
        <f t="shared" si="254"/>
        <v>43101</v>
      </c>
      <c r="D543" s="73">
        <f t="shared" si="255"/>
        <v>43190</v>
      </c>
      <c r="E543" s="72">
        <f t="shared" si="252"/>
        <v>90</v>
      </c>
      <c r="F543" s="74">
        <f>VLOOKUP(D543,'FERC Interest Rate'!$A:$B,2,TRUE)</f>
        <v>4.2500000000000003E-2</v>
      </c>
      <c r="G543" s="75">
        <f t="shared" si="253"/>
        <v>1081.8251519928735</v>
      </c>
      <c r="H543" s="75">
        <v>0</v>
      </c>
      <c r="I543" s="99">
        <f t="shared" si="257"/>
        <v>3.1216767995249213</v>
      </c>
      <c r="J543" s="76">
        <f>G543*F543*(E543/(DATE(YEAR(D543),12,31)-DATE(YEAR(D543),1,1)+1))</f>
        <v>11.336934811980115</v>
      </c>
      <c r="K543" s="116">
        <f t="shared" si="248"/>
        <v>14.458611611505036</v>
      </c>
      <c r="L543" s="76">
        <f t="shared" si="258"/>
        <v>69</v>
      </c>
      <c r="M543" s="117">
        <f t="shared" si="249"/>
        <v>83.458611611505034</v>
      </c>
      <c r="N543" s="8">
        <f t="shared" si="250"/>
        <v>1093.1620868048537</v>
      </c>
      <c r="O543" s="75">
        <f t="shared" si="251"/>
        <v>1009.7034751933486</v>
      </c>
    </row>
    <row r="544" spans="1:15" x14ac:dyDescent="0.25">
      <c r="A544" s="17" t="s">
        <v>58</v>
      </c>
      <c r="B544" s="72" t="str">
        <f t="shared" si="256"/>
        <v>Q2/2018</v>
      </c>
      <c r="C544" s="73">
        <f t="shared" si="254"/>
        <v>43191</v>
      </c>
      <c r="D544" s="73">
        <f t="shared" si="255"/>
        <v>43281</v>
      </c>
      <c r="E544" s="72">
        <f t="shared" si="252"/>
        <v>91</v>
      </c>
      <c r="F544" s="74">
        <f>VLOOKUP(D544,'FERC Interest Rate'!$A:$B,2,TRUE)</f>
        <v>4.4699999999999997E-2</v>
      </c>
      <c r="G544" s="75">
        <f t="shared" si="253"/>
        <v>1009.7034751933486</v>
      </c>
      <c r="H544" s="75">
        <v>0</v>
      </c>
      <c r="I544" s="99">
        <f t="shared" si="257"/>
        <v>3.1216767995249213</v>
      </c>
      <c r="J544" s="76">
        <f t="shared" ref="J544:J554" si="259">G544*F544*(E544/(DATE(YEAR(D544),12,31)-DATE(YEAR(D544),1,1)+1))</f>
        <v>11.252522811079407</v>
      </c>
      <c r="K544" s="116">
        <f t="shared" si="248"/>
        <v>14.374199610604329</v>
      </c>
      <c r="L544" s="76">
        <f t="shared" si="258"/>
        <v>69</v>
      </c>
      <c r="M544" s="117">
        <f t="shared" si="249"/>
        <v>83.374199610604336</v>
      </c>
      <c r="N544" s="8">
        <f t="shared" si="250"/>
        <v>1020.955998004428</v>
      </c>
      <c r="O544" s="75">
        <f t="shared" si="251"/>
        <v>937.58179839382365</v>
      </c>
    </row>
    <row r="545" spans="1:15" x14ac:dyDescent="0.25">
      <c r="A545" s="17" t="s">
        <v>59</v>
      </c>
      <c r="B545" s="72" t="str">
        <f t="shared" si="256"/>
        <v>Q3/2018</v>
      </c>
      <c r="C545" s="73">
        <f t="shared" si="254"/>
        <v>43282</v>
      </c>
      <c r="D545" s="73">
        <f t="shared" si="255"/>
        <v>43373</v>
      </c>
      <c r="E545" s="72">
        <f t="shared" si="252"/>
        <v>92</v>
      </c>
      <c r="F545" s="74">
        <f>VLOOKUP(D545,'FERC Interest Rate'!$A:$B,2,TRUE)</f>
        <v>4.6899999999999997E-2</v>
      </c>
      <c r="G545" s="75">
        <f t="shared" si="253"/>
        <v>937.58179839382365</v>
      </c>
      <c r="H545" s="75">
        <v>0</v>
      </c>
      <c r="I545" s="99">
        <f t="shared" si="257"/>
        <v>3.1216767995249213</v>
      </c>
      <c r="J545" s="76">
        <f t="shared" si="259"/>
        <v>11.083501215642933</v>
      </c>
      <c r="K545" s="116">
        <f t="shared" si="248"/>
        <v>14.205178015167855</v>
      </c>
      <c r="L545" s="76">
        <f t="shared" si="258"/>
        <v>69</v>
      </c>
      <c r="M545" s="117">
        <f t="shared" si="249"/>
        <v>83.20517801516786</v>
      </c>
      <c r="N545" s="8">
        <f t="shared" si="250"/>
        <v>948.66529960946662</v>
      </c>
      <c r="O545" s="75">
        <f t="shared" si="251"/>
        <v>865.4601215942987</v>
      </c>
    </row>
    <row r="546" spans="1:15" x14ac:dyDescent="0.25">
      <c r="A546" s="17" t="s">
        <v>60</v>
      </c>
      <c r="B546" s="72" t="str">
        <f t="shared" si="256"/>
        <v>Q4/2018</v>
      </c>
      <c r="C546" s="73">
        <f t="shared" si="254"/>
        <v>43374</v>
      </c>
      <c r="D546" s="73">
        <f t="shared" si="255"/>
        <v>43465</v>
      </c>
      <c r="E546" s="72">
        <f t="shared" si="252"/>
        <v>92</v>
      </c>
      <c r="F546" s="74">
        <f>VLOOKUP(D546,'FERC Interest Rate'!$A:$B,2,TRUE)</f>
        <v>4.9599999999999998E-2</v>
      </c>
      <c r="G546" s="75">
        <f t="shared" si="253"/>
        <v>865.4601215942987</v>
      </c>
      <c r="H546" s="75">
        <v>0</v>
      </c>
      <c r="I546" s="99">
        <f t="shared" si="257"/>
        <v>3.1216767995249213</v>
      </c>
      <c r="J546" s="76">
        <f t="shared" si="259"/>
        <v>10.819911306463299</v>
      </c>
      <c r="K546" s="116">
        <f t="shared" si="248"/>
        <v>13.94158810598822</v>
      </c>
      <c r="L546" s="76">
        <f t="shared" si="258"/>
        <v>69</v>
      </c>
      <c r="M546" s="117">
        <f t="shared" si="249"/>
        <v>82.941588105988217</v>
      </c>
      <c r="N546" s="8">
        <f t="shared" si="250"/>
        <v>876.28003290076197</v>
      </c>
      <c r="O546" s="75">
        <f t="shared" si="251"/>
        <v>793.33844479477375</v>
      </c>
    </row>
    <row r="547" spans="1:15" x14ac:dyDescent="0.25">
      <c r="A547" s="17" t="s">
        <v>61</v>
      </c>
      <c r="B547" s="72" t="str">
        <f t="shared" si="256"/>
        <v>Q1/2019</v>
      </c>
      <c r="C547" s="73">
        <f t="shared" si="254"/>
        <v>43466</v>
      </c>
      <c r="D547" s="73">
        <f t="shared" si="255"/>
        <v>43555</v>
      </c>
      <c r="E547" s="72">
        <f t="shared" si="252"/>
        <v>90</v>
      </c>
      <c r="F547" s="74">
        <f>VLOOKUP(D547,'FERC Interest Rate'!$A:$B,2,TRUE)</f>
        <v>5.1799999999999999E-2</v>
      </c>
      <c r="G547" s="75">
        <f t="shared" si="253"/>
        <v>793.33844479477375</v>
      </c>
      <c r="H547" s="75">
        <v>0</v>
      </c>
      <c r="I547" s="99">
        <f t="shared" si="257"/>
        <v>3.1216767995249213</v>
      </c>
      <c r="J547" s="76">
        <f t="shared" si="259"/>
        <v>10.132996793515712</v>
      </c>
      <c r="K547" s="116">
        <f t="shared" si="248"/>
        <v>13.254673593040634</v>
      </c>
      <c r="L547" s="76">
        <f t="shared" si="258"/>
        <v>69</v>
      </c>
      <c r="M547" s="117">
        <f t="shared" si="249"/>
        <v>82.254673593040636</v>
      </c>
      <c r="N547" s="8">
        <f t="shared" si="250"/>
        <v>803.47144158828951</v>
      </c>
      <c r="O547" s="75">
        <f t="shared" si="251"/>
        <v>721.2167679952488</v>
      </c>
    </row>
    <row r="548" spans="1:15" x14ac:dyDescent="0.25">
      <c r="A548" s="17" t="s">
        <v>62</v>
      </c>
      <c r="B548" s="72" t="str">
        <f t="shared" si="256"/>
        <v>Q2/2019</v>
      </c>
      <c r="C548" s="73">
        <f t="shared" si="254"/>
        <v>43556</v>
      </c>
      <c r="D548" s="73">
        <f t="shared" si="255"/>
        <v>43646</v>
      </c>
      <c r="E548" s="72">
        <f t="shared" si="252"/>
        <v>91</v>
      </c>
      <c r="F548" s="74">
        <f>VLOOKUP(D548,'FERC Interest Rate'!$A:$B,2,TRUE)</f>
        <v>5.45E-2</v>
      </c>
      <c r="G548" s="75">
        <f t="shared" si="253"/>
        <v>721.2167679952488</v>
      </c>
      <c r="H548" s="75">
        <v>0</v>
      </c>
      <c r="I548" s="99">
        <f t="shared" si="257"/>
        <v>3.1216767995249213</v>
      </c>
      <c r="J548" s="76">
        <f t="shared" si="259"/>
        <v>9.7996563311573599</v>
      </c>
      <c r="K548" s="116">
        <f t="shared" si="248"/>
        <v>12.921333130682282</v>
      </c>
      <c r="L548" s="76">
        <f t="shared" si="258"/>
        <v>69</v>
      </c>
      <c r="M548" s="117">
        <f t="shared" si="249"/>
        <v>81.921333130682285</v>
      </c>
      <c r="N548" s="8">
        <f t="shared" si="250"/>
        <v>731.0164243264062</v>
      </c>
      <c r="O548" s="75">
        <f t="shared" si="251"/>
        <v>649.09509119572385</v>
      </c>
    </row>
    <row r="549" spans="1:15" x14ac:dyDescent="0.25">
      <c r="A549" s="17" t="s">
        <v>63</v>
      </c>
      <c r="B549" s="72" t="str">
        <f t="shared" si="256"/>
        <v>Q3/2019</v>
      </c>
      <c r="C549" s="73">
        <f t="shared" si="254"/>
        <v>43647</v>
      </c>
      <c r="D549" s="73">
        <f t="shared" si="255"/>
        <v>43738</v>
      </c>
      <c r="E549" s="72">
        <f t="shared" si="252"/>
        <v>92</v>
      </c>
      <c r="F549" s="74">
        <f>VLOOKUP(D549,'FERC Interest Rate'!$A:$B,2,TRUE)</f>
        <v>5.5E-2</v>
      </c>
      <c r="G549" s="75">
        <f t="shared" si="253"/>
        <v>649.09509119572385</v>
      </c>
      <c r="H549" s="75">
        <v>0</v>
      </c>
      <c r="I549" s="99">
        <f t="shared" si="257"/>
        <v>3.1216767995249213</v>
      </c>
      <c r="J549" s="76">
        <f t="shared" si="259"/>
        <v>8.9984141409598983</v>
      </c>
      <c r="K549" s="116">
        <f t="shared" si="248"/>
        <v>12.12009094048482</v>
      </c>
      <c r="L549" s="76">
        <f t="shared" si="258"/>
        <v>69</v>
      </c>
      <c r="M549" s="117">
        <f t="shared" si="249"/>
        <v>81.120090940484815</v>
      </c>
      <c r="N549" s="8">
        <f t="shared" si="250"/>
        <v>658.09350533668373</v>
      </c>
      <c r="O549" s="75">
        <f t="shared" si="251"/>
        <v>576.9734143961989</v>
      </c>
    </row>
    <row r="550" spans="1:15" x14ac:dyDescent="0.25">
      <c r="A550" s="17" t="s">
        <v>64</v>
      </c>
      <c r="B550" s="72" t="str">
        <f t="shared" si="256"/>
        <v>Q4/2019</v>
      </c>
      <c r="C550" s="73">
        <f t="shared" si="254"/>
        <v>43739</v>
      </c>
      <c r="D550" s="73">
        <f t="shared" si="255"/>
        <v>43830</v>
      </c>
      <c r="E550" s="72">
        <f t="shared" si="252"/>
        <v>92</v>
      </c>
      <c r="F550" s="74">
        <f>VLOOKUP(D550,'FERC Interest Rate'!$A:$B,2,TRUE)</f>
        <v>5.4199999999999998E-2</v>
      </c>
      <c r="G550" s="75">
        <f t="shared" si="253"/>
        <v>576.9734143961989</v>
      </c>
      <c r="H550" s="75">
        <v>0</v>
      </c>
      <c r="I550" s="99">
        <f t="shared" si="257"/>
        <v>3.1216767995249213</v>
      </c>
      <c r="J550" s="76">
        <f t="shared" si="259"/>
        <v>7.8822472151923462</v>
      </c>
      <c r="K550" s="116">
        <f t="shared" si="248"/>
        <v>11.003924014717267</v>
      </c>
      <c r="L550" s="76">
        <f t="shared" si="258"/>
        <v>69</v>
      </c>
      <c r="M550" s="117">
        <f t="shared" si="249"/>
        <v>80.003924014717271</v>
      </c>
      <c r="N550" s="8">
        <f t="shared" si="250"/>
        <v>584.85566161139127</v>
      </c>
      <c r="O550" s="75">
        <f t="shared" si="251"/>
        <v>504.85173759667396</v>
      </c>
    </row>
    <row r="551" spans="1:15" x14ac:dyDescent="0.25">
      <c r="A551" s="17" t="s">
        <v>65</v>
      </c>
      <c r="B551" s="72" t="str">
        <f t="shared" si="256"/>
        <v>Q1/2020</v>
      </c>
      <c r="C551" s="73">
        <f t="shared" si="254"/>
        <v>43831</v>
      </c>
      <c r="D551" s="73">
        <f t="shared" si="255"/>
        <v>43921</v>
      </c>
      <c r="E551" s="72">
        <f t="shared" si="252"/>
        <v>91</v>
      </c>
      <c r="F551" s="74">
        <f>VLOOKUP(D551,'FERC Interest Rate'!$A:$B,2,TRUE)</f>
        <v>4.9599999999999998E-2</v>
      </c>
      <c r="G551" s="75">
        <f t="shared" si="253"/>
        <v>504.85173759667396</v>
      </c>
      <c r="H551" s="75">
        <v>0</v>
      </c>
      <c r="I551" s="99">
        <f t="shared" si="257"/>
        <v>3.1216767995249213</v>
      </c>
      <c r="J551" s="76">
        <f t="shared" si="259"/>
        <v>6.225953013159419</v>
      </c>
      <c r="K551" s="116">
        <f t="shared" si="248"/>
        <v>9.3476298126843407</v>
      </c>
      <c r="L551" s="76">
        <f t="shared" si="258"/>
        <v>69</v>
      </c>
      <c r="M551" s="117">
        <f t="shared" si="249"/>
        <v>78.347629812684346</v>
      </c>
      <c r="N551" s="8">
        <f t="shared" si="250"/>
        <v>511.07769060983338</v>
      </c>
      <c r="O551" s="75">
        <f t="shared" si="251"/>
        <v>432.73006079714901</v>
      </c>
    </row>
    <row r="552" spans="1:15" x14ac:dyDescent="0.25">
      <c r="A552" s="17" t="s">
        <v>66</v>
      </c>
      <c r="B552" s="72" t="str">
        <f t="shared" si="256"/>
        <v>Q2/2020</v>
      </c>
      <c r="C552" s="73">
        <f t="shared" si="254"/>
        <v>43922</v>
      </c>
      <c r="D552" s="73">
        <f t="shared" si="255"/>
        <v>44012</v>
      </c>
      <c r="E552" s="72">
        <f t="shared" si="252"/>
        <v>91</v>
      </c>
      <c r="F552" s="74">
        <f>VLOOKUP(D552,'FERC Interest Rate'!$A:$B,2,TRUE)</f>
        <v>4.7503500000000004E-2</v>
      </c>
      <c r="G552" s="75">
        <f t="shared" si="253"/>
        <v>432.73006079714901</v>
      </c>
      <c r="H552" s="75">
        <v>0</v>
      </c>
      <c r="I552" s="99">
        <f t="shared" si="257"/>
        <v>3.1216767995249213</v>
      </c>
      <c r="J552" s="76">
        <f t="shared" si="259"/>
        <v>5.110965880655848</v>
      </c>
      <c r="K552" s="116">
        <f t="shared" si="248"/>
        <v>8.2326426801807688</v>
      </c>
      <c r="L552" s="76">
        <f t="shared" si="258"/>
        <v>69</v>
      </c>
      <c r="M552" s="117">
        <f t="shared" si="249"/>
        <v>77.232642680180774</v>
      </c>
      <c r="N552" s="8">
        <f t="shared" si="250"/>
        <v>437.84102667780485</v>
      </c>
      <c r="O552" s="75">
        <f t="shared" si="251"/>
        <v>360.60838399762406</v>
      </c>
    </row>
    <row r="553" spans="1:15" x14ac:dyDescent="0.25">
      <c r="A553" s="17" t="s">
        <v>67</v>
      </c>
      <c r="B553" s="72" t="str">
        <f>+IF(MONTH(C553)&lt;4,"Q1",IF(MONTH(C553)&lt;7,"Q2",IF(MONTH(C553)&lt;10,"Q3","Q4")))&amp;"/"&amp;YEAR(C553)</f>
        <v>Q3/2020</v>
      </c>
      <c r="C553" s="73">
        <f t="shared" si="254"/>
        <v>44013</v>
      </c>
      <c r="D553" s="73">
        <f t="shared" si="255"/>
        <v>44104</v>
      </c>
      <c r="E553" s="72">
        <f t="shared" si="252"/>
        <v>92</v>
      </c>
      <c r="F553" s="74">
        <f>VLOOKUP(D553,'FERC Interest Rate'!$A:$B,2,TRUE)</f>
        <v>4.7507929999999997E-2</v>
      </c>
      <c r="G553" s="75">
        <f t="shared" si="253"/>
        <v>360.60838399762406</v>
      </c>
      <c r="H553" s="75">
        <v>0</v>
      </c>
      <c r="I553" s="99">
        <f t="shared" si="257"/>
        <v>3.1216767995249213</v>
      </c>
      <c r="J553" s="76">
        <f t="shared" si="259"/>
        <v>4.306343506891384</v>
      </c>
      <c r="K553" s="116">
        <f t="shared" si="248"/>
        <v>7.4280203064163057</v>
      </c>
      <c r="L553" s="76">
        <f t="shared" si="258"/>
        <v>69</v>
      </c>
      <c r="M553" s="117">
        <f t="shared" si="249"/>
        <v>76.4280203064163</v>
      </c>
      <c r="N553" s="8">
        <f t="shared" si="250"/>
        <v>364.91472750451544</v>
      </c>
      <c r="O553" s="75">
        <f t="shared" si="251"/>
        <v>288.48670719809911</v>
      </c>
    </row>
    <row r="554" spans="1:15" x14ac:dyDescent="0.25">
      <c r="A554" s="17" t="s">
        <v>68</v>
      </c>
      <c r="B554" s="72" t="str">
        <f>+IF(MONTH(C554)&lt;4,"Q1",IF(MONTH(C554)&lt;7,"Q2",IF(MONTH(C554)&lt;10,"Q3","Q4")))&amp;"/"&amp;YEAR(C554)</f>
        <v>Q4/2020</v>
      </c>
      <c r="C554" s="73">
        <f t="shared" si="254"/>
        <v>44105</v>
      </c>
      <c r="D554" s="73">
        <f t="shared" si="255"/>
        <v>44196</v>
      </c>
      <c r="E554" s="72">
        <f t="shared" si="252"/>
        <v>92</v>
      </c>
      <c r="F554" s="74">
        <f>VLOOKUP(D554,'FERC Interest Rate'!$A:$B,2,TRUE)</f>
        <v>4.7922320000000004E-2</v>
      </c>
      <c r="G554" s="75">
        <f t="shared" si="253"/>
        <v>288.48670719809911</v>
      </c>
      <c r="H554" s="75">
        <v>0</v>
      </c>
      <c r="I554" s="99">
        <f t="shared" si="257"/>
        <v>3.1216767995249213</v>
      </c>
      <c r="J554" s="76">
        <f t="shared" si="259"/>
        <v>3.4751246213787215</v>
      </c>
      <c r="K554" s="116">
        <f t="shared" si="248"/>
        <v>6.5968014209036427</v>
      </c>
      <c r="L554" s="76">
        <f t="shared" si="258"/>
        <v>69</v>
      </c>
      <c r="M554" s="117">
        <f t="shared" si="249"/>
        <v>75.596801420903645</v>
      </c>
      <c r="N554" s="8">
        <f t="shared" si="250"/>
        <v>291.96183181947782</v>
      </c>
      <c r="O554" s="75">
        <f t="shared" si="251"/>
        <v>216.36503039857419</v>
      </c>
    </row>
    <row r="555" spans="1:15" x14ac:dyDescent="0.25">
      <c r="A555" s="17" t="s">
        <v>69</v>
      </c>
      <c r="B555" s="72" t="str">
        <f>+IF(MONTH(C555)&lt;4,"Q1",IF(MONTH(C555)&lt;7,"Q2",IF(MONTH(C555)&lt;10,"Q3","Q4")))&amp;"/"&amp;YEAR(C555)</f>
        <v>Q1/2021</v>
      </c>
      <c r="C555" s="73">
        <f>D554+1</f>
        <v>44197</v>
      </c>
      <c r="D555" s="73">
        <f t="shared" si="255"/>
        <v>44286</v>
      </c>
      <c r="E555" s="72">
        <f>D555-C555+1</f>
        <v>90</v>
      </c>
      <c r="F555" s="74">
        <f>VLOOKUP(D555,'FERC Interest Rate'!$A:$B,2,TRUE)</f>
        <v>5.0023470000000007E-2</v>
      </c>
      <c r="G555" s="75">
        <f>O554</f>
        <v>216.36503039857419</v>
      </c>
      <c r="H555" s="75">
        <v>0</v>
      </c>
      <c r="I555" s="99">
        <f t="shared" si="257"/>
        <v>3.1216767995249213</v>
      </c>
      <c r="J555" s="76">
        <f>G555*F555*(E555/(DATE(YEAR(D555),12,31)-DATE(YEAR(D555),1,1)+1))</f>
        <v>2.6687662045131368</v>
      </c>
      <c r="K555" s="116">
        <f>+SUM(I555:J555)</f>
        <v>5.7904430040380586</v>
      </c>
      <c r="L555" s="76">
        <f t="shared" si="258"/>
        <v>69</v>
      </c>
      <c r="M555" s="117">
        <f>+SUM(K555:L555)</f>
        <v>74.790443004038053</v>
      </c>
      <c r="N555" s="8">
        <f>+G555+H555+J555</f>
        <v>219.03379660308732</v>
      </c>
      <c r="O555" s="75">
        <f>G555+H555-L555-I555</f>
        <v>144.24335359904927</v>
      </c>
    </row>
    <row r="556" spans="1:15" x14ac:dyDescent="0.25">
      <c r="A556" s="17" t="s">
        <v>70</v>
      </c>
      <c r="B556" s="72" t="str">
        <f>+IF(MONTH(C556)&lt;4,"Q1",IF(MONTH(C556)&lt;7,"Q2",IF(MONTH(C556)&lt;10,"Q3","Q4")))&amp;"/"&amp;YEAR(C556)</f>
        <v>Q2/2021</v>
      </c>
      <c r="C556" s="73">
        <f>D555+1</f>
        <v>44287</v>
      </c>
      <c r="D556" s="73">
        <f t="shared" si="255"/>
        <v>44377</v>
      </c>
      <c r="E556" s="72">
        <f>D556-C556+1</f>
        <v>91</v>
      </c>
      <c r="F556" s="74">
        <f>VLOOKUP(D556,'FERC Interest Rate'!$A:$B,2,TRUE)</f>
        <v>5.0403730000000001E-2</v>
      </c>
      <c r="G556" s="75">
        <f>O555</f>
        <v>144.24335359904927</v>
      </c>
      <c r="H556" s="75">
        <v>0</v>
      </c>
      <c r="I556" s="99">
        <f t="shared" si="257"/>
        <v>3.1216767995249213</v>
      </c>
      <c r="J556" s="76">
        <f>G556*F556*(E556/(DATE(YEAR(D556),12,31)-DATE(YEAR(D556),1,1)+1))</f>
        <v>1.8126210341594293</v>
      </c>
      <c r="K556" s="116">
        <f>+SUM(I556:J556)</f>
        <v>4.9342978336843508</v>
      </c>
      <c r="L556" s="76">
        <f t="shared" si="258"/>
        <v>69</v>
      </c>
      <c r="M556" s="117">
        <f>+SUM(K556:L556)</f>
        <v>73.934297833684354</v>
      </c>
      <c r="N556" s="8">
        <f>+G556+H556+J556</f>
        <v>146.05597463320871</v>
      </c>
      <c r="O556" s="75">
        <f>G556+H556-L556-I556</f>
        <v>72.121676799524352</v>
      </c>
    </row>
    <row r="557" spans="1:15" x14ac:dyDescent="0.25">
      <c r="A557" s="17" t="s">
        <v>71</v>
      </c>
      <c r="B557" s="72" t="str">
        <f>+IF(MONTH(C557)&lt;4,"Q1",IF(MONTH(C557)&lt;7,"Q2",IF(MONTH(C557)&lt;10,"Q3","Q4")))&amp;"/"&amp;YEAR(C557)</f>
        <v>Q3/2021</v>
      </c>
      <c r="C557" s="73">
        <f>D556+1</f>
        <v>44378</v>
      </c>
      <c r="D557" s="73">
        <f t="shared" si="255"/>
        <v>44469</v>
      </c>
      <c r="E557" s="72">
        <f>D557-C557+1</f>
        <v>92</v>
      </c>
      <c r="F557" s="74">
        <f>VLOOKUP(D557,'FERC Interest Rate'!$A:$B,2,TRUE)</f>
        <v>5.2520850000000001E-2</v>
      </c>
      <c r="G557" s="75">
        <f>O556</f>
        <v>72.121676799524352</v>
      </c>
      <c r="H557" s="75">
        <v>0</v>
      </c>
      <c r="I557" s="99">
        <f t="shared" si="257"/>
        <v>3.1216767995249213</v>
      </c>
      <c r="J557" s="76">
        <f>G557*F557*(E557/(DATE(YEAR(D557),12,31)-DATE(YEAR(D557),1,1)+1))</f>
        <v>0.95475628148531377</v>
      </c>
      <c r="K557" s="116">
        <f>+SUM(I557:J557)</f>
        <v>4.0764330810102347</v>
      </c>
      <c r="L557" s="76">
        <f t="shared" si="258"/>
        <v>69</v>
      </c>
      <c r="M557" s="117">
        <f>+SUM(K557:L557)</f>
        <v>73.076433081010236</v>
      </c>
      <c r="N557" s="8">
        <f>+G557+H557+J557</f>
        <v>73.076433081009668</v>
      </c>
      <c r="O557" s="75">
        <f>G557+H557-L557-I557</f>
        <v>-5.6976645623763034E-13</v>
      </c>
    </row>
    <row r="558" spans="1:15" x14ac:dyDescent="0.25">
      <c r="A558" s="78"/>
      <c r="B558" s="72"/>
      <c r="C558" s="73"/>
      <c r="D558" s="73"/>
      <c r="E558" s="72"/>
      <c r="F558" s="74"/>
      <c r="G558" s="75"/>
      <c r="H558" s="75"/>
      <c r="I558" s="99"/>
      <c r="J558" s="76"/>
      <c r="K558" s="116"/>
      <c r="L558" s="76"/>
      <c r="M558" s="117"/>
      <c r="N558" s="8"/>
      <c r="O558" s="75"/>
    </row>
    <row r="559" spans="1:15" ht="13.5" thickBot="1" x14ac:dyDescent="0.35">
      <c r="A559" s="142"/>
      <c r="B559" s="143"/>
      <c r="C559" s="144"/>
      <c r="D559" s="144"/>
      <c r="E559" s="145"/>
      <c r="F559" s="143"/>
      <c r="G559" s="127">
        <f t="shared" ref="G559:O559" si="260">+SUM(G533:G558)</f>
        <v>22112.38467212411</v>
      </c>
      <c r="H559" s="127">
        <f t="shared" si="260"/>
        <v>62.433535990498427</v>
      </c>
      <c r="I559" s="128">
        <f t="shared" si="260"/>
        <v>62.433535990498406</v>
      </c>
      <c r="J559" s="127">
        <f t="shared" si="260"/>
        <v>154.17737782049335</v>
      </c>
      <c r="K559" s="127">
        <f t="shared" si="260"/>
        <v>216.61091381099175</v>
      </c>
      <c r="L559" s="127">
        <f t="shared" si="260"/>
        <v>1380</v>
      </c>
      <c r="M559" s="129">
        <f t="shared" si="260"/>
        <v>1596.6109138109919</v>
      </c>
      <c r="N559" s="127">
        <f t="shared" si="260"/>
        <v>22328.995585935107</v>
      </c>
      <c r="O559" s="127">
        <f t="shared" si="260"/>
        <v>20732.38467212411</v>
      </c>
    </row>
    <row r="560" spans="1:15" ht="13" thickTop="1" x14ac:dyDescent="0.25"/>
    <row r="561" spans="1:15" ht="52" x14ac:dyDescent="0.3">
      <c r="A561" s="77" t="s">
        <v>51</v>
      </c>
      <c r="B561" s="77" t="s">
        <v>3</v>
      </c>
      <c r="C561" s="77" t="s">
        <v>4</v>
      </c>
      <c r="D561" s="77" t="s">
        <v>5</v>
      </c>
      <c r="E561" s="77" t="s">
        <v>6</v>
      </c>
      <c r="F561" s="77" t="s">
        <v>7</v>
      </c>
      <c r="G561" s="77" t="s">
        <v>92</v>
      </c>
      <c r="H561" s="77" t="s">
        <v>93</v>
      </c>
      <c r="I561" s="94" t="s">
        <v>94</v>
      </c>
      <c r="J561" s="95" t="s">
        <v>95</v>
      </c>
      <c r="K561" s="95" t="s">
        <v>96</v>
      </c>
      <c r="L561" s="95" t="s">
        <v>97</v>
      </c>
      <c r="M561" s="96" t="s">
        <v>98</v>
      </c>
      <c r="N561" s="77" t="s">
        <v>99</v>
      </c>
      <c r="O561" s="77" t="s">
        <v>100</v>
      </c>
    </row>
    <row r="562" spans="1:15" ht="13" x14ac:dyDescent="0.3">
      <c r="A562" s="347" t="s">
        <v>14</v>
      </c>
      <c r="B562" s="347"/>
      <c r="C562" s="73">
        <f>VLOOKUP(B563,A$1:F$29,2,FALSE)</f>
        <v>42430</v>
      </c>
      <c r="D562" s="73">
        <f>DATE(YEAR(C562),IF(MONTH(C562)&lt;=3,3,IF(MONTH(C562)&lt;=6,6,IF(MONTH(C562)&lt;=9,9,12))),IF(OR(MONTH(C562)&lt;=3,MONTH(C562)&gt;=10),31,30))</f>
        <v>42460</v>
      </c>
      <c r="E562" s="72">
        <f>D562-C562+1</f>
        <v>31</v>
      </c>
      <c r="F562" s="74">
        <f>VLOOKUP(D562,'FERC Interest Rate'!$A:$B,2,TRUE)</f>
        <v>3.2500000000000001E-2</v>
      </c>
      <c r="G562" s="75">
        <f>VLOOKUP(B563,$A$1:$F$29,5,FALSE)</f>
        <v>2422</v>
      </c>
      <c r="H562" s="75">
        <f>G562*F562*(E562/(DATE(YEAR(D562),12,31)-DATE(YEAR(D562),1,1)+1))</f>
        <v>6.6671174863387979</v>
      </c>
      <c r="I562" s="180">
        <v>0</v>
      </c>
      <c r="J562" s="76">
        <v>0</v>
      </c>
      <c r="K562" s="116">
        <f t="shared" ref="K562:K583" si="261">+SUM(I562:J562)</f>
        <v>0</v>
      </c>
      <c r="L562" s="76">
        <v>0</v>
      </c>
      <c r="M562" s="117">
        <f t="shared" ref="M562:M583" si="262">+SUM(K562:L562)</f>
        <v>0</v>
      </c>
      <c r="N562" s="8">
        <f t="shared" ref="N562:N583" si="263">+G562+H562+J562</f>
        <v>2428.6671174863386</v>
      </c>
      <c r="O562" s="75">
        <f t="shared" ref="O562:O583" si="264">G562+H562-L562-I562</f>
        <v>2428.6671174863386</v>
      </c>
    </row>
    <row r="563" spans="1:15" ht="13" x14ac:dyDescent="0.3">
      <c r="A563" s="110" t="s">
        <v>40</v>
      </c>
      <c r="B563" s="141" t="s">
        <v>68</v>
      </c>
      <c r="C563" s="73">
        <f>D562+1</f>
        <v>42461</v>
      </c>
      <c r="D563" s="73">
        <f>EOMONTH(D562,3)</f>
        <v>42551</v>
      </c>
      <c r="E563" s="72">
        <f t="shared" ref="E563:E583" si="265">D563-C563+1</f>
        <v>91</v>
      </c>
      <c r="F563" s="74">
        <f>VLOOKUP(D563,'FERC Interest Rate'!$A:$B,2,TRUE)</f>
        <v>3.4599999999999999E-2</v>
      </c>
      <c r="G563" s="75">
        <f t="shared" ref="G563:G583" si="266">O562</f>
        <v>2428.6671174863386</v>
      </c>
      <c r="H563" s="75">
        <f>G563*F563*(E563/(DATE(YEAR(D563),12,31)-DATE(YEAR(D563),1,1)+1))</f>
        <v>20.893172912889302</v>
      </c>
      <c r="I563" s="180">
        <v>0</v>
      </c>
      <c r="J563" s="76">
        <v>0</v>
      </c>
      <c r="K563" s="116">
        <f t="shared" si="261"/>
        <v>0</v>
      </c>
      <c r="L563" s="76">
        <v>0</v>
      </c>
      <c r="M563" s="117">
        <f t="shared" si="262"/>
        <v>0</v>
      </c>
      <c r="N563" s="8">
        <f t="shared" si="263"/>
        <v>2449.5602903992281</v>
      </c>
      <c r="O563" s="75">
        <f t="shared" si="264"/>
        <v>2449.5602903992281</v>
      </c>
    </row>
    <row r="564" spans="1:15" x14ac:dyDescent="0.25">
      <c r="A564" s="78"/>
      <c r="B564" s="72"/>
      <c r="C564" s="73">
        <f t="shared" ref="C564:C583" si="267">D563+1</f>
        <v>42552</v>
      </c>
      <c r="D564" s="73">
        <f t="shared" ref="D564:D584" si="268">EOMONTH(D563,3)</f>
        <v>42643</v>
      </c>
      <c r="E564" s="72">
        <f t="shared" si="265"/>
        <v>92</v>
      </c>
      <c r="F564" s="74">
        <f>VLOOKUP(D564,'FERC Interest Rate'!$A:$B,2,TRUE)</f>
        <v>3.5000000000000003E-2</v>
      </c>
      <c r="G564" s="75">
        <f t="shared" si="266"/>
        <v>2449.5602903992281</v>
      </c>
      <c r="H564" s="75">
        <f>G564*F564*(E564/(DATE(YEAR(D564),12,31)-DATE(YEAR(D564),1,1)+1))</f>
        <v>21.550776325370258</v>
      </c>
      <c r="I564" s="180">
        <v>0</v>
      </c>
      <c r="J564" s="76">
        <v>0</v>
      </c>
      <c r="K564" s="116">
        <f t="shared" si="261"/>
        <v>0</v>
      </c>
      <c r="L564" s="76">
        <v>0</v>
      </c>
      <c r="M564" s="117">
        <f t="shared" si="262"/>
        <v>0</v>
      </c>
      <c r="N564" s="8">
        <f t="shared" si="263"/>
        <v>2471.1110667245985</v>
      </c>
      <c r="O564" s="75">
        <f t="shared" si="264"/>
        <v>2471.1110667245985</v>
      </c>
    </row>
    <row r="565" spans="1:15" x14ac:dyDescent="0.25">
      <c r="A565" s="17" t="s">
        <v>52</v>
      </c>
      <c r="B565" s="72" t="str">
        <f t="shared" ref="B565:B579" si="269">+IF(MONTH(C565)&lt;4,"Q1",IF(MONTH(C565)&lt;7,"Q2",IF(MONTH(C565)&lt;10,"Q3","Q4")))&amp;"/"&amp;YEAR(C565)</f>
        <v>Q4/2016</v>
      </c>
      <c r="C565" s="73">
        <f t="shared" si="267"/>
        <v>42644</v>
      </c>
      <c r="D565" s="73">
        <f t="shared" si="268"/>
        <v>42735</v>
      </c>
      <c r="E565" s="72">
        <f t="shared" si="265"/>
        <v>92</v>
      </c>
      <c r="F565" s="74">
        <f>VLOOKUP(D565,'FERC Interest Rate'!$A:$B,2,TRUE)</f>
        <v>3.5000000000000003E-2</v>
      </c>
      <c r="G565" s="75">
        <f t="shared" si="266"/>
        <v>2471.1110667245985</v>
      </c>
      <c r="H565" s="75">
        <f>G565*F565*(E565/(DATE(YEAR(D565),12,31)-DATE(YEAR(D565),1,1)+1))</f>
        <v>21.740376051511497</v>
      </c>
      <c r="I565" s="180">
        <f>SUM($H$562:$H$585)/20</f>
        <v>3.5425721388054923</v>
      </c>
      <c r="J565" s="76">
        <v>0</v>
      </c>
      <c r="K565" s="116">
        <f t="shared" si="261"/>
        <v>3.5425721388054923</v>
      </c>
      <c r="L565" s="76">
        <f t="shared" ref="L565:L584" si="270">VLOOKUP($B$563,A$1:F$25,5,FALSE)/20</f>
        <v>121.1</v>
      </c>
      <c r="M565" s="117">
        <f t="shared" si="262"/>
        <v>124.64257213880549</v>
      </c>
      <c r="N565" s="8">
        <f t="shared" si="263"/>
        <v>2492.8514427761102</v>
      </c>
      <c r="O565" s="75">
        <f t="shared" si="264"/>
        <v>2368.2088706373047</v>
      </c>
    </row>
    <row r="566" spans="1:15" x14ac:dyDescent="0.25">
      <c r="A566" s="17" t="s">
        <v>53</v>
      </c>
      <c r="B566" s="72" t="str">
        <f t="shared" si="269"/>
        <v>Q1/2017</v>
      </c>
      <c r="C566" s="73">
        <f t="shared" si="267"/>
        <v>42736</v>
      </c>
      <c r="D566" s="73">
        <f t="shared" si="268"/>
        <v>42825</v>
      </c>
      <c r="E566" s="72">
        <f t="shared" si="265"/>
        <v>90</v>
      </c>
      <c r="F566" s="74">
        <f>VLOOKUP(D566,'FERC Interest Rate'!$A:$B,2,TRUE)</f>
        <v>3.5000000000000003E-2</v>
      </c>
      <c r="G566" s="75">
        <f t="shared" si="266"/>
        <v>2368.2088706373047</v>
      </c>
      <c r="H566" s="75">
        <v>0</v>
      </c>
      <c r="I566" s="180">
        <f t="shared" ref="I566:I584" si="271">SUM($H$562:$H$585)/20</f>
        <v>3.5425721388054923</v>
      </c>
      <c r="J566" s="76">
        <f t="shared" ref="J566:J571" si="272">G566*F566*(E566/(DATE(YEAR(D566),12,31)-DATE(YEAR(D566),1,1)+1))</f>
        <v>20.437966965773999</v>
      </c>
      <c r="K566" s="116">
        <f t="shared" si="261"/>
        <v>23.980539104579492</v>
      </c>
      <c r="L566" s="76">
        <f t="shared" si="270"/>
        <v>121.1</v>
      </c>
      <c r="M566" s="117">
        <f t="shared" si="262"/>
        <v>145.08053910457949</v>
      </c>
      <c r="N566" s="8">
        <f t="shared" si="263"/>
        <v>2388.6468376030789</v>
      </c>
      <c r="O566" s="75">
        <f t="shared" si="264"/>
        <v>2243.5662984984992</v>
      </c>
    </row>
    <row r="567" spans="1:15" x14ac:dyDescent="0.25">
      <c r="A567" s="17" t="s">
        <v>54</v>
      </c>
      <c r="B567" s="72" t="str">
        <f t="shared" si="269"/>
        <v>Q2/2017</v>
      </c>
      <c r="C567" s="73">
        <f t="shared" si="267"/>
        <v>42826</v>
      </c>
      <c r="D567" s="73">
        <f t="shared" si="268"/>
        <v>42916</v>
      </c>
      <c r="E567" s="72">
        <f t="shared" si="265"/>
        <v>91</v>
      </c>
      <c r="F567" s="74">
        <f>VLOOKUP(D567,'FERC Interest Rate'!$A:$B,2,TRUE)</f>
        <v>3.7100000000000001E-2</v>
      </c>
      <c r="G567" s="75">
        <f t="shared" si="266"/>
        <v>2243.5662984984992</v>
      </c>
      <c r="H567" s="75">
        <v>0</v>
      </c>
      <c r="I567" s="180">
        <f t="shared" si="271"/>
        <v>3.5425721388054923</v>
      </c>
      <c r="J567" s="76">
        <f t="shared" si="272"/>
        <v>20.752066247563789</v>
      </c>
      <c r="K567" s="116">
        <f t="shared" si="261"/>
        <v>24.294638386369282</v>
      </c>
      <c r="L567" s="76">
        <f t="shared" si="270"/>
        <v>121.1</v>
      </c>
      <c r="M567" s="117">
        <f t="shared" si="262"/>
        <v>145.39463838636928</v>
      </c>
      <c r="N567" s="8">
        <f t="shared" si="263"/>
        <v>2264.3183647460628</v>
      </c>
      <c r="O567" s="75">
        <f t="shared" si="264"/>
        <v>2118.9237263596938</v>
      </c>
    </row>
    <row r="568" spans="1:15" x14ac:dyDescent="0.25">
      <c r="A568" s="17" t="s">
        <v>55</v>
      </c>
      <c r="B568" s="72" t="str">
        <f t="shared" si="269"/>
        <v>Q3/2017</v>
      </c>
      <c r="C568" s="73">
        <f t="shared" si="267"/>
        <v>42917</v>
      </c>
      <c r="D568" s="73">
        <f t="shared" si="268"/>
        <v>43008</v>
      </c>
      <c r="E568" s="72">
        <f t="shared" si="265"/>
        <v>92</v>
      </c>
      <c r="F568" s="74">
        <f>VLOOKUP(D568,'FERC Interest Rate'!$A:$B,2,TRUE)</f>
        <v>3.9600000000000003E-2</v>
      </c>
      <c r="G568" s="75">
        <f t="shared" si="266"/>
        <v>2118.9237263596938</v>
      </c>
      <c r="H568" s="75">
        <v>0</v>
      </c>
      <c r="I568" s="180">
        <f t="shared" si="271"/>
        <v>3.5425721388054923</v>
      </c>
      <c r="J568" s="76">
        <f t="shared" si="272"/>
        <v>21.149761424311336</v>
      </c>
      <c r="K568" s="116">
        <f t="shared" si="261"/>
        <v>24.692333563116829</v>
      </c>
      <c r="L568" s="76">
        <f t="shared" si="270"/>
        <v>121.1</v>
      </c>
      <c r="M568" s="117">
        <f t="shared" si="262"/>
        <v>145.79233356311681</v>
      </c>
      <c r="N568" s="8">
        <f t="shared" si="263"/>
        <v>2140.073487784005</v>
      </c>
      <c r="O568" s="75">
        <f t="shared" si="264"/>
        <v>1994.2811542208883</v>
      </c>
    </row>
    <row r="569" spans="1:15" x14ac:dyDescent="0.25">
      <c r="A569" s="17" t="s">
        <v>56</v>
      </c>
      <c r="B569" s="72" t="str">
        <f t="shared" si="269"/>
        <v>Q4/2017</v>
      </c>
      <c r="C569" s="73">
        <f t="shared" si="267"/>
        <v>43009</v>
      </c>
      <c r="D569" s="73">
        <f t="shared" si="268"/>
        <v>43100</v>
      </c>
      <c r="E569" s="72">
        <f t="shared" si="265"/>
        <v>92</v>
      </c>
      <c r="F569" s="74">
        <f>VLOOKUP(D569,'FERC Interest Rate'!$A:$B,2,TRUE)</f>
        <v>4.2099999999999999E-2</v>
      </c>
      <c r="G569" s="75">
        <f t="shared" si="266"/>
        <v>1994.2811542208883</v>
      </c>
      <c r="H569" s="75">
        <v>0</v>
      </c>
      <c r="I569" s="180">
        <f t="shared" si="271"/>
        <v>3.5425721388054923</v>
      </c>
      <c r="J569" s="76">
        <f t="shared" si="272"/>
        <v>21.162328127474918</v>
      </c>
      <c r="K569" s="116">
        <f t="shared" si="261"/>
        <v>24.704900266280411</v>
      </c>
      <c r="L569" s="76">
        <f t="shared" si="270"/>
        <v>121.1</v>
      </c>
      <c r="M569" s="117">
        <f t="shared" si="262"/>
        <v>145.80490026628041</v>
      </c>
      <c r="N569" s="8">
        <f t="shared" si="263"/>
        <v>2015.4434823483632</v>
      </c>
      <c r="O569" s="75">
        <f t="shared" si="264"/>
        <v>1869.6385820820828</v>
      </c>
    </row>
    <row r="570" spans="1:15" x14ac:dyDescent="0.25">
      <c r="A570" s="17" t="s">
        <v>57</v>
      </c>
      <c r="B570" s="72" t="str">
        <f t="shared" si="269"/>
        <v>Q1/2018</v>
      </c>
      <c r="C570" s="73">
        <f t="shared" si="267"/>
        <v>43101</v>
      </c>
      <c r="D570" s="73">
        <f t="shared" si="268"/>
        <v>43190</v>
      </c>
      <c r="E570" s="72">
        <f t="shared" si="265"/>
        <v>90</v>
      </c>
      <c r="F570" s="74">
        <f>VLOOKUP(D570,'FERC Interest Rate'!$A:$B,2,TRUE)</f>
        <v>4.2500000000000003E-2</v>
      </c>
      <c r="G570" s="75">
        <f t="shared" si="266"/>
        <v>1869.6385820820828</v>
      </c>
      <c r="H570" s="75">
        <v>0</v>
      </c>
      <c r="I570" s="99">
        <f t="shared" si="271"/>
        <v>3.5425721388054923</v>
      </c>
      <c r="J570" s="76">
        <f t="shared" si="272"/>
        <v>19.592787880723201</v>
      </c>
      <c r="K570" s="116">
        <f t="shared" si="261"/>
        <v>23.135360019528694</v>
      </c>
      <c r="L570" s="76">
        <f t="shared" si="270"/>
        <v>121.1</v>
      </c>
      <c r="M570" s="117">
        <f t="shared" si="262"/>
        <v>144.23536001952868</v>
      </c>
      <c r="N570" s="8">
        <f t="shared" si="263"/>
        <v>1889.231369962806</v>
      </c>
      <c r="O570" s="75">
        <f t="shared" si="264"/>
        <v>1744.9960099432774</v>
      </c>
    </row>
    <row r="571" spans="1:15" x14ac:dyDescent="0.25">
      <c r="A571" s="17" t="s">
        <v>58</v>
      </c>
      <c r="B571" s="72" t="str">
        <f t="shared" si="269"/>
        <v>Q2/2018</v>
      </c>
      <c r="C571" s="73">
        <f t="shared" si="267"/>
        <v>43191</v>
      </c>
      <c r="D571" s="73">
        <f t="shared" si="268"/>
        <v>43281</v>
      </c>
      <c r="E571" s="72">
        <f t="shared" si="265"/>
        <v>91</v>
      </c>
      <c r="F571" s="74">
        <f>VLOOKUP(D571,'FERC Interest Rate'!$A:$B,2,TRUE)</f>
        <v>4.4699999999999997E-2</v>
      </c>
      <c r="G571" s="75">
        <f t="shared" si="266"/>
        <v>1744.9960099432774</v>
      </c>
      <c r="H571" s="75">
        <v>0</v>
      </c>
      <c r="I571" s="99">
        <f t="shared" si="271"/>
        <v>3.5425721388054923</v>
      </c>
      <c r="J571" s="76">
        <f t="shared" si="272"/>
        <v>19.446904848345945</v>
      </c>
      <c r="K571" s="116">
        <f t="shared" si="261"/>
        <v>22.989476987151438</v>
      </c>
      <c r="L571" s="76">
        <f t="shared" si="270"/>
        <v>121.1</v>
      </c>
      <c r="M571" s="117">
        <f t="shared" si="262"/>
        <v>144.08947698715144</v>
      </c>
      <c r="N571" s="8">
        <f t="shared" si="263"/>
        <v>1764.4429147916233</v>
      </c>
      <c r="O571" s="75">
        <f t="shared" si="264"/>
        <v>1620.3534378044719</v>
      </c>
    </row>
    <row r="572" spans="1:15" x14ac:dyDescent="0.25">
      <c r="A572" s="17" t="s">
        <v>59</v>
      </c>
      <c r="B572" s="72" t="str">
        <f t="shared" si="269"/>
        <v>Q3/2018</v>
      </c>
      <c r="C572" s="73">
        <f t="shared" si="267"/>
        <v>43282</v>
      </c>
      <c r="D572" s="73">
        <f t="shared" si="268"/>
        <v>43373</v>
      </c>
      <c r="E572" s="72">
        <f t="shared" si="265"/>
        <v>92</v>
      </c>
      <c r="F572" s="74">
        <f>VLOOKUP(D572,'FERC Interest Rate'!$A:$B,2,TRUE)</f>
        <v>4.6899999999999997E-2</v>
      </c>
      <c r="G572" s="75">
        <f t="shared" si="266"/>
        <v>1620.3534378044719</v>
      </c>
      <c r="H572" s="75">
        <v>0</v>
      </c>
      <c r="I572" s="99">
        <f t="shared" si="271"/>
        <v>3.5425721388054923</v>
      </c>
      <c r="J572" s="76">
        <f>G572*F572*(E572/(DATE(YEAR(D572),12,31)-DATE(YEAR(D572),1,1)+1))</f>
        <v>19.154797297092426</v>
      </c>
      <c r="K572" s="116">
        <f t="shared" si="261"/>
        <v>22.697369435897919</v>
      </c>
      <c r="L572" s="76">
        <f t="shared" si="270"/>
        <v>121.1</v>
      </c>
      <c r="M572" s="117">
        <f t="shared" si="262"/>
        <v>143.79736943589791</v>
      </c>
      <c r="N572" s="8">
        <f t="shared" si="263"/>
        <v>1639.5082351015644</v>
      </c>
      <c r="O572" s="75">
        <f t="shared" si="264"/>
        <v>1495.7108656656665</v>
      </c>
    </row>
    <row r="573" spans="1:15" x14ac:dyDescent="0.25">
      <c r="A573" s="17" t="s">
        <v>60</v>
      </c>
      <c r="B573" s="72" t="str">
        <f t="shared" si="269"/>
        <v>Q4/2018</v>
      </c>
      <c r="C573" s="73">
        <f t="shared" si="267"/>
        <v>43374</v>
      </c>
      <c r="D573" s="73">
        <f t="shared" si="268"/>
        <v>43465</v>
      </c>
      <c r="E573" s="72">
        <f t="shared" si="265"/>
        <v>92</v>
      </c>
      <c r="F573" s="74">
        <f>VLOOKUP(D573,'FERC Interest Rate'!$A:$B,2,TRUE)</f>
        <v>4.9599999999999998E-2</v>
      </c>
      <c r="G573" s="75">
        <f t="shared" si="266"/>
        <v>1495.7108656656665</v>
      </c>
      <c r="H573" s="75">
        <v>0</v>
      </c>
      <c r="I573" s="99">
        <f t="shared" si="271"/>
        <v>3.5425721388054923</v>
      </c>
      <c r="J573" s="76">
        <f t="shared" ref="J573:J583" si="273">G573*F573*(E573/(DATE(YEAR(D573),12,31)-DATE(YEAR(D573),1,1)+1))</f>
        <v>18.699254307412517</v>
      </c>
      <c r="K573" s="116">
        <f t="shared" si="261"/>
        <v>22.24182644621801</v>
      </c>
      <c r="L573" s="76">
        <f t="shared" si="270"/>
        <v>121.1</v>
      </c>
      <c r="M573" s="117">
        <f t="shared" si="262"/>
        <v>143.34182644621799</v>
      </c>
      <c r="N573" s="8">
        <f t="shared" si="263"/>
        <v>1514.410119973079</v>
      </c>
      <c r="O573" s="75">
        <f t="shared" si="264"/>
        <v>1371.068293526861</v>
      </c>
    </row>
    <row r="574" spans="1:15" x14ac:dyDescent="0.25">
      <c r="A574" s="17" t="s">
        <v>61</v>
      </c>
      <c r="B574" s="72" t="str">
        <f t="shared" si="269"/>
        <v>Q1/2019</v>
      </c>
      <c r="C574" s="73">
        <f t="shared" si="267"/>
        <v>43466</v>
      </c>
      <c r="D574" s="73">
        <f t="shared" si="268"/>
        <v>43555</v>
      </c>
      <c r="E574" s="72">
        <f t="shared" si="265"/>
        <v>90</v>
      </c>
      <c r="F574" s="74">
        <f>VLOOKUP(D574,'FERC Interest Rate'!$A:$B,2,TRUE)</f>
        <v>5.1799999999999999E-2</v>
      </c>
      <c r="G574" s="75">
        <f t="shared" si="266"/>
        <v>1371.068293526861</v>
      </c>
      <c r="H574" s="75">
        <v>0</v>
      </c>
      <c r="I574" s="99">
        <f t="shared" si="271"/>
        <v>3.5425721388054923</v>
      </c>
      <c r="J574" s="76">
        <f t="shared" si="273"/>
        <v>17.512110642252672</v>
      </c>
      <c r="K574" s="116">
        <f t="shared" si="261"/>
        <v>21.054682781058165</v>
      </c>
      <c r="L574" s="76">
        <f t="shared" si="270"/>
        <v>121.1</v>
      </c>
      <c r="M574" s="117">
        <f t="shared" si="262"/>
        <v>142.15468278105817</v>
      </c>
      <c r="N574" s="8">
        <f t="shared" si="263"/>
        <v>1388.5804041691138</v>
      </c>
      <c r="O574" s="75">
        <f t="shared" si="264"/>
        <v>1246.4257213880555</v>
      </c>
    </row>
    <row r="575" spans="1:15" x14ac:dyDescent="0.25">
      <c r="A575" s="17" t="s">
        <v>62</v>
      </c>
      <c r="B575" s="72" t="str">
        <f t="shared" si="269"/>
        <v>Q2/2019</v>
      </c>
      <c r="C575" s="73">
        <f t="shared" si="267"/>
        <v>43556</v>
      </c>
      <c r="D575" s="73">
        <f t="shared" si="268"/>
        <v>43646</v>
      </c>
      <c r="E575" s="72">
        <f t="shared" si="265"/>
        <v>91</v>
      </c>
      <c r="F575" s="74">
        <f>VLOOKUP(D575,'FERC Interest Rate'!$A:$B,2,TRUE)</f>
        <v>5.45E-2</v>
      </c>
      <c r="G575" s="75">
        <f t="shared" si="266"/>
        <v>1246.4257213880555</v>
      </c>
      <c r="H575" s="75">
        <v>0</v>
      </c>
      <c r="I575" s="99">
        <f t="shared" si="271"/>
        <v>3.5425721388054923</v>
      </c>
      <c r="J575" s="76">
        <f t="shared" si="273"/>
        <v>16.936022918422086</v>
      </c>
      <c r="K575" s="116">
        <f t="shared" si="261"/>
        <v>20.478595057227579</v>
      </c>
      <c r="L575" s="76">
        <f t="shared" si="270"/>
        <v>121.1</v>
      </c>
      <c r="M575" s="117">
        <f t="shared" si="262"/>
        <v>141.57859505722757</v>
      </c>
      <c r="N575" s="8">
        <f t="shared" si="263"/>
        <v>1263.3617443064777</v>
      </c>
      <c r="O575" s="75">
        <f t="shared" si="264"/>
        <v>1121.7831492492501</v>
      </c>
    </row>
    <row r="576" spans="1:15" x14ac:dyDescent="0.25">
      <c r="A576" s="17" t="s">
        <v>63</v>
      </c>
      <c r="B576" s="72" t="str">
        <f t="shared" si="269"/>
        <v>Q3/2019</v>
      </c>
      <c r="C576" s="73">
        <f t="shared" si="267"/>
        <v>43647</v>
      </c>
      <c r="D576" s="73">
        <f t="shared" si="268"/>
        <v>43738</v>
      </c>
      <c r="E576" s="72">
        <f t="shared" si="265"/>
        <v>92</v>
      </c>
      <c r="F576" s="74">
        <f>VLOOKUP(D576,'FERC Interest Rate'!$A:$B,2,TRUE)</f>
        <v>5.5E-2</v>
      </c>
      <c r="G576" s="75">
        <f t="shared" si="266"/>
        <v>1121.7831492492501</v>
      </c>
      <c r="H576" s="75">
        <v>0</v>
      </c>
      <c r="I576" s="99">
        <f t="shared" si="271"/>
        <v>3.5425721388054923</v>
      </c>
      <c r="J576" s="76">
        <f t="shared" si="273"/>
        <v>15.55129516493481</v>
      </c>
      <c r="K576" s="116">
        <f t="shared" si="261"/>
        <v>19.093867303740303</v>
      </c>
      <c r="L576" s="76">
        <f t="shared" si="270"/>
        <v>121.1</v>
      </c>
      <c r="M576" s="117">
        <f t="shared" si="262"/>
        <v>140.19386730374029</v>
      </c>
      <c r="N576" s="8">
        <f t="shared" si="263"/>
        <v>1137.3344444141849</v>
      </c>
      <c r="O576" s="75">
        <f t="shared" si="264"/>
        <v>997.14057711044461</v>
      </c>
    </row>
    <row r="577" spans="1:15" x14ac:dyDescent="0.25">
      <c r="A577" s="17" t="s">
        <v>64</v>
      </c>
      <c r="B577" s="72" t="str">
        <f t="shared" si="269"/>
        <v>Q4/2019</v>
      </c>
      <c r="C577" s="73">
        <f t="shared" si="267"/>
        <v>43739</v>
      </c>
      <c r="D577" s="73">
        <f t="shared" si="268"/>
        <v>43830</v>
      </c>
      <c r="E577" s="72">
        <f t="shared" si="265"/>
        <v>92</v>
      </c>
      <c r="F577" s="74">
        <f>VLOOKUP(D577,'FERC Interest Rate'!$A:$B,2,TRUE)</f>
        <v>5.4199999999999998E-2</v>
      </c>
      <c r="G577" s="75">
        <f t="shared" si="266"/>
        <v>997.14057711044461</v>
      </c>
      <c r="H577" s="75">
        <v>0</v>
      </c>
      <c r="I577" s="99">
        <f t="shared" si="271"/>
        <v>3.5425721388054923</v>
      </c>
      <c r="J577" s="76">
        <f t="shared" si="273"/>
        <v>13.622306229324716</v>
      </c>
      <c r="K577" s="116">
        <f t="shared" si="261"/>
        <v>17.164878368130207</v>
      </c>
      <c r="L577" s="76">
        <f t="shared" si="270"/>
        <v>121.1</v>
      </c>
      <c r="M577" s="117">
        <f t="shared" si="262"/>
        <v>138.26487836813021</v>
      </c>
      <c r="N577" s="8">
        <f t="shared" si="263"/>
        <v>1010.7628833397694</v>
      </c>
      <c r="O577" s="75">
        <f t="shared" si="264"/>
        <v>872.49800497163915</v>
      </c>
    </row>
    <row r="578" spans="1:15" x14ac:dyDescent="0.25">
      <c r="A578" s="17" t="s">
        <v>65</v>
      </c>
      <c r="B578" s="72" t="str">
        <f t="shared" si="269"/>
        <v>Q1/2020</v>
      </c>
      <c r="C578" s="73">
        <f t="shared" si="267"/>
        <v>43831</v>
      </c>
      <c r="D578" s="73">
        <f t="shared" si="268"/>
        <v>43921</v>
      </c>
      <c r="E578" s="72">
        <f t="shared" si="265"/>
        <v>91</v>
      </c>
      <c r="F578" s="74">
        <f>VLOOKUP(D578,'FERC Interest Rate'!$A:$B,2,TRUE)</f>
        <v>4.9599999999999998E-2</v>
      </c>
      <c r="G578" s="75">
        <f t="shared" si="266"/>
        <v>872.49800497163915</v>
      </c>
      <c r="H578" s="75">
        <v>0</v>
      </c>
      <c r="I578" s="99">
        <f t="shared" si="271"/>
        <v>3.5425721388054923</v>
      </c>
      <c r="J578" s="76">
        <f t="shared" si="273"/>
        <v>10.759855178251339</v>
      </c>
      <c r="K578" s="116">
        <f t="shared" si="261"/>
        <v>14.302427317056832</v>
      </c>
      <c r="L578" s="76">
        <f t="shared" si="270"/>
        <v>121.1</v>
      </c>
      <c r="M578" s="117">
        <f t="shared" si="262"/>
        <v>135.40242731705683</v>
      </c>
      <c r="N578" s="8">
        <f t="shared" si="263"/>
        <v>883.25786014989046</v>
      </c>
      <c r="O578" s="75">
        <f t="shared" si="264"/>
        <v>747.85543283283369</v>
      </c>
    </row>
    <row r="579" spans="1:15" x14ac:dyDescent="0.25">
      <c r="A579" s="17" t="s">
        <v>66</v>
      </c>
      <c r="B579" s="72" t="str">
        <f t="shared" si="269"/>
        <v>Q2/2020</v>
      </c>
      <c r="C579" s="73">
        <f t="shared" si="267"/>
        <v>43922</v>
      </c>
      <c r="D579" s="73">
        <f t="shared" si="268"/>
        <v>44012</v>
      </c>
      <c r="E579" s="72">
        <f t="shared" si="265"/>
        <v>91</v>
      </c>
      <c r="F579" s="74">
        <f>VLOOKUP(D579,'FERC Interest Rate'!$A:$B,2,TRUE)</f>
        <v>4.7503500000000004E-2</v>
      </c>
      <c r="G579" s="75">
        <f t="shared" si="266"/>
        <v>747.85543283283369</v>
      </c>
      <c r="H579" s="75">
        <v>0</v>
      </c>
      <c r="I579" s="99">
        <f t="shared" si="271"/>
        <v>3.5425721388054923</v>
      </c>
      <c r="J579" s="76">
        <f t="shared" si="273"/>
        <v>8.8329051922821886</v>
      </c>
      <c r="K579" s="116">
        <f t="shared" si="261"/>
        <v>12.37547733108768</v>
      </c>
      <c r="L579" s="76">
        <f t="shared" si="270"/>
        <v>121.1</v>
      </c>
      <c r="M579" s="117">
        <f t="shared" si="262"/>
        <v>133.47547733108769</v>
      </c>
      <c r="N579" s="8">
        <f t="shared" si="263"/>
        <v>756.68833802511585</v>
      </c>
      <c r="O579" s="75">
        <f t="shared" si="264"/>
        <v>623.21286069402822</v>
      </c>
    </row>
    <row r="580" spans="1:15" x14ac:dyDescent="0.25">
      <c r="A580" s="17" t="s">
        <v>67</v>
      </c>
      <c r="B580" s="72" t="str">
        <f>+IF(MONTH(C580)&lt;4,"Q1",IF(MONTH(C580)&lt;7,"Q2",IF(MONTH(C580)&lt;10,"Q3","Q4")))&amp;"/"&amp;YEAR(C580)</f>
        <v>Q3/2020</v>
      </c>
      <c r="C580" s="73">
        <f t="shared" si="267"/>
        <v>44013</v>
      </c>
      <c r="D580" s="73">
        <f t="shared" si="268"/>
        <v>44104</v>
      </c>
      <c r="E580" s="72">
        <f t="shared" si="265"/>
        <v>92</v>
      </c>
      <c r="F580" s="74">
        <f>VLOOKUP(D580,'FERC Interest Rate'!$A:$B,2,TRUE)</f>
        <v>4.7507929999999997E-2</v>
      </c>
      <c r="G580" s="75">
        <f t="shared" si="266"/>
        <v>623.21286069402822</v>
      </c>
      <c r="H580" s="75">
        <v>0</v>
      </c>
      <c r="I580" s="99">
        <f t="shared" si="271"/>
        <v>3.5425721388054923</v>
      </c>
      <c r="J580" s="76">
        <f t="shared" si="273"/>
        <v>7.4423357169605229</v>
      </c>
      <c r="K580" s="116">
        <f t="shared" si="261"/>
        <v>10.984907855766014</v>
      </c>
      <c r="L580" s="76">
        <f t="shared" si="270"/>
        <v>121.1</v>
      </c>
      <c r="M580" s="117">
        <f t="shared" si="262"/>
        <v>132.08490785576601</v>
      </c>
      <c r="N580" s="8">
        <f t="shared" si="263"/>
        <v>630.65519641098876</v>
      </c>
      <c r="O580" s="75">
        <f t="shared" si="264"/>
        <v>498.5702885552227</v>
      </c>
    </row>
    <row r="581" spans="1:15" x14ac:dyDescent="0.25">
      <c r="A581" s="17" t="s">
        <v>68</v>
      </c>
      <c r="B581" s="72" t="str">
        <f>+IF(MONTH(C581)&lt;4,"Q1",IF(MONTH(C581)&lt;7,"Q2",IF(MONTH(C581)&lt;10,"Q3","Q4")))&amp;"/"&amp;YEAR(C581)</f>
        <v>Q4/2020</v>
      </c>
      <c r="C581" s="73">
        <f t="shared" si="267"/>
        <v>44105</v>
      </c>
      <c r="D581" s="73">
        <f t="shared" si="268"/>
        <v>44196</v>
      </c>
      <c r="E581" s="72">
        <f t="shared" si="265"/>
        <v>92</v>
      </c>
      <c r="F581" s="74">
        <f>VLOOKUP(D581,'FERC Interest Rate'!$A:$B,2,TRUE)</f>
        <v>4.7922320000000004E-2</v>
      </c>
      <c r="G581" s="75">
        <f t="shared" si="266"/>
        <v>498.5702885552227</v>
      </c>
      <c r="H581" s="75">
        <v>0</v>
      </c>
      <c r="I581" s="99">
        <f t="shared" si="271"/>
        <v>3.5425721388054923</v>
      </c>
      <c r="J581" s="76">
        <f t="shared" si="273"/>
        <v>6.0058014529466845</v>
      </c>
      <c r="K581" s="116">
        <f t="shared" si="261"/>
        <v>9.5483735917521777</v>
      </c>
      <c r="L581" s="76">
        <f t="shared" si="270"/>
        <v>121.1</v>
      </c>
      <c r="M581" s="117">
        <f t="shared" si="262"/>
        <v>130.64837359175218</v>
      </c>
      <c r="N581" s="8">
        <f t="shared" si="263"/>
        <v>504.57609000816939</v>
      </c>
      <c r="O581" s="75">
        <f t="shared" si="264"/>
        <v>373.92771641641724</v>
      </c>
    </row>
    <row r="582" spans="1:15" x14ac:dyDescent="0.25">
      <c r="A582" s="17" t="s">
        <v>69</v>
      </c>
      <c r="B582" s="72" t="str">
        <f>+IF(MONTH(C582)&lt;4,"Q1",IF(MONTH(C582)&lt;7,"Q2",IF(MONTH(C582)&lt;10,"Q3","Q4")))&amp;"/"&amp;YEAR(C582)</f>
        <v>Q1/2021</v>
      </c>
      <c r="C582" s="73">
        <f t="shared" si="267"/>
        <v>44197</v>
      </c>
      <c r="D582" s="73">
        <f t="shared" si="268"/>
        <v>44286</v>
      </c>
      <c r="E582" s="72">
        <f t="shared" si="265"/>
        <v>90</v>
      </c>
      <c r="F582" s="74">
        <f>VLOOKUP(D582,'FERC Interest Rate'!$A:$B,2,TRUE)</f>
        <v>5.0023470000000007E-2</v>
      </c>
      <c r="G582" s="75">
        <f t="shared" si="266"/>
        <v>373.92771641641724</v>
      </c>
      <c r="H582" s="75">
        <v>0</v>
      </c>
      <c r="I582" s="99">
        <f t="shared" si="271"/>
        <v>3.5425721388054923</v>
      </c>
      <c r="J582" s="76">
        <f t="shared" si="273"/>
        <v>4.6122317024363406</v>
      </c>
      <c r="K582" s="116">
        <f t="shared" si="261"/>
        <v>8.1548038412418329</v>
      </c>
      <c r="L582" s="76">
        <f t="shared" si="270"/>
        <v>121.1</v>
      </c>
      <c r="M582" s="117">
        <f t="shared" si="262"/>
        <v>129.25480384124182</v>
      </c>
      <c r="N582" s="8">
        <f t="shared" si="263"/>
        <v>378.5399481188536</v>
      </c>
      <c r="O582" s="75">
        <f t="shared" si="264"/>
        <v>249.28514427761175</v>
      </c>
    </row>
    <row r="583" spans="1:15" x14ac:dyDescent="0.25">
      <c r="A583" s="17" t="s">
        <v>70</v>
      </c>
      <c r="B583" s="72" t="str">
        <f>+IF(MONTH(C583)&lt;4,"Q1",IF(MONTH(C583)&lt;7,"Q2",IF(MONTH(C583)&lt;10,"Q3","Q4")))&amp;"/"&amp;YEAR(C583)</f>
        <v>Q2/2021</v>
      </c>
      <c r="C583" s="73">
        <f t="shared" si="267"/>
        <v>44287</v>
      </c>
      <c r="D583" s="73">
        <f t="shared" si="268"/>
        <v>44377</v>
      </c>
      <c r="E583" s="72">
        <f t="shared" si="265"/>
        <v>91</v>
      </c>
      <c r="F583" s="74">
        <f>VLOOKUP(D583,'FERC Interest Rate'!$A:$B,2,TRUE)</f>
        <v>5.0403730000000001E-2</v>
      </c>
      <c r="G583" s="75">
        <f t="shared" si="266"/>
        <v>249.28514427761175</v>
      </c>
      <c r="H583" s="75">
        <v>0</v>
      </c>
      <c r="I583" s="99">
        <f t="shared" si="271"/>
        <v>3.5425721388054923</v>
      </c>
      <c r="J583" s="76">
        <f t="shared" si="273"/>
        <v>3.1326191796475635</v>
      </c>
      <c r="K583" s="116">
        <f t="shared" si="261"/>
        <v>6.6751913184530558</v>
      </c>
      <c r="L583" s="76">
        <f t="shared" si="270"/>
        <v>121.1</v>
      </c>
      <c r="M583" s="117">
        <f t="shared" si="262"/>
        <v>127.77519131845305</v>
      </c>
      <c r="N583" s="8">
        <f t="shared" si="263"/>
        <v>252.41776345725933</v>
      </c>
      <c r="O583" s="75">
        <f t="shared" si="264"/>
        <v>124.64257213880626</v>
      </c>
    </row>
    <row r="584" spans="1:15" x14ac:dyDescent="0.25">
      <c r="A584" s="17" t="s">
        <v>71</v>
      </c>
      <c r="B584" s="72" t="str">
        <f>+IF(MONTH(C584)&lt;4,"Q1",IF(MONTH(C584)&lt;7,"Q2",IF(MONTH(C584)&lt;10,"Q3","Q4")))&amp;"/"&amp;YEAR(C584)</f>
        <v>Q3/2021</v>
      </c>
      <c r="C584" s="73">
        <f>D583+1</f>
        <v>44378</v>
      </c>
      <c r="D584" s="73">
        <f t="shared" si="268"/>
        <v>44469</v>
      </c>
      <c r="E584" s="72">
        <f>D584-C584+1</f>
        <v>92</v>
      </c>
      <c r="F584" s="74">
        <f>VLOOKUP(D584,'FERC Interest Rate'!$A:$B,2,TRUE)</f>
        <v>5.2520850000000001E-2</v>
      </c>
      <c r="G584" s="75">
        <f>O583</f>
        <v>124.64257213880626</v>
      </c>
      <c r="H584" s="75">
        <v>0</v>
      </c>
      <c r="I584" s="99">
        <f t="shared" si="271"/>
        <v>3.5425721388054923</v>
      </c>
      <c r="J584" s="76">
        <f>G584*F584*(E584/(DATE(YEAR(D584),12,31)-DATE(YEAR(D584),1,1)+1))</f>
        <v>1.6500348296227698</v>
      </c>
      <c r="K584" s="116">
        <f>+SUM(I584:J584)</f>
        <v>5.1926069684282616</v>
      </c>
      <c r="L584" s="76">
        <f t="shared" si="270"/>
        <v>121.1</v>
      </c>
      <c r="M584" s="117">
        <f>+SUM(K584:L584)</f>
        <v>126.29260696842826</v>
      </c>
      <c r="N584" s="8">
        <f>+G584+H584+J584</f>
        <v>126.29260696842903</v>
      </c>
      <c r="O584" s="75">
        <f>G584+H584-L584-I584</f>
        <v>7.7182704671940883E-13</v>
      </c>
    </row>
    <row r="585" spans="1:15" x14ac:dyDescent="0.25">
      <c r="A585" s="78"/>
      <c r="B585" s="72"/>
      <c r="C585" s="73"/>
      <c r="D585" s="73"/>
      <c r="E585" s="72"/>
      <c r="F585" s="74"/>
      <c r="G585" s="75"/>
      <c r="H585" s="75"/>
      <c r="I585" s="99"/>
      <c r="J585" s="76"/>
      <c r="K585" s="116"/>
      <c r="L585" s="76"/>
      <c r="M585" s="117"/>
      <c r="N585" s="8"/>
      <c r="O585" s="75"/>
    </row>
    <row r="586" spans="1:15" ht="13.5" thickBot="1" x14ac:dyDescent="0.35">
      <c r="A586" s="142"/>
      <c r="B586" s="143"/>
      <c r="C586" s="144"/>
      <c r="D586" s="144"/>
      <c r="E586" s="145"/>
      <c r="F586" s="143"/>
      <c r="G586" s="127">
        <f t="shared" ref="G586:O586" si="274">+SUM(G562:G585)</f>
        <v>33453.427180983221</v>
      </c>
      <c r="H586" s="127">
        <f t="shared" si="274"/>
        <v>70.851442776109849</v>
      </c>
      <c r="I586" s="128">
        <f t="shared" si="274"/>
        <v>70.851442776109835</v>
      </c>
      <c r="J586" s="127">
        <f t="shared" si="274"/>
        <v>266.45338530577988</v>
      </c>
      <c r="K586" s="127">
        <f t="shared" si="274"/>
        <v>337.3048280818897</v>
      </c>
      <c r="L586" s="127">
        <f t="shared" si="274"/>
        <v>2421.9999999999991</v>
      </c>
      <c r="M586" s="129">
        <f t="shared" si="274"/>
        <v>2759.3048280818894</v>
      </c>
      <c r="N586" s="127">
        <f t="shared" si="274"/>
        <v>33790.732009065105</v>
      </c>
      <c r="O586" s="127">
        <f t="shared" si="274"/>
        <v>31031.427180983221</v>
      </c>
    </row>
    <row r="587" spans="1:15" ht="13" thickTop="1" x14ac:dyDescent="0.25"/>
  </sheetData>
  <mergeCells count="18">
    <mergeCell ref="A562:B562"/>
    <mergeCell ref="A256:B256"/>
    <mergeCell ref="A288:B288"/>
    <mergeCell ref="A320:B320"/>
    <mergeCell ref="A352:B352"/>
    <mergeCell ref="A383:B383"/>
    <mergeCell ref="A414:B414"/>
    <mergeCell ref="Q31:V31"/>
    <mergeCell ref="A444:B444"/>
    <mergeCell ref="A474:B474"/>
    <mergeCell ref="A504:B504"/>
    <mergeCell ref="A533:B533"/>
    <mergeCell ref="A59:B59"/>
    <mergeCell ref="A93:B93"/>
    <mergeCell ref="A126:B126"/>
    <mergeCell ref="A159:B159"/>
    <mergeCell ref="A192:B192"/>
    <mergeCell ref="A224:B224"/>
  </mergeCells>
  <pageMargins left="0.25" right="0.25" top="0.75" bottom="0.75" header="0.3" footer="0.3"/>
  <pageSetup scale="60" fitToHeight="0" orientation="landscape" r:id="rId1"/>
  <headerFooter alignWithMargins="0">
    <oddHeader>&amp;RTO2021 Annual Update
Attachment 4
WP- Schedule 22 NUCs
Page &amp;P of &amp;N</oddHeader>
    <oddFooter>&amp;R&amp;A</oddFooter>
  </headerFooter>
  <rowBreaks count="1" manualBreakCount="1">
    <brk id="57"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R68"/>
  <sheetViews>
    <sheetView view="pageLayout" zoomScale="60" zoomScaleNormal="60" zoomScalePageLayoutView="6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41944</v>
      </c>
      <c r="C2" s="43">
        <v>3512</v>
      </c>
      <c r="D2" s="43">
        <v>0</v>
      </c>
      <c r="E2" s="43">
        <v>0</v>
      </c>
      <c r="F2" s="7">
        <f>SUM(C2:E2)</f>
        <v>3512</v>
      </c>
      <c r="G2"/>
      <c r="H2"/>
      <c r="I2"/>
      <c r="J2"/>
      <c r="K2"/>
      <c r="L2"/>
      <c r="M2"/>
    </row>
    <row r="3" spans="1:13" ht="12.75" customHeight="1" outlineLevel="1" x14ac:dyDescent="0.25">
      <c r="A3" s="216" t="s">
        <v>53</v>
      </c>
      <c r="B3" s="49">
        <v>41974</v>
      </c>
      <c r="C3" s="43">
        <v>4208</v>
      </c>
      <c r="D3" s="43">
        <v>0</v>
      </c>
      <c r="E3" s="43">
        <v>0</v>
      </c>
      <c r="F3" s="7">
        <f t="shared" ref="F3:F25" si="0">SUM(C3:E3)</f>
        <v>4208</v>
      </c>
      <c r="G3"/>
      <c r="H3"/>
      <c r="I3"/>
      <c r="J3"/>
      <c r="K3"/>
      <c r="L3"/>
      <c r="M3"/>
    </row>
    <row r="4" spans="1:13" outlineLevel="1" collapsed="1" x14ac:dyDescent="0.25">
      <c r="A4" s="216" t="s">
        <v>54</v>
      </c>
      <c r="B4" s="49">
        <v>42005</v>
      </c>
      <c r="C4" s="43">
        <v>5138</v>
      </c>
      <c r="D4" s="43">
        <v>0</v>
      </c>
      <c r="E4" s="43">
        <v>0</v>
      </c>
      <c r="F4" s="7">
        <f t="shared" si="0"/>
        <v>5138</v>
      </c>
      <c r="G4"/>
      <c r="H4"/>
      <c r="I4"/>
      <c r="J4"/>
      <c r="K4"/>
      <c r="L4"/>
      <c r="M4"/>
    </row>
    <row r="5" spans="1:13" outlineLevel="1" x14ac:dyDescent="0.25">
      <c r="A5" s="216" t="s">
        <v>55</v>
      </c>
      <c r="B5" s="49">
        <v>42036</v>
      </c>
      <c r="C5" s="43">
        <v>6125</v>
      </c>
      <c r="D5" s="43">
        <v>0</v>
      </c>
      <c r="E5" s="43">
        <v>0</v>
      </c>
      <c r="F5" s="7">
        <f t="shared" si="0"/>
        <v>6125</v>
      </c>
      <c r="G5"/>
      <c r="H5"/>
      <c r="I5"/>
      <c r="J5"/>
      <c r="K5"/>
      <c r="L5"/>
      <c r="M5"/>
    </row>
    <row r="6" spans="1:13" ht="12.75" customHeight="1" outlineLevel="1" x14ac:dyDescent="0.25">
      <c r="A6" s="216" t="s">
        <v>56</v>
      </c>
      <c r="B6" s="49">
        <v>42064</v>
      </c>
      <c r="C6" s="43">
        <v>7280</v>
      </c>
      <c r="D6" s="43">
        <v>0</v>
      </c>
      <c r="E6" s="43">
        <v>0</v>
      </c>
      <c r="F6" s="7">
        <f t="shared" si="0"/>
        <v>7280</v>
      </c>
      <c r="G6"/>
      <c r="H6"/>
      <c r="I6"/>
      <c r="J6"/>
      <c r="K6"/>
      <c r="L6"/>
      <c r="M6"/>
    </row>
    <row r="7" spans="1:13" outlineLevel="1" x14ac:dyDescent="0.25">
      <c r="A7" s="216" t="s">
        <v>57</v>
      </c>
      <c r="B7" s="49">
        <v>42095</v>
      </c>
      <c r="C7" s="43">
        <v>8621</v>
      </c>
      <c r="D7" s="43">
        <v>0</v>
      </c>
      <c r="E7" s="43">
        <v>0</v>
      </c>
      <c r="F7" s="7">
        <f t="shared" si="0"/>
        <v>8621</v>
      </c>
      <c r="G7"/>
      <c r="H7"/>
      <c r="I7"/>
      <c r="J7"/>
      <c r="K7"/>
      <c r="L7"/>
      <c r="M7"/>
    </row>
    <row r="8" spans="1:13" outlineLevel="1" x14ac:dyDescent="0.25">
      <c r="A8" s="216" t="s">
        <v>58</v>
      </c>
      <c r="B8" s="49">
        <v>42125</v>
      </c>
      <c r="C8" s="43">
        <v>10164</v>
      </c>
      <c r="D8" s="43">
        <v>0</v>
      </c>
      <c r="E8" s="43">
        <v>0</v>
      </c>
      <c r="F8" s="7">
        <f t="shared" si="0"/>
        <v>10164</v>
      </c>
      <c r="G8"/>
      <c r="H8"/>
      <c r="I8"/>
      <c r="J8"/>
      <c r="K8"/>
      <c r="L8"/>
      <c r="M8"/>
    </row>
    <row r="9" spans="1:13" outlineLevel="1" x14ac:dyDescent="0.25">
      <c r="A9" s="216" t="s">
        <v>59</v>
      </c>
      <c r="B9" s="49">
        <v>42156</v>
      </c>
      <c r="C9" s="43">
        <v>11920</v>
      </c>
      <c r="D9" s="43">
        <v>0</v>
      </c>
      <c r="E9" s="43">
        <v>0</v>
      </c>
      <c r="F9" s="7">
        <f t="shared" si="0"/>
        <v>11920</v>
      </c>
      <c r="G9"/>
      <c r="H9"/>
      <c r="I9"/>
      <c r="J9"/>
      <c r="K9"/>
      <c r="L9"/>
      <c r="M9"/>
    </row>
    <row r="10" spans="1:13" outlineLevel="1" x14ac:dyDescent="0.25">
      <c r="A10" s="216" t="s">
        <v>60</v>
      </c>
      <c r="B10" s="49">
        <v>42186</v>
      </c>
      <c r="C10" s="43">
        <v>13895</v>
      </c>
      <c r="D10" s="43">
        <v>0</v>
      </c>
      <c r="E10" s="43">
        <v>0</v>
      </c>
      <c r="F10" s="7">
        <f t="shared" si="0"/>
        <v>13895</v>
      </c>
      <c r="G10"/>
      <c r="H10"/>
      <c r="I10"/>
      <c r="J10"/>
      <c r="K10"/>
      <c r="L10"/>
      <c r="M10"/>
    </row>
    <row r="11" spans="1:13" outlineLevel="1" x14ac:dyDescent="0.25">
      <c r="A11" s="216" t="s">
        <v>61</v>
      </c>
      <c r="B11" s="49">
        <v>42217</v>
      </c>
      <c r="C11" s="43">
        <v>16082</v>
      </c>
      <c r="D11" s="43">
        <v>0</v>
      </c>
      <c r="E11" s="43">
        <v>0</v>
      </c>
      <c r="F11" s="7">
        <f t="shared" si="0"/>
        <v>16082</v>
      </c>
      <c r="G11"/>
      <c r="H11"/>
      <c r="I11"/>
      <c r="J11"/>
      <c r="K11"/>
      <c r="L11"/>
      <c r="M11"/>
    </row>
    <row r="12" spans="1:13" outlineLevel="1" collapsed="1" x14ac:dyDescent="0.25">
      <c r="A12" s="216" t="s">
        <v>62</v>
      </c>
      <c r="B12" s="49">
        <v>42248</v>
      </c>
      <c r="C12" s="43">
        <v>17686</v>
      </c>
      <c r="D12" s="43">
        <v>0</v>
      </c>
      <c r="E12" s="43">
        <v>0</v>
      </c>
      <c r="F12" s="7">
        <f t="shared" si="0"/>
        <v>17686</v>
      </c>
      <c r="G12"/>
      <c r="H12"/>
      <c r="I12"/>
      <c r="J12"/>
      <c r="K12"/>
      <c r="L12"/>
      <c r="M12"/>
    </row>
    <row r="13" spans="1:13" outlineLevel="1" x14ac:dyDescent="0.25">
      <c r="A13" s="216" t="s">
        <v>63</v>
      </c>
      <c r="B13" s="49">
        <v>42278</v>
      </c>
      <c r="C13" s="43">
        <v>26167</v>
      </c>
      <c r="D13" s="43">
        <v>0</v>
      </c>
      <c r="E13" s="43">
        <v>0</v>
      </c>
      <c r="F13" s="7">
        <f t="shared" si="0"/>
        <v>26167</v>
      </c>
      <c r="G13"/>
      <c r="H13"/>
      <c r="I13"/>
      <c r="J13"/>
      <c r="K13"/>
      <c r="L13"/>
      <c r="M13"/>
    </row>
    <row r="14" spans="1:13" outlineLevel="1" x14ac:dyDescent="0.25">
      <c r="A14" s="216" t="s">
        <v>64</v>
      </c>
      <c r="B14" s="49">
        <v>42309</v>
      </c>
      <c r="C14" s="43">
        <v>37351</v>
      </c>
      <c r="D14" s="43">
        <v>0</v>
      </c>
      <c r="E14" s="43">
        <v>0</v>
      </c>
      <c r="F14" s="7">
        <f t="shared" si="0"/>
        <v>37351</v>
      </c>
      <c r="G14"/>
      <c r="H14"/>
      <c r="I14"/>
      <c r="J14"/>
      <c r="K14"/>
      <c r="L14"/>
      <c r="M14"/>
    </row>
    <row r="15" spans="1:13" outlineLevel="1" x14ac:dyDescent="0.25">
      <c r="A15" s="216" t="s">
        <v>65</v>
      </c>
      <c r="B15" s="49">
        <v>42339</v>
      </c>
      <c r="C15" s="43">
        <v>50678</v>
      </c>
      <c r="D15" s="43">
        <v>0</v>
      </c>
      <c r="E15" s="43">
        <v>0</v>
      </c>
      <c r="F15" s="7">
        <f t="shared" si="0"/>
        <v>50678</v>
      </c>
      <c r="G15"/>
      <c r="H15"/>
      <c r="I15"/>
      <c r="J15"/>
      <c r="K15"/>
      <c r="L15"/>
      <c r="M15"/>
    </row>
    <row r="16" spans="1:13" outlineLevel="1" x14ac:dyDescent="0.25">
      <c r="A16" s="216" t="s">
        <v>66</v>
      </c>
      <c r="B16" s="49">
        <v>42370</v>
      </c>
      <c r="C16" s="43">
        <v>65034</v>
      </c>
      <c r="D16" s="43">
        <v>0</v>
      </c>
      <c r="E16" s="43">
        <v>0</v>
      </c>
      <c r="F16" s="7">
        <f t="shared" si="0"/>
        <v>65034</v>
      </c>
      <c r="G16"/>
      <c r="H16"/>
      <c r="I16"/>
      <c r="J16"/>
      <c r="K16"/>
      <c r="L16"/>
      <c r="M16"/>
    </row>
    <row r="17" spans="1:18" outlineLevel="1" x14ac:dyDescent="0.25">
      <c r="A17" s="216" t="s">
        <v>67</v>
      </c>
      <c r="B17" s="49">
        <v>42401</v>
      </c>
      <c r="C17" s="43">
        <v>75644</v>
      </c>
      <c r="D17" s="43">
        <v>0</v>
      </c>
      <c r="E17" s="43">
        <v>0</v>
      </c>
      <c r="F17" s="7">
        <f t="shared" si="0"/>
        <v>75644</v>
      </c>
      <c r="G17"/>
      <c r="H17"/>
      <c r="I17"/>
      <c r="J17"/>
      <c r="K17"/>
      <c r="L17"/>
      <c r="M17"/>
    </row>
    <row r="18" spans="1:18" outlineLevel="1" x14ac:dyDescent="0.25">
      <c r="A18" s="216" t="s">
        <v>68</v>
      </c>
      <c r="B18" s="49">
        <v>42430</v>
      </c>
      <c r="C18" s="43">
        <v>79685</v>
      </c>
      <c r="D18" s="43">
        <v>0</v>
      </c>
      <c r="E18" s="43">
        <v>0</v>
      </c>
      <c r="F18" s="7">
        <f t="shared" si="0"/>
        <v>79685</v>
      </c>
      <c r="G18"/>
      <c r="H18"/>
      <c r="I18"/>
      <c r="J18"/>
      <c r="K18"/>
      <c r="L18"/>
      <c r="M18"/>
    </row>
    <row r="19" spans="1:18" outlineLevel="1" x14ac:dyDescent="0.25">
      <c r="A19" s="216" t="s">
        <v>69</v>
      </c>
      <c r="B19" s="49">
        <v>42461</v>
      </c>
      <c r="C19" s="43">
        <v>75644</v>
      </c>
      <c r="D19" s="43">
        <v>0</v>
      </c>
      <c r="E19" s="43">
        <v>0</v>
      </c>
      <c r="F19" s="7">
        <f t="shared" si="0"/>
        <v>75644</v>
      </c>
      <c r="G19"/>
      <c r="H19"/>
      <c r="I19"/>
      <c r="J19"/>
      <c r="K19"/>
      <c r="L19"/>
      <c r="M19"/>
    </row>
    <row r="20" spans="1:18" outlineLevel="1" x14ac:dyDescent="0.25">
      <c r="A20" s="216" t="s">
        <v>70</v>
      </c>
      <c r="B20" s="49">
        <v>42491</v>
      </c>
      <c r="C20" s="43">
        <v>65034</v>
      </c>
      <c r="D20" s="43">
        <v>0</v>
      </c>
      <c r="E20" s="43">
        <v>0</v>
      </c>
      <c r="F20" s="7">
        <f t="shared" si="0"/>
        <v>65034</v>
      </c>
      <c r="G20"/>
      <c r="H20"/>
      <c r="I20"/>
      <c r="J20"/>
      <c r="K20"/>
      <c r="L20"/>
      <c r="M20"/>
    </row>
    <row r="21" spans="1:18" outlineLevel="1" x14ac:dyDescent="0.25">
      <c r="A21" s="216" t="s">
        <v>71</v>
      </c>
      <c r="B21" s="49">
        <v>42522</v>
      </c>
      <c r="C21" s="43">
        <v>51319</v>
      </c>
      <c r="D21" s="43">
        <v>0</v>
      </c>
      <c r="E21" s="43">
        <v>0</v>
      </c>
      <c r="F21" s="7">
        <f t="shared" si="0"/>
        <v>51319</v>
      </c>
      <c r="G21"/>
      <c r="H21"/>
      <c r="I21"/>
      <c r="J21"/>
      <c r="K21"/>
      <c r="L21"/>
      <c r="M21"/>
    </row>
    <row r="22" spans="1:18" outlineLevel="1" x14ac:dyDescent="0.25">
      <c r="A22" s="216" t="s">
        <v>74</v>
      </c>
      <c r="B22" s="49">
        <v>42552</v>
      </c>
      <c r="C22" s="43">
        <v>37823</v>
      </c>
      <c r="D22" s="43">
        <v>0</v>
      </c>
      <c r="E22" s="43">
        <v>0</v>
      </c>
      <c r="F22" s="7">
        <f t="shared" si="0"/>
        <v>37823</v>
      </c>
      <c r="G22"/>
      <c r="H22"/>
      <c r="I22"/>
      <c r="J22"/>
      <c r="K22"/>
      <c r="L22"/>
      <c r="M22"/>
    </row>
    <row r="23" spans="1:18" outlineLevel="1" x14ac:dyDescent="0.25">
      <c r="A23" s="216" t="s">
        <v>75</v>
      </c>
      <c r="B23" s="49">
        <v>42583</v>
      </c>
      <c r="C23" s="43">
        <v>26497</v>
      </c>
      <c r="D23" s="43">
        <v>0</v>
      </c>
      <c r="E23" s="43">
        <v>0</v>
      </c>
      <c r="F23" s="7">
        <f t="shared" si="0"/>
        <v>26497</v>
      </c>
      <c r="G23"/>
      <c r="H23"/>
      <c r="I23"/>
      <c r="J23"/>
      <c r="K23"/>
      <c r="L23"/>
      <c r="M23"/>
    </row>
    <row r="24" spans="1:18" outlineLevel="1" x14ac:dyDescent="0.25">
      <c r="A24" s="216" t="s">
        <v>76</v>
      </c>
      <c r="B24" s="49">
        <v>42614</v>
      </c>
      <c r="C24" s="43">
        <v>17909</v>
      </c>
      <c r="D24" s="43">
        <v>0</v>
      </c>
      <c r="E24" s="43">
        <v>0</v>
      </c>
      <c r="F24" s="7">
        <f t="shared" si="0"/>
        <v>17909</v>
      </c>
      <c r="G24"/>
      <c r="H24"/>
      <c r="I24"/>
      <c r="J24"/>
      <c r="K24"/>
      <c r="L24"/>
      <c r="M24"/>
    </row>
    <row r="25" spans="1:18" outlineLevel="1" x14ac:dyDescent="0.25">
      <c r="A25" s="216" t="s">
        <v>77</v>
      </c>
      <c r="B25" s="49">
        <v>42644</v>
      </c>
      <c r="C25" s="43">
        <v>11811</v>
      </c>
      <c r="D25" s="43">
        <v>0</v>
      </c>
      <c r="E25" s="43">
        <v>0</v>
      </c>
      <c r="F25" s="7">
        <f t="shared" si="0"/>
        <v>11811</v>
      </c>
      <c r="G25"/>
      <c r="H25"/>
      <c r="I25"/>
      <c r="J25"/>
      <c r="K25"/>
      <c r="L25"/>
      <c r="M25"/>
    </row>
    <row r="26" spans="1:18" ht="13.5" thickBot="1" x14ac:dyDescent="0.35">
      <c r="B26" s="46" t="s">
        <v>0</v>
      </c>
      <c r="C26" s="217">
        <f>SUM(C2:C25)</f>
        <v>725227</v>
      </c>
      <c r="D26" s="217">
        <f>SUM(D2:D25)</f>
        <v>0</v>
      </c>
      <c r="E26" s="217">
        <f>SUM(E2:E25)</f>
        <v>0</v>
      </c>
      <c r="F26" s="217">
        <f>SUM(F2:F25)</f>
        <v>725227</v>
      </c>
      <c r="G26"/>
      <c r="H26"/>
      <c r="I26"/>
      <c r="J26"/>
      <c r="K26"/>
      <c r="L26"/>
      <c r="M26"/>
    </row>
    <row r="27" spans="1:18" ht="13.5" thickTop="1" x14ac:dyDescent="0.3">
      <c r="A27" s="48" t="s">
        <v>18</v>
      </c>
      <c r="B27" s="50" t="s">
        <v>21</v>
      </c>
      <c r="C27" s="52">
        <v>0</v>
      </c>
      <c r="D27" s="52">
        <v>0</v>
      </c>
      <c r="E27" s="52">
        <v>0</v>
      </c>
      <c r="F27" s="52">
        <f>SUM(C27:E27)</f>
        <v>0</v>
      </c>
      <c r="H27" s="219"/>
      <c r="I27" s="220" t="s">
        <v>13</v>
      </c>
      <c r="J27" s="220" t="s">
        <v>12</v>
      </c>
      <c r="K27" s="221" t="s">
        <v>20</v>
      </c>
      <c r="L27" s="222"/>
      <c r="M27" s="223"/>
      <c r="Q27" s="224"/>
    </row>
    <row r="28" spans="1:18" ht="13" x14ac:dyDescent="0.3">
      <c r="A28" s="48" t="s">
        <v>19</v>
      </c>
      <c r="B28" s="50" t="s">
        <v>21</v>
      </c>
      <c r="C28" s="52">
        <v>0</v>
      </c>
      <c r="D28" s="52">
        <v>0</v>
      </c>
      <c r="E28" s="52">
        <v>0</v>
      </c>
      <c r="F28" s="52">
        <f>SUM(C28:E28)</f>
        <v>0</v>
      </c>
      <c r="H28" s="225" t="s">
        <v>10</v>
      </c>
      <c r="I28" s="226">
        <v>41518</v>
      </c>
      <c r="J28" s="227">
        <f>I28</f>
        <v>41518</v>
      </c>
      <c r="K28" s="228"/>
      <c r="L28" s="229"/>
      <c r="M28" s="230"/>
    </row>
    <row r="29" spans="1:18" ht="13.5" thickBot="1" x14ac:dyDescent="0.35">
      <c r="B29" s="46" t="s">
        <v>50</v>
      </c>
      <c r="C29" s="217">
        <f>+SUM(C26:C28)</f>
        <v>725227</v>
      </c>
      <c r="D29" s="217">
        <f>+SUM(D26:D28)</f>
        <v>0</v>
      </c>
      <c r="E29" s="217">
        <f>+SUM(E26:E28)</f>
        <v>0</v>
      </c>
      <c r="F29" s="217">
        <f>+SUM(F26:F28)</f>
        <v>725227</v>
      </c>
      <c r="H29" s="231" t="s">
        <v>16</v>
      </c>
      <c r="I29" s="232">
        <v>42614</v>
      </c>
      <c r="J29" s="233">
        <v>42735</v>
      </c>
      <c r="K29" s="234"/>
      <c r="L29" s="235"/>
      <c r="M29" s="236"/>
    </row>
    <row r="30" spans="1:18" ht="14" thickTop="1" thickBot="1" x14ac:dyDescent="0.35">
      <c r="B30" s="46"/>
      <c r="C30" s="51"/>
      <c r="D30" s="51"/>
      <c r="E30" s="51"/>
      <c r="F30" s="51"/>
      <c r="I30" s="52"/>
      <c r="J30" s="52"/>
      <c r="K30" s="52"/>
      <c r="L30" s="52"/>
      <c r="M30" s="52"/>
      <c r="N30" s="52"/>
      <c r="O30" s="52"/>
      <c r="P30" s="52"/>
      <c r="Q30" s="52"/>
      <c r="R30" s="52"/>
    </row>
    <row r="31" spans="1:18" ht="13" x14ac:dyDescent="0.3">
      <c r="B31" s="257"/>
      <c r="C31" s="53"/>
      <c r="D31" s="48"/>
      <c r="I31" s="237"/>
      <c r="J31" s="341" t="s">
        <v>2</v>
      </c>
      <c r="K31" s="341"/>
      <c r="L31" s="238" t="s">
        <v>52</v>
      </c>
      <c r="M31" s="239"/>
    </row>
    <row r="32" spans="1:18" ht="37" x14ac:dyDescent="0.3">
      <c r="A32" s="240" t="s">
        <v>51</v>
      </c>
      <c r="B32" s="240" t="s">
        <v>3</v>
      </c>
      <c r="C32" s="240" t="s">
        <v>4</v>
      </c>
      <c r="D32" s="240" t="s">
        <v>5</v>
      </c>
      <c r="E32" s="240" t="s">
        <v>6</v>
      </c>
      <c r="F32" s="240" t="s">
        <v>7</v>
      </c>
      <c r="G32" s="240" t="s">
        <v>78</v>
      </c>
      <c r="H32" s="240" t="s">
        <v>79</v>
      </c>
      <c r="I32" s="213" t="s">
        <v>80</v>
      </c>
      <c r="J32" s="214" t="s">
        <v>81</v>
      </c>
      <c r="K32" s="214" t="s">
        <v>82</v>
      </c>
      <c r="L32" s="214" t="s">
        <v>83</v>
      </c>
      <c r="M32" s="215" t="s">
        <v>73</v>
      </c>
      <c r="N32" s="240" t="s">
        <v>84</v>
      </c>
      <c r="O32" s="240" t="s">
        <v>85</v>
      </c>
    </row>
    <row r="33" spans="1:15" x14ac:dyDescent="0.25">
      <c r="A33" s="216" t="s">
        <v>21</v>
      </c>
      <c r="B33" s="241" t="str">
        <f t="shared" ref="B33:B64" si="1">+IF(MONTH(C33)&lt;4,"Q1",IF(MONTH(C33)&lt;7,"Q2",IF(MONTH(C33)&lt;10,"Q3","Q4")))&amp;"/"&amp;YEAR(C33)</f>
        <v>Q3/2013</v>
      </c>
      <c r="C33" s="242">
        <f>+J28</f>
        <v>41518</v>
      </c>
      <c r="D33" s="242">
        <f t="shared" ref="D33:D64" si="2">DATE(YEAR(C33),IF(MONTH(C33)&lt;=3,3,IF(MONTH(C33)&lt;=6,6,IF(MONTH(C33)&lt;=9,9,12))),IF(OR(MONTH(C33)&lt;=3,MONTH(C33)&gt;=10),31,30))</f>
        <v>41547</v>
      </c>
      <c r="E33" s="241">
        <f t="shared" ref="E33:E64" si="3">D33-C33+1</f>
        <v>30</v>
      </c>
      <c r="F33" s="74">
        <f>VLOOKUP(D33,'FERC Interest Rate'!$A:$B,2,TRUE)</f>
        <v>3.2500000000000001E-2</v>
      </c>
      <c r="G33" s="75">
        <f>+$C$29</f>
        <v>725227</v>
      </c>
      <c r="H33" s="75">
        <f>G33*F33*(E33/(DATE(YEAR(D33),12,31)-DATE(YEAR(D33),1,1)+1))</f>
        <v>1937.2502054794522</v>
      </c>
      <c r="I33" s="99">
        <v>0</v>
      </c>
      <c r="J33" s="57">
        <v>0</v>
      </c>
      <c r="K33" s="243">
        <f t="shared" ref="K33:K52" si="4">+SUM(I33:J33)</f>
        <v>0</v>
      </c>
      <c r="L33" s="57">
        <v>0</v>
      </c>
      <c r="M33" s="244">
        <v>0</v>
      </c>
      <c r="N33" s="52">
        <f t="shared" ref="N33:N64" si="5">+G33+H33+J33</f>
        <v>727164.25020547945</v>
      </c>
      <c r="O33" s="75">
        <f>+N33-M33</f>
        <v>727164.25020547945</v>
      </c>
    </row>
    <row r="34" spans="1:15" x14ac:dyDescent="0.25">
      <c r="A34" s="216" t="s">
        <v>21</v>
      </c>
      <c r="B34" s="241" t="str">
        <f t="shared" si="1"/>
        <v>Q4/2013</v>
      </c>
      <c r="C34" s="242">
        <f t="shared" ref="C34:C64" si="6">D33+1</f>
        <v>41548</v>
      </c>
      <c r="D34" s="242">
        <f t="shared" si="2"/>
        <v>41639</v>
      </c>
      <c r="E34" s="241">
        <f t="shared" si="3"/>
        <v>92</v>
      </c>
      <c r="F34" s="74">
        <f>VLOOKUP(D34,'FERC Interest Rate'!$A:$B,2,TRUE)</f>
        <v>3.2500000000000001E-2</v>
      </c>
      <c r="G34" s="75">
        <f>O33</f>
        <v>727164.25020547945</v>
      </c>
      <c r="H34" s="75">
        <f t="shared" ref="H34:H46" si="7">G34*F34*(E34/(DATE(YEAR(D34),12,31)-DATE(YEAR(D34),1,1)+1))</f>
        <v>5956.7701592174899</v>
      </c>
      <c r="I34" s="99">
        <v>0</v>
      </c>
      <c r="J34" s="57">
        <v>0</v>
      </c>
      <c r="K34" s="243">
        <f t="shared" si="4"/>
        <v>0</v>
      </c>
      <c r="L34" s="57">
        <v>0</v>
      </c>
      <c r="M34" s="244">
        <v>0</v>
      </c>
      <c r="N34" s="52">
        <f t="shared" si="5"/>
        <v>733121.02036469697</v>
      </c>
      <c r="O34" s="75">
        <f t="shared" ref="O34:O64" si="8">+N34-M34</f>
        <v>733121.02036469697</v>
      </c>
    </row>
    <row r="35" spans="1:15" x14ac:dyDescent="0.25">
      <c r="A35" s="216" t="s">
        <v>21</v>
      </c>
      <c r="B35" s="241" t="str">
        <f t="shared" si="1"/>
        <v>Q1/2014</v>
      </c>
      <c r="C35" s="242">
        <f t="shared" si="6"/>
        <v>41640</v>
      </c>
      <c r="D35" s="242">
        <f t="shared" si="2"/>
        <v>41729</v>
      </c>
      <c r="E35" s="241">
        <f t="shared" si="3"/>
        <v>90</v>
      </c>
      <c r="F35" s="74">
        <f>VLOOKUP(D35,'FERC Interest Rate'!$A:$B,2,TRUE)</f>
        <v>3.2500000000000001E-2</v>
      </c>
      <c r="G35" s="75">
        <f>O34</f>
        <v>733121.02036469697</v>
      </c>
      <c r="H35" s="75">
        <f t="shared" si="7"/>
        <v>5875.0109166212014</v>
      </c>
      <c r="I35" s="99">
        <v>0</v>
      </c>
      <c r="J35" s="57">
        <v>0</v>
      </c>
      <c r="K35" s="243">
        <f t="shared" si="4"/>
        <v>0</v>
      </c>
      <c r="L35" s="57">
        <v>0</v>
      </c>
      <c r="M35" s="244">
        <v>0</v>
      </c>
      <c r="N35" s="52">
        <f t="shared" si="5"/>
        <v>738996.03128131817</v>
      </c>
      <c r="O35" s="75">
        <f t="shared" si="8"/>
        <v>738996.03128131817</v>
      </c>
    </row>
    <row r="36" spans="1:15" x14ac:dyDescent="0.25">
      <c r="A36" s="216" t="s">
        <v>21</v>
      </c>
      <c r="B36" s="241" t="str">
        <f t="shared" si="1"/>
        <v>Q2/2014</v>
      </c>
      <c r="C36" s="242">
        <f t="shared" si="6"/>
        <v>41730</v>
      </c>
      <c r="D36" s="242">
        <f t="shared" si="2"/>
        <v>41820</v>
      </c>
      <c r="E36" s="241">
        <f t="shared" si="3"/>
        <v>91</v>
      </c>
      <c r="F36" s="74">
        <f>VLOOKUP(D36,'FERC Interest Rate'!$A:$B,2,TRUE)</f>
        <v>3.2500000000000001E-2</v>
      </c>
      <c r="G36" s="75">
        <f>O35</f>
        <v>738996.03128131817</v>
      </c>
      <c r="H36" s="75">
        <f t="shared" si="7"/>
        <v>5987.8925000397221</v>
      </c>
      <c r="I36" s="99">
        <v>0</v>
      </c>
      <c r="J36" s="57">
        <v>0</v>
      </c>
      <c r="K36" s="243">
        <f t="shared" si="4"/>
        <v>0</v>
      </c>
      <c r="L36" s="57">
        <v>0</v>
      </c>
      <c r="M36" s="244">
        <f t="shared" ref="M36:M52" si="9">+SUM(K36:L36)</f>
        <v>0</v>
      </c>
      <c r="N36" s="52">
        <f t="shared" si="5"/>
        <v>744983.92378135794</v>
      </c>
      <c r="O36" s="75">
        <f t="shared" si="8"/>
        <v>744983.92378135794</v>
      </c>
    </row>
    <row r="37" spans="1:15" x14ac:dyDescent="0.25">
      <c r="A37" s="216" t="s">
        <v>21</v>
      </c>
      <c r="B37" s="241" t="str">
        <f t="shared" si="1"/>
        <v>Q3/2014</v>
      </c>
      <c r="C37" s="242">
        <f t="shared" si="6"/>
        <v>41821</v>
      </c>
      <c r="D37" s="242">
        <f t="shared" si="2"/>
        <v>41912</v>
      </c>
      <c r="E37" s="241">
        <f t="shared" si="3"/>
        <v>92</v>
      </c>
      <c r="F37" s="74">
        <f>VLOOKUP(D37,'FERC Interest Rate'!$A:$B,2,TRUE)</f>
        <v>3.2500000000000001E-2</v>
      </c>
      <c r="G37" s="75">
        <f>O36</f>
        <v>744983.92378135794</v>
      </c>
      <c r="H37" s="75">
        <f t="shared" si="7"/>
        <v>6102.7450194692065</v>
      </c>
      <c r="I37" s="99">
        <v>0</v>
      </c>
      <c r="J37" s="57">
        <v>0</v>
      </c>
      <c r="K37" s="243">
        <f t="shared" si="4"/>
        <v>0</v>
      </c>
      <c r="L37" s="57">
        <v>0</v>
      </c>
      <c r="M37" s="244">
        <f t="shared" si="9"/>
        <v>0</v>
      </c>
      <c r="N37" s="52">
        <f t="shared" si="5"/>
        <v>751086.66880082712</v>
      </c>
      <c r="O37" s="75">
        <f t="shared" si="8"/>
        <v>751086.66880082712</v>
      </c>
    </row>
    <row r="38" spans="1:15" x14ac:dyDescent="0.25">
      <c r="A38" s="216" t="s">
        <v>21</v>
      </c>
      <c r="B38" s="241" t="str">
        <f t="shared" si="1"/>
        <v>Q4/2014</v>
      </c>
      <c r="C38" s="242">
        <f t="shared" si="6"/>
        <v>41913</v>
      </c>
      <c r="D38" s="242">
        <f t="shared" si="2"/>
        <v>42004</v>
      </c>
      <c r="E38" s="241">
        <f t="shared" si="3"/>
        <v>92</v>
      </c>
      <c r="F38" s="74">
        <f>VLOOKUP(D38,'FERC Interest Rate'!$A:$B,2,TRUE)</f>
        <v>3.2500000000000001E-2</v>
      </c>
      <c r="G38" s="75">
        <f t="shared" ref="G38:G64" si="10">O37</f>
        <v>751086.66880082712</v>
      </c>
      <c r="H38" s="75">
        <f t="shared" si="7"/>
        <v>6152.737369080749</v>
      </c>
      <c r="I38" s="99">
        <v>0</v>
      </c>
      <c r="J38" s="57">
        <v>0</v>
      </c>
      <c r="K38" s="243">
        <f t="shared" si="4"/>
        <v>0</v>
      </c>
      <c r="L38" s="57">
        <v>0</v>
      </c>
      <c r="M38" s="244">
        <f t="shared" si="9"/>
        <v>0</v>
      </c>
      <c r="N38" s="52">
        <f t="shared" si="5"/>
        <v>757239.40616990789</v>
      </c>
      <c r="O38" s="75">
        <f t="shared" si="8"/>
        <v>757239.40616990789</v>
      </c>
    </row>
    <row r="39" spans="1:15" x14ac:dyDescent="0.25">
      <c r="A39" s="216" t="s">
        <v>21</v>
      </c>
      <c r="B39" s="241" t="str">
        <f t="shared" si="1"/>
        <v>Q1/2015</v>
      </c>
      <c r="C39" s="242">
        <f t="shared" si="6"/>
        <v>42005</v>
      </c>
      <c r="D39" s="242">
        <f t="shared" si="2"/>
        <v>42094</v>
      </c>
      <c r="E39" s="241">
        <f t="shared" si="3"/>
        <v>90</v>
      </c>
      <c r="F39" s="74">
        <f>VLOOKUP(D39,'FERC Interest Rate'!$A:$B,2,TRUE)</f>
        <v>3.2500000000000001E-2</v>
      </c>
      <c r="G39" s="75">
        <f t="shared" si="10"/>
        <v>757239.40616990789</v>
      </c>
      <c r="H39" s="75">
        <f t="shared" si="7"/>
        <v>6068.2883919095357</v>
      </c>
      <c r="I39" s="99">
        <v>0</v>
      </c>
      <c r="J39" s="57">
        <v>0</v>
      </c>
      <c r="K39" s="243">
        <f t="shared" si="4"/>
        <v>0</v>
      </c>
      <c r="L39" s="57">
        <v>0</v>
      </c>
      <c r="M39" s="244">
        <f t="shared" si="9"/>
        <v>0</v>
      </c>
      <c r="N39" s="52">
        <f t="shared" si="5"/>
        <v>763307.69456181745</v>
      </c>
      <c r="O39" s="75">
        <f t="shared" si="8"/>
        <v>763307.69456181745</v>
      </c>
    </row>
    <row r="40" spans="1:15" x14ac:dyDescent="0.25">
      <c r="A40" s="216" t="s">
        <v>21</v>
      </c>
      <c r="B40" s="241" t="str">
        <f t="shared" si="1"/>
        <v>Q2/2015</v>
      </c>
      <c r="C40" s="242">
        <f t="shared" si="6"/>
        <v>42095</v>
      </c>
      <c r="D40" s="242">
        <f t="shared" si="2"/>
        <v>42185</v>
      </c>
      <c r="E40" s="241">
        <f t="shared" si="3"/>
        <v>91</v>
      </c>
      <c r="F40" s="74">
        <f>VLOOKUP(D40,'FERC Interest Rate'!$A:$B,2,TRUE)</f>
        <v>3.2500000000000001E-2</v>
      </c>
      <c r="G40" s="75">
        <f t="shared" si="10"/>
        <v>763307.69456181745</v>
      </c>
      <c r="H40" s="75">
        <f t="shared" si="7"/>
        <v>6184.8835799084254</v>
      </c>
      <c r="I40" s="99">
        <v>0</v>
      </c>
      <c r="J40" s="57">
        <v>0</v>
      </c>
      <c r="K40" s="243">
        <f t="shared" si="4"/>
        <v>0</v>
      </c>
      <c r="L40" s="57">
        <v>0</v>
      </c>
      <c r="M40" s="244">
        <f t="shared" si="9"/>
        <v>0</v>
      </c>
      <c r="N40" s="52">
        <f t="shared" si="5"/>
        <v>769492.57814172585</v>
      </c>
      <c r="O40" s="75">
        <f t="shared" si="8"/>
        <v>769492.57814172585</v>
      </c>
    </row>
    <row r="41" spans="1:15" x14ac:dyDescent="0.25">
      <c r="A41" s="216" t="s">
        <v>21</v>
      </c>
      <c r="B41" s="241" t="str">
        <f t="shared" si="1"/>
        <v>Q3/2015</v>
      </c>
      <c r="C41" s="242">
        <f t="shared" si="6"/>
        <v>42186</v>
      </c>
      <c r="D41" s="242">
        <f t="shared" si="2"/>
        <v>42277</v>
      </c>
      <c r="E41" s="241">
        <f t="shared" si="3"/>
        <v>92</v>
      </c>
      <c r="F41" s="74">
        <f>VLOOKUP(D41,'FERC Interest Rate'!$A:$B,2,TRUE)</f>
        <v>3.2500000000000001E-2</v>
      </c>
      <c r="G41" s="75">
        <f t="shared" si="10"/>
        <v>769492.57814172585</v>
      </c>
      <c r="H41" s="75">
        <f t="shared" si="7"/>
        <v>6303.5145442294806</v>
      </c>
      <c r="I41" s="99">
        <v>0</v>
      </c>
      <c r="J41" s="57">
        <v>0</v>
      </c>
      <c r="K41" s="243">
        <f t="shared" si="4"/>
        <v>0</v>
      </c>
      <c r="L41" s="57">
        <v>0</v>
      </c>
      <c r="M41" s="244">
        <f t="shared" si="9"/>
        <v>0</v>
      </c>
      <c r="N41" s="52">
        <f t="shared" si="5"/>
        <v>775796.09268595534</v>
      </c>
      <c r="O41" s="75">
        <f t="shared" si="8"/>
        <v>775796.09268595534</v>
      </c>
    </row>
    <row r="42" spans="1:15" x14ac:dyDescent="0.25">
      <c r="A42" s="216" t="s">
        <v>21</v>
      </c>
      <c r="B42" s="241" t="str">
        <f t="shared" si="1"/>
        <v>Q4/2015</v>
      </c>
      <c r="C42" s="242">
        <f t="shared" si="6"/>
        <v>42278</v>
      </c>
      <c r="D42" s="242">
        <f t="shared" si="2"/>
        <v>42369</v>
      </c>
      <c r="E42" s="241">
        <f t="shared" si="3"/>
        <v>92</v>
      </c>
      <c r="F42" s="74">
        <f>VLOOKUP(D42,'FERC Interest Rate'!$A:$B,2,TRUE)</f>
        <v>3.2500000000000001E-2</v>
      </c>
      <c r="G42" s="75">
        <f t="shared" si="10"/>
        <v>775796.09268595534</v>
      </c>
      <c r="H42" s="75">
        <f t="shared" si="7"/>
        <v>6355.1515537835794</v>
      </c>
      <c r="I42" s="99">
        <v>0</v>
      </c>
      <c r="J42" s="57">
        <v>0</v>
      </c>
      <c r="K42" s="243">
        <f t="shared" si="4"/>
        <v>0</v>
      </c>
      <c r="L42" s="57">
        <v>0</v>
      </c>
      <c r="M42" s="244">
        <f t="shared" si="9"/>
        <v>0</v>
      </c>
      <c r="N42" s="52">
        <f t="shared" si="5"/>
        <v>782151.24423973891</v>
      </c>
      <c r="O42" s="75">
        <f t="shared" si="8"/>
        <v>782151.24423973891</v>
      </c>
    </row>
    <row r="43" spans="1:15" x14ac:dyDescent="0.25">
      <c r="A43" s="216" t="s">
        <v>21</v>
      </c>
      <c r="B43" s="241" t="str">
        <f t="shared" si="1"/>
        <v>Q1/2016</v>
      </c>
      <c r="C43" s="242">
        <f t="shared" si="6"/>
        <v>42370</v>
      </c>
      <c r="D43" s="242">
        <f t="shared" si="2"/>
        <v>42460</v>
      </c>
      <c r="E43" s="241">
        <f t="shared" si="3"/>
        <v>91</v>
      </c>
      <c r="F43" s="74">
        <f>VLOOKUP(D43,'FERC Interest Rate'!$A:$B,2,TRUE)</f>
        <v>3.2500000000000001E-2</v>
      </c>
      <c r="G43" s="75">
        <f t="shared" si="10"/>
        <v>782151.24423973891</v>
      </c>
      <c r="H43" s="75">
        <f t="shared" si="7"/>
        <v>6320.2521990137375</v>
      </c>
      <c r="I43" s="99">
        <v>0</v>
      </c>
      <c r="J43" s="57">
        <v>0</v>
      </c>
      <c r="K43" s="243">
        <f t="shared" si="4"/>
        <v>0</v>
      </c>
      <c r="L43" s="57">
        <v>0</v>
      </c>
      <c r="M43" s="244">
        <f t="shared" si="9"/>
        <v>0</v>
      </c>
      <c r="N43" s="52">
        <f t="shared" si="5"/>
        <v>788471.49643875263</v>
      </c>
      <c r="O43" s="75">
        <f t="shared" si="8"/>
        <v>788471.49643875263</v>
      </c>
    </row>
    <row r="44" spans="1:15" x14ac:dyDescent="0.25">
      <c r="A44" s="216" t="s">
        <v>21</v>
      </c>
      <c r="B44" s="241" t="str">
        <f t="shared" si="1"/>
        <v>Q2/2016</v>
      </c>
      <c r="C44" s="242">
        <f t="shared" si="6"/>
        <v>42461</v>
      </c>
      <c r="D44" s="242">
        <f t="shared" si="2"/>
        <v>42551</v>
      </c>
      <c r="E44" s="241">
        <f t="shared" si="3"/>
        <v>91</v>
      </c>
      <c r="F44" s="74">
        <f>VLOOKUP(D44,'FERC Interest Rate'!$A:$B,2,TRUE)</f>
        <v>3.4599999999999999E-2</v>
      </c>
      <c r="G44" s="75">
        <f t="shared" si="10"/>
        <v>788471.49643875263</v>
      </c>
      <c r="H44" s="75">
        <f t="shared" si="7"/>
        <v>6783.0091630793886</v>
      </c>
      <c r="I44" s="99">
        <v>0</v>
      </c>
      <c r="J44" s="57">
        <v>0</v>
      </c>
      <c r="K44" s="243">
        <f t="shared" si="4"/>
        <v>0</v>
      </c>
      <c r="L44" s="57">
        <v>0</v>
      </c>
      <c r="M44" s="244">
        <f t="shared" si="9"/>
        <v>0</v>
      </c>
      <c r="N44" s="52">
        <f t="shared" si="5"/>
        <v>795254.50560183206</v>
      </c>
      <c r="O44" s="75">
        <f t="shared" si="8"/>
        <v>795254.50560183206</v>
      </c>
    </row>
    <row r="45" spans="1:15" x14ac:dyDescent="0.25">
      <c r="A45" s="48" t="s">
        <v>21</v>
      </c>
      <c r="B45" s="241" t="str">
        <f t="shared" si="1"/>
        <v>Q3/2016</v>
      </c>
      <c r="C45" s="242">
        <f t="shared" si="6"/>
        <v>42552</v>
      </c>
      <c r="D45" s="242">
        <f t="shared" si="2"/>
        <v>42643</v>
      </c>
      <c r="E45" s="241">
        <f t="shared" si="3"/>
        <v>92</v>
      </c>
      <c r="F45" s="74">
        <f>VLOOKUP(D45,'FERC Interest Rate'!$A:$B,2,TRUE)</f>
        <v>3.5000000000000003E-2</v>
      </c>
      <c r="G45" s="75">
        <f t="shared" si="10"/>
        <v>795254.50560183206</v>
      </c>
      <c r="H45" s="75">
        <f t="shared" si="7"/>
        <v>6996.5013880816923</v>
      </c>
      <c r="I45" s="99">
        <v>0</v>
      </c>
      <c r="J45" s="57">
        <v>0</v>
      </c>
      <c r="K45" s="243">
        <f t="shared" si="4"/>
        <v>0</v>
      </c>
      <c r="L45" s="57">
        <v>0</v>
      </c>
      <c r="M45" s="244">
        <f t="shared" si="9"/>
        <v>0</v>
      </c>
      <c r="N45" s="52">
        <f t="shared" si="5"/>
        <v>802251.00698991376</v>
      </c>
      <c r="O45" s="75">
        <f t="shared" si="8"/>
        <v>802251.00698991376</v>
      </c>
    </row>
    <row r="46" spans="1:15" x14ac:dyDescent="0.25">
      <c r="A46" s="48" t="s">
        <v>21</v>
      </c>
      <c r="B46" s="241" t="str">
        <f t="shared" si="1"/>
        <v>Q4/2016</v>
      </c>
      <c r="C46" s="242">
        <f t="shared" si="6"/>
        <v>42644</v>
      </c>
      <c r="D46" s="242">
        <f t="shared" si="2"/>
        <v>42735</v>
      </c>
      <c r="E46" s="241">
        <f t="shared" si="3"/>
        <v>92</v>
      </c>
      <c r="F46" s="74">
        <f>VLOOKUP(D46,'FERC Interest Rate'!$A:$B,2,TRUE)</f>
        <v>3.5000000000000003E-2</v>
      </c>
      <c r="G46" s="75">
        <f t="shared" si="10"/>
        <v>802251.00698991376</v>
      </c>
      <c r="H46" s="75">
        <f t="shared" si="7"/>
        <v>7058.0553073976025</v>
      </c>
      <c r="I46" s="99">
        <v>0</v>
      </c>
      <c r="J46" s="57">
        <v>0</v>
      </c>
      <c r="K46" s="243">
        <f t="shared" si="4"/>
        <v>0</v>
      </c>
      <c r="L46" s="57">
        <v>0</v>
      </c>
      <c r="M46" s="244">
        <f t="shared" si="9"/>
        <v>0</v>
      </c>
      <c r="N46" s="52">
        <f t="shared" si="5"/>
        <v>809309.06229731138</v>
      </c>
      <c r="O46" s="75">
        <f t="shared" si="8"/>
        <v>809309.06229731138</v>
      </c>
    </row>
    <row r="47" spans="1:15" x14ac:dyDescent="0.25">
      <c r="A47" s="48" t="s">
        <v>21</v>
      </c>
      <c r="B47" s="241" t="str">
        <f t="shared" si="1"/>
        <v>Q1/2017</v>
      </c>
      <c r="C47" s="242">
        <f t="shared" si="6"/>
        <v>42736</v>
      </c>
      <c r="D47" s="242">
        <f t="shared" si="2"/>
        <v>42825</v>
      </c>
      <c r="E47" s="241">
        <f t="shared" si="3"/>
        <v>90</v>
      </c>
      <c r="F47" s="74">
        <f>VLOOKUP(D47,'FERC Interest Rate'!$A:$B,2,TRUE)</f>
        <v>3.5000000000000003E-2</v>
      </c>
      <c r="G47" s="75">
        <f t="shared" si="10"/>
        <v>809309.06229731138</v>
      </c>
      <c r="H47" s="75">
        <v>0</v>
      </c>
      <c r="I47" s="99">
        <v>0</v>
      </c>
      <c r="J47" s="57">
        <v>0</v>
      </c>
      <c r="K47" s="243">
        <f t="shared" si="4"/>
        <v>0</v>
      </c>
      <c r="L47" s="57">
        <v>0</v>
      </c>
      <c r="M47" s="244">
        <f t="shared" si="9"/>
        <v>0</v>
      </c>
      <c r="N47" s="52">
        <f t="shared" si="5"/>
        <v>809309.06229731138</v>
      </c>
      <c r="O47" s="75">
        <f t="shared" si="8"/>
        <v>809309.06229731138</v>
      </c>
    </row>
    <row r="48" spans="1:15" x14ac:dyDescent="0.25">
      <c r="A48" s="48" t="s">
        <v>21</v>
      </c>
      <c r="B48" s="241" t="str">
        <f t="shared" si="1"/>
        <v>Q2/2017</v>
      </c>
      <c r="C48" s="242">
        <f t="shared" si="6"/>
        <v>42826</v>
      </c>
      <c r="D48" s="242">
        <f t="shared" si="2"/>
        <v>42916</v>
      </c>
      <c r="E48" s="241">
        <f t="shared" si="3"/>
        <v>91</v>
      </c>
      <c r="F48" s="74">
        <f>VLOOKUP(D48,'FERC Interest Rate'!$A:$B,2,TRUE)</f>
        <v>3.7100000000000001E-2</v>
      </c>
      <c r="G48" s="75">
        <f t="shared" si="10"/>
        <v>809309.06229731138</v>
      </c>
      <c r="H48" s="75">
        <v>0</v>
      </c>
      <c r="I48" s="99">
        <v>0</v>
      </c>
      <c r="J48" s="57">
        <v>0</v>
      </c>
      <c r="K48" s="243">
        <f t="shared" si="4"/>
        <v>0</v>
      </c>
      <c r="L48" s="57">
        <v>0</v>
      </c>
      <c r="M48" s="244">
        <f t="shared" si="9"/>
        <v>0</v>
      </c>
      <c r="N48" s="52">
        <f t="shared" si="5"/>
        <v>809309.06229731138</v>
      </c>
      <c r="O48" s="75">
        <f t="shared" si="8"/>
        <v>809309.06229731138</v>
      </c>
    </row>
    <row r="49" spans="1:15" x14ac:dyDescent="0.25">
      <c r="A49" s="216" t="s">
        <v>101</v>
      </c>
      <c r="B49" s="241" t="str">
        <f t="shared" si="1"/>
        <v>Q3/2017</v>
      </c>
      <c r="C49" s="242">
        <f>D48+1</f>
        <v>42917</v>
      </c>
      <c r="D49" s="242">
        <f t="shared" si="2"/>
        <v>43008</v>
      </c>
      <c r="E49" s="241">
        <f t="shared" si="3"/>
        <v>92</v>
      </c>
      <c r="F49" s="74">
        <f>VLOOKUP(D49,'FERC Interest Rate'!$A:$B,2,TRUE)</f>
        <v>3.9600000000000003E-2</v>
      </c>
      <c r="G49" s="75">
        <f>O48</f>
        <v>809309.06229731138</v>
      </c>
      <c r="H49" s="75">
        <v>0</v>
      </c>
      <c r="I49" s="99">
        <f>(SUM($H$33:$H$66)/20)*4</f>
        <v>16816.412459462255</v>
      </c>
      <c r="J49" s="57">
        <f t="shared" ref="J49:J64" si="11">G49*F49*(E49/(DATE(YEAR(D49),12,31)-DATE(YEAR(D49),1,1)+1))</f>
        <v>8078.013084278261</v>
      </c>
      <c r="K49" s="243">
        <f t="shared" si="4"/>
        <v>24894.425543740515</v>
      </c>
      <c r="L49" s="57">
        <f>+$G$33/20*4</f>
        <v>145045.4</v>
      </c>
      <c r="M49" s="244">
        <f t="shared" si="9"/>
        <v>169939.8255437405</v>
      </c>
      <c r="N49" s="52">
        <f t="shared" si="5"/>
        <v>817387.07538158959</v>
      </c>
      <c r="O49" s="75">
        <f t="shared" si="8"/>
        <v>647447.24983784906</v>
      </c>
    </row>
    <row r="50" spans="1:15" x14ac:dyDescent="0.25">
      <c r="A50" s="48" t="s">
        <v>56</v>
      </c>
      <c r="B50" s="241" t="str">
        <f t="shared" si="1"/>
        <v>Q4/2017</v>
      </c>
      <c r="C50" s="242">
        <f t="shared" si="6"/>
        <v>43009</v>
      </c>
      <c r="D50" s="242">
        <f t="shared" si="2"/>
        <v>43100</v>
      </c>
      <c r="E50" s="241">
        <f t="shared" si="3"/>
        <v>92</v>
      </c>
      <c r="F50" s="74">
        <f>VLOOKUP(D50,'FERC Interest Rate'!$A:$B,2,TRUE)</f>
        <v>4.2099999999999999E-2</v>
      </c>
      <c r="G50" s="75">
        <f t="shared" si="10"/>
        <v>647447.24983784906</v>
      </c>
      <c r="H50" s="75">
        <v>0</v>
      </c>
      <c r="I50" s="99">
        <f t="shared" ref="I50:I65" si="12">(SUM($H$33:$H$66)/20)</f>
        <v>4204.1031148655638</v>
      </c>
      <c r="J50" s="57">
        <f t="shared" si="11"/>
        <v>6870.3909262245397</v>
      </c>
      <c r="K50" s="243">
        <f t="shared" si="4"/>
        <v>11074.494041090104</v>
      </c>
      <c r="L50" s="57">
        <f t="shared" ref="L50:L65" si="13">+$G$33/20</f>
        <v>36261.35</v>
      </c>
      <c r="M50" s="244">
        <f t="shared" si="9"/>
        <v>47335.844041090102</v>
      </c>
      <c r="N50" s="52">
        <f t="shared" si="5"/>
        <v>654317.64076407359</v>
      </c>
      <c r="O50" s="75">
        <f t="shared" si="8"/>
        <v>606981.79672298348</v>
      </c>
    </row>
    <row r="51" spans="1:15" x14ac:dyDescent="0.25">
      <c r="A51" s="48" t="s">
        <v>57</v>
      </c>
      <c r="B51" s="241" t="str">
        <f t="shared" si="1"/>
        <v>Q1/2018</v>
      </c>
      <c r="C51" s="242">
        <f t="shared" si="6"/>
        <v>43101</v>
      </c>
      <c r="D51" s="242">
        <f t="shared" si="2"/>
        <v>43190</v>
      </c>
      <c r="E51" s="241">
        <f t="shared" si="3"/>
        <v>90</v>
      </c>
      <c r="F51" s="74">
        <f>VLOOKUP(D51,'FERC Interest Rate'!$A:$B,2,TRUE)</f>
        <v>4.2500000000000003E-2</v>
      </c>
      <c r="G51" s="75">
        <f t="shared" si="10"/>
        <v>606981.79672298348</v>
      </c>
      <c r="H51" s="75">
        <v>0</v>
      </c>
      <c r="I51" s="99">
        <f t="shared" si="12"/>
        <v>4204.1031148655638</v>
      </c>
      <c r="J51" s="57">
        <f t="shared" si="11"/>
        <v>6360.8366368915395</v>
      </c>
      <c r="K51" s="243">
        <f t="shared" si="4"/>
        <v>10564.939751757103</v>
      </c>
      <c r="L51" s="57">
        <f t="shared" si="13"/>
        <v>36261.35</v>
      </c>
      <c r="M51" s="244">
        <f t="shared" si="9"/>
        <v>46826.289751757104</v>
      </c>
      <c r="N51" s="52">
        <f t="shared" si="5"/>
        <v>613342.63335987506</v>
      </c>
      <c r="O51" s="75">
        <f t="shared" si="8"/>
        <v>566516.34360811801</v>
      </c>
    </row>
    <row r="52" spans="1:15" x14ac:dyDescent="0.25">
      <c r="A52" s="48" t="s">
        <v>58</v>
      </c>
      <c r="B52" s="241" t="str">
        <f t="shared" si="1"/>
        <v>Q2/2018</v>
      </c>
      <c r="C52" s="242">
        <f t="shared" si="6"/>
        <v>43191</v>
      </c>
      <c r="D52" s="242">
        <f t="shared" si="2"/>
        <v>43281</v>
      </c>
      <c r="E52" s="241">
        <f t="shared" si="3"/>
        <v>91</v>
      </c>
      <c r="F52" s="74">
        <f>VLOOKUP(D52,'FERC Interest Rate'!$A:$B,2,TRUE)</f>
        <v>4.4699999999999997E-2</v>
      </c>
      <c r="G52" s="75">
        <f t="shared" si="10"/>
        <v>566516.34360811801</v>
      </c>
      <c r="H52" s="75">
        <v>0</v>
      </c>
      <c r="I52" s="99">
        <f t="shared" si="12"/>
        <v>4204.1031148655638</v>
      </c>
      <c r="J52" s="57">
        <f t="shared" si="11"/>
        <v>6313.4754271088805</v>
      </c>
      <c r="K52" s="243">
        <f t="shared" si="4"/>
        <v>10517.578541974444</v>
      </c>
      <c r="L52" s="57">
        <f t="shared" si="13"/>
        <v>36261.35</v>
      </c>
      <c r="M52" s="244">
        <f t="shared" si="9"/>
        <v>46778.928541974441</v>
      </c>
      <c r="N52" s="52">
        <f t="shared" si="5"/>
        <v>572829.81903522694</v>
      </c>
      <c r="O52" s="75">
        <f t="shared" si="8"/>
        <v>526050.89049325255</v>
      </c>
    </row>
    <row r="53" spans="1:15" x14ac:dyDescent="0.25">
      <c r="A53" s="48" t="s">
        <v>59</v>
      </c>
      <c r="B53" s="241" t="str">
        <f t="shared" si="1"/>
        <v>Q3/2018</v>
      </c>
      <c r="C53" s="242">
        <f t="shared" si="6"/>
        <v>43282</v>
      </c>
      <c r="D53" s="242">
        <f t="shared" si="2"/>
        <v>43373</v>
      </c>
      <c r="E53" s="241">
        <f t="shared" si="3"/>
        <v>92</v>
      </c>
      <c r="F53" s="74">
        <f>VLOOKUP(D53,'FERC Interest Rate'!$A:$B,2,TRUE)</f>
        <v>4.6899999999999997E-2</v>
      </c>
      <c r="G53" s="75">
        <f t="shared" si="10"/>
        <v>526050.89049325255</v>
      </c>
      <c r="H53" s="75">
        <v>0</v>
      </c>
      <c r="I53" s="99">
        <f t="shared" si="12"/>
        <v>4204.1031148655638</v>
      </c>
      <c r="J53" s="57">
        <f t="shared" si="11"/>
        <v>6218.6421432884554</v>
      </c>
      <c r="K53" s="243">
        <f t="shared" ref="K53:K64" si="14">+SUM(I53:J53)</f>
        <v>10422.74525815402</v>
      </c>
      <c r="L53" s="57">
        <f t="shared" si="13"/>
        <v>36261.35</v>
      </c>
      <c r="M53" s="244">
        <f t="shared" ref="M53:M64" si="15">+SUM(K53:L53)</f>
        <v>46684.095258154019</v>
      </c>
      <c r="N53" s="52">
        <f t="shared" si="5"/>
        <v>532269.53263654106</v>
      </c>
      <c r="O53" s="75">
        <f t="shared" si="8"/>
        <v>485585.43737838703</v>
      </c>
    </row>
    <row r="54" spans="1:15" x14ac:dyDescent="0.25">
      <c r="A54" s="48" t="s">
        <v>60</v>
      </c>
      <c r="B54" s="241" t="str">
        <f t="shared" si="1"/>
        <v>Q4/2018</v>
      </c>
      <c r="C54" s="242">
        <f t="shared" si="6"/>
        <v>43374</v>
      </c>
      <c r="D54" s="242">
        <f t="shared" si="2"/>
        <v>43465</v>
      </c>
      <c r="E54" s="241">
        <f t="shared" si="3"/>
        <v>92</v>
      </c>
      <c r="F54" s="74">
        <f>VLOOKUP(D54,'FERC Interest Rate'!$A:$B,2,TRUE)</f>
        <v>4.9599999999999998E-2</v>
      </c>
      <c r="G54" s="75">
        <f t="shared" si="10"/>
        <v>485585.43737838703</v>
      </c>
      <c r="H54" s="75">
        <v>0</v>
      </c>
      <c r="I54" s="99">
        <f t="shared" si="12"/>
        <v>4204.1031148655638</v>
      </c>
      <c r="J54" s="57">
        <f t="shared" si="11"/>
        <v>6070.7492269727554</v>
      </c>
      <c r="K54" s="243">
        <f t="shared" si="14"/>
        <v>10274.852341838319</v>
      </c>
      <c r="L54" s="57">
        <f t="shared" si="13"/>
        <v>36261.35</v>
      </c>
      <c r="M54" s="244">
        <f t="shared" si="15"/>
        <v>46536.202341838318</v>
      </c>
      <c r="N54" s="52">
        <f t="shared" si="5"/>
        <v>491656.18660535978</v>
      </c>
      <c r="O54" s="75">
        <f t="shared" si="8"/>
        <v>445119.98426352144</v>
      </c>
    </row>
    <row r="55" spans="1:15" x14ac:dyDescent="0.25">
      <c r="A55" s="48" t="s">
        <v>61</v>
      </c>
      <c r="B55" s="241" t="str">
        <f t="shared" si="1"/>
        <v>Q1/2019</v>
      </c>
      <c r="C55" s="242">
        <f t="shared" si="6"/>
        <v>43466</v>
      </c>
      <c r="D55" s="242">
        <f t="shared" si="2"/>
        <v>43555</v>
      </c>
      <c r="E55" s="241">
        <f t="shared" si="3"/>
        <v>90</v>
      </c>
      <c r="F55" s="74">
        <f>VLOOKUP(D55,'FERC Interest Rate'!$A:$B,2,TRUE)</f>
        <v>5.1799999999999999E-2</v>
      </c>
      <c r="G55" s="75">
        <f t="shared" si="10"/>
        <v>445119.98426352144</v>
      </c>
      <c r="H55" s="75">
        <v>0</v>
      </c>
      <c r="I55" s="99">
        <f t="shared" si="12"/>
        <v>4204.1031148655638</v>
      </c>
      <c r="J55" s="57">
        <f t="shared" si="11"/>
        <v>5685.3407305110595</v>
      </c>
      <c r="K55" s="243">
        <f t="shared" si="14"/>
        <v>9889.4438453766234</v>
      </c>
      <c r="L55" s="57">
        <f t="shared" si="13"/>
        <v>36261.35</v>
      </c>
      <c r="M55" s="244">
        <f t="shared" si="15"/>
        <v>46150.793845376626</v>
      </c>
      <c r="N55" s="52">
        <f t="shared" si="5"/>
        <v>450805.3249940325</v>
      </c>
      <c r="O55" s="75">
        <f t="shared" si="8"/>
        <v>404654.53114865586</v>
      </c>
    </row>
    <row r="56" spans="1:15" x14ac:dyDescent="0.25">
      <c r="A56" s="48" t="s">
        <v>62</v>
      </c>
      <c r="B56" s="241" t="str">
        <f t="shared" si="1"/>
        <v>Q2/2019</v>
      </c>
      <c r="C56" s="242">
        <f t="shared" si="6"/>
        <v>43556</v>
      </c>
      <c r="D56" s="242">
        <f t="shared" si="2"/>
        <v>43646</v>
      </c>
      <c r="E56" s="241">
        <f t="shared" si="3"/>
        <v>91</v>
      </c>
      <c r="F56" s="74">
        <f>VLOOKUP(D56,'FERC Interest Rate'!$A:$B,2,TRUE)</f>
        <v>5.45E-2</v>
      </c>
      <c r="G56" s="75">
        <f t="shared" si="10"/>
        <v>404654.53114865586</v>
      </c>
      <c r="H56" s="75">
        <v>0</v>
      </c>
      <c r="I56" s="99">
        <f t="shared" si="12"/>
        <v>4204.1031148655638</v>
      </c>
      <c r="J56" s="57">
        <f t="shared" si="11"/>
        <v>5498.3127321418051</v>
      </c>
      <c r="K56" s="243">
        <f t="shared" si="14"/>
        <v>9702.4158470073689</v>
      </c>
      <c r="L56" s="57">
        <f t="shared" si="13"/>
        <v>36261.35</v>
      </c>
      <c r="M56" s="244">
        <f t="shared" si="15"/>
        <v>45963.765847007366</v>
      </c>
      <c r="N56" s="52">
        <f t="shared" si="5"/>
        <v>410152.84388079768</v>
      </c>
      <c r="O56" s="75">
        <f t="shared" si="8"/>
        <v>364189.07803379034</v>
      </c>
    </row>
    <row r="57" spans="1:15" x14ac:dyDescent="0.25">
      <c r="A57" s="48" t="s">
        <v>63</v>
      </c>
      <c r="B57" s="241" t="str">
        <f t="shared" si="1"/>
        <v>Q3/2019</v>
      </c>
      <c r="C57" s="242">
        <f t="shared" si="6"/>
        <v>43647</v>
      </c>
      <c r="D57" s="242">
        <f t="shared" si="2"/>
        <v>43738</v>
      </c>
      <c r="E57" s="241">
        <f t="shared" si="3"/>
        <v>92</v>
      </c>
      <c r="F57" s="74">
        <f>VLOOKUP(D57,'FERC Interest Rate'!$A:$B,2,TRUE)</f>
        <v>5.5E-2</v>
      </c>
      <c r="G57" s="75">
        <f t="shared" si="10"/>
        <v>364189.07803379034</v>
      </c>
      <c r="H57" s="75">
        <v>0</v>
      </c>
      <c r="I57" s="99">
        <f t="shared" si="12"/>
        <v>4204.1031148655638</v>
      </c>
      <c r="J57" s="57">
        <f t="shared" si="11"/>
        <v>5048.7581776739162</v>
      </c>
      <c r="K57" s="243">
        <f t="shared" si="14"/>
        <v>9252.8612925394809</v>
      </c>
      <c r="L57" s="57">
        <f t="shared" si="13"/>
        <v>36261.35</v>
      </c>
      <c r="M57" s="244">
        <f t="shared" si="15"/>
        <v>45514.211292539476</v>
      </c>
      <c r="N57" s="52">
        <f t="shared" si="5"/>
        <v>369237.83621146425</v>
      </c>
      <c r="O57" s="75">
        <f t="shared" si="8"/>
        <v>323723.62491892476</v>
      </c>
    </row>
    <row r="58" spans="1:15" x14ac:dyDescent="0.25">
      <c r="A58" s="48" t="s">
        <v>64</v>
      </c>
      <c r="B58" s="241" t="str">
        <f t="shared" si="1"/>
        <v>Q4/2019</v>
      </c>
      <c r="C58" s="242">
        <f t="shared" si="6"/>
        <v>43739</v>
      </c>
      <c r="D58" s="242">
        <f t="shared" si="2"/>
        <v>43830</v>
      </c>
      <c r="E58" s="241">
        <f t="shared" si="3"/>
        <v>92</v>
      </c>
      <c r="F58" s="74">
        <f>VLOOKUP(D58,'FERC Interest Rate'!$A:$B,2,TRUE)</f>
        <v>5.4199999999999998E-2</v>
      </c>
      <c r="G58" s="75">
        <f t="shared" si="10"/>
        <v>323723.62491892476</v>
      </c>
      <c r="H58" s="75">
        <v>0</v>
      </c>
      <c r="I58" s="99">
        <f t="shared" si="12"/>
        <v>4204.1031148655638</v>
      </c>
      <c r="J58" s="57">
        <f t="shared" si="11"/>
        <v>4422.5081734129499</v>
      </c>
      <c r="K58" s="243">
        <f t="shared" si="14"/>
        <v>8626.6112882785128</v>
      </c>
      <c r="L58" s="57">
        <f t="shared" si="13"/>
        <v>36261.35</v>
      </c>
      <c r="M58" s="244">
        <f t="shared" si="15"/>
        <v>44887.961288278515</v>
      </c>
      <c r="N58" s="52">
        <f t="shared" si="5"/>
        <v>328146.1330923377</v>
      </c>
      <c r="O58" s="75">
        <f t="shared" si="8"/>
        <v>283258.17180405918</v>
      </c>
    </row>
    <row r="59" spans="1:15" x14ac:dyDescent="0.25">
      <c r="A59" s="48" t="s">
        <v>65</v>
      </c>
      <c r="B59" s="241" t="str">
        <f t="shared" si="1"/>
        <v>Q1/2020</v>
      </c>
      <c r="C59" s="242">
        <f t="shared" si="6"/>
        <v>43831</v>
      </c>
      <c r="D59" s="242">
        <f t="shared" si="2"/>
        <v>43921</v>
      </c>
      <c r="E59" s="241">
        <f t="shared" si="3"/>
        <v>91</v>
      </c>
      <c r="F59" s="74">
        <f>VLOOKUP(D59,'FERC Interest Rate'!$A:$B,2,TRUE)</f>
        <v>4.9599999999999998E-2</v>
      </c>
      <c r="G59" s="75">
        <f t="shared" si="10"/>
        <v>283258.17180405918</v>
      </c>
      <c r="H59" s="75">
        <v>0</v>
      </c>
      <c r="I59" s="99">
        <f t="shared" si="12"/>
        <v>4204.1031148655638</v>
      </c>
      <c r="J59" s="57">
        <f t="shared" si="11"/>
        <v>3493.2078804775997</v>
      </c>
      <c r="K59" s="243">
        <f t="shared" si="14"/>
        <v>7697.3109953431631</v>
      </c>
      <c r="L59" s="57">
        <f t="shared" si="13"/>
        <v>36261.35</v>
      </c>
      <c r="M59" s="244">
        <f t="shared" si="15"/>
        <v>43958.660995343162</v>
      </c>
      <c r="N59" s="52">
        <f t="shared" si="5"/>
        <v>286751.37968453678</v>
      </c>
      <c r="O59" s="75">
        <f t="shared" si="8"/>
        <v>242792.7186891936</v>
      </c>
    </row>
    <row r="60" spans="1:15" x14ac:dyDescent="0.25">
      <c r="A60" s="48" t="s">
        <v>66</v>
      </c>
      <c r="B60" s="241" t="str">
        <f t="shared" si="1"/>
        <v>Q2/2020</v>
      </c>
      <c r="C60" s="242">
        <f t="shared" si="6"/>
        <v>43922</v>
      </c>
      <c r="D60" s="242">
        <f t="shared" si="2"/>
        <v>44012</v>
      </c>
      <c r="E60" s="241">
        <f t="shared" si="3"/>
        <v>91</v>
      </c>
      <c r="F60" s="74">
        <f>VLOOKUP(D60,'FERC Interest Rate'!$A:$B,2,TRUE)</f>
        <v>4.7503500000000004E-2</v>
      </c>
      <c r="G60" s="75">
        <f t="shared" si="10"/>
        <v>242792.7186891936</v>
      </c>
      <c r="H60" s="75">
        <v>0</v>
      </c>
      <c r="I60" s="99">
        <f t="shared" si="12"/>
        <v>4204.1031148655638</v>
      </c>
      <c r="J60" s="57">
        <f t="shared" si="11"/>
        <v>2867.6198251774367</v>
      </c>
      <c r="K60" s="243">
        <f t="shared" si="14"/>
        <v>7071.7229400430006</v>
      </c>
      <c r="L60" s="57">
        <f t="shared" si="13"/>
        <v>36261.35</v>
      </c>
      <c r="M60" s="244">
        <f t="shared" si="15"/>
        <v>43333.072940042999</v>
      </c>
      <c r="N60" s="52">
        <f t="shared" si="5"/>
        <v>245660.33851437105</v>
      </c>
      <c r="O60" s="75">
        <f t="shared" si="8"/>
        <v>202327.26557432805</v>
      </c>
    </row>
    <row r="61" spans="1:15" x14ac:dyDescent="0.25">
      <c r="A61" s="48" t="s">
        <v>67</v>
      </c>
      <c r="B61" s="241" t="str">
        <f t="shared" si="1"/>
        <v>Q3/2020</v>
      </c>
      <c r="C61" s="242">
        <f t="shared" si="6"/>
        <v>44013</v>
      </c>
      <c r="D61" s="242">
        <f t="shared" si="2"/>
        <v>44104</v>
      </c>
      <c r="E61" s="241">
        <f t="shared" si="3"/>
        <v>92</v>
      </c>
      <c r="F61" s="74">
        <f>VLOOKUP(D61,'FERC Interest Rate'!$A:$B,2,TRUE)</f>
        <v>4.7507929999999997E-2</v>
      </c>
      <c r="G61" s="75">
        <f t="shared" si="10"/>
        <v>202327.26557432805</v>
      </c>
      <c r="H61" s="75">
        <v>0</v>
      </c>
      <c r="I61" s="99">
        <f t="shared" si="12"/>
        <v>4204.1031148655638</v>
      </c>
      <c r="J61" s="57">
        <f t="shared" si="11"/>
        <v>2416.1687443707265</v>
      </c>
      <c r="K61" s="243">
        <f t="shared" si="14"/>
        <v>6620.2718592362908</v>
      </c>
      <c r="L61" s="57">
        <f t="shared" si="13"/>
        <v>36261.35</v>
      </c>
      <c r="M61" s="244">
        <f t="shared" si="15"/>
        <v>42881.621859236286</v>
      </c>
      <c r="N61" s="52">
        <f t="shared" si="5"/>
        <v>204743.43431869877</v>
      </c>
      <c r="O61" s="75">
        <f t="shared" si="8"/>
        <v>161861.8124594625</v>
      </c>
    </row>
    <row r="62" spans="1:15" x14ac:dyDescent="0.25">
      <c r="A62" s="48" t="s">
        <v>68</v>
      </c>
      <c r="B62" s="241" t="str">
        <f t="shared" si="1"/>
        <v>Q4/2020</v>
      </c>
      <c r="C62" s="242">
        <f t="shared" si="6"/>
        <v>44105</v>
      </c>
      <c r="D62" s="242">
        <f t="shared" si="2"/>
        <v>44196</v>
      </c>
      <c r="E62" s="241">
        <f t="shared" si="3"/>
        <v>92</v>
      </c>
      <c r="F62" s="74">
        <f>VLOOKUP(D62,'FERC Interest Rate'!$A:$B,2,TRUE)</f>
        <v>4.7922320000000004E-2</v>
      </c>
      <c r="G62" s="75">
        <f t="shared" si="10"/>
        <v>161861.8124594625</v>
      </c>
      <c r="H62" s="75">
        <v>0</v>
      </c>
      <c r="I62" s="99">
        <f t="shared" si="12"/>
        <v>4204.1031148655638</v>
      </c>
      <c r="J62" s="57">
        <f t="shared" si="11"/>
        <v>1949.7951056462737</v>
      </c>
      <c r="K62" s="243">
        <f t="shared" si="14"/>
        <v>6153.8982205118373</v>
      </c>
      <c r="L62" s="57">
        <f t="shared" si="13"/>
        <v>36261.35</v>
      </c>
      <c r="M62" s="244">
        <f t="shared" si="15"/>
        <v>42415.248220511836</v>
      </c>
      <c r="N62" s="52">
        <f t="shared" si="5"/>
        <v>163811.60756510877</v>
      </c>
      <c r="O62" s="75">
        <f t="shared" si="8"/>
        <v>121396.35934459695</v>
      </c>
    </row>
    <row r="63" spans="1:15" x14ac:dyDescent="0.25">
      <c r="A63" s="48" t="s">
        <v>69</v>
      </c>
      <c r="B63" s="241" t="str">
        <f t="shared" si="1"/>
        <v>Q1/2021</v>
      </c>
      <c r="C63" s="242">
        <f t="shared" si="6"/>
        <v>44197</v>
      </c>
      <c r="D63" s="242">
        <f t="shared" si="2"/>
        <v>44286</v>
      </c>
      <c r="E63" s="241">
        <f t="shared" si="3"/>
        <v>90</v>
      </c>
      <c r="F63" s="74">
        <f>VLOOKUP(D63,'FERC Interest Rate'!$A:$B,2,TRUE)</f>
        <v>5.0023470000000007E-2</v>
      </c>
      <c r="G63" s="75">
        <f t="shared" si="10"/>
        <v>121396.35934459695</v>
      </c>
      <c r="H63" s="75">
        <v>0</v>
      </c>
      <c r="I63" s="99">
        <f t="shared" si="12"/>
        <v>4204.1031148655638</v>
      </c>
      <c r="J63" s="57">
        <f t="shared" si="11"/>
        <v>1497.3699796726848</v>
      </c>
      <c r="K63" s="243">
        <f t="shared" si="14"/>
        <v>5701.4730945382489</v>
      </c>
      <c r="L63" s="57">
        <f t="shared" si="13"/>
        <v>36261.35</v>
      </c>
      <c r="M63" s="244">
        <f t="shared" si="15"/>
        <v>41962.823094538246</v>
      </c>
      <c r="N63" s="52">
        <f t="shared" si="5"/>
        <v>122893.72932426963</v>
      </c>
      <c r="O63" s="75">
        <f t="shared" si="8"/>
        <v>80930.906229731394</v>
      </c>
    </row>
    <row r="64" spans="1:15" x14ac:dyDescent="0.25">
      <c r="A64" s="48" t="s">
        <v>70</v>
      </c>
      <c r="B64" s="241" t="str">
        <f t="shared" si="1"/>
        <v>Q2/2021</v>
      </c>
      <c r="C64" s="242">
        <f t="shared" si="6"/>
        <v>44287</v>
      </c>
      <c r="D64" s="242">
        <f t="shared" si="2"/>
        <v>44377</v>
      </c>
      <c r="E64" s="241">
        <f t="shared" si="3"/>
        <v>91</v>
      </c>
      <c r="F64" s="74">
        <f>VLOOKUP(D64,'FERC Interest Rate'!$A:$B,2,TRUE)</f>
        <v>5.0403730000000001E-2</v>
      </c>
      <c r="G64" s="75">
        <f t="shared" si="10"/>
        <v>80930.906229731394</v>
      </c>
      <c r="H64" s="75">
        <v>0</v>
      </c>
      <c r="I64" s="99">
        <f t="shared" si="12"/>
        <v>4204.1031148655638</v>
      </c>
      <c r="J64" s="57">
        <f t="shared" si="11"/>
        <v>1017.0109005740867</v>
      </c>
      <c r="K64" s="243">
        <f t="shared" si="14"/>
        <v>5221.1140154396508</v>
      </c>
      <c r="L64" s="57">
        <f t="shared" si="13"/>
        <v>36261.35</v>
      </c>
      <c r="M64" s="244">
        <f t="shared" si="15"/>
        <v>41482.464015439647</v>
      </c>
      <c r="N64" s="52">
        <f t="shared" si="5"/>
        <v>81947.917130305475</v>
      </c>
      <c r="O64" s="75">
        <f t="shared" si="8"/>
        <v>40465.453114865828</v>
      </c>
    </row>
    <row r="65" spans="1:15" x14ac:dyDescent="0.25">
      <c r="A65" s="48" t="s">
        <v>71</v>
      </c>
      <c r="B65" s="241" t="str">
        <f>+IF(MONTH(C65)&lt;4,"Q1",IF(MONTH(C65)&lt;7,"Q2",IF(MONTH(C65)&lt;10,"Q3","Q4")))&amp;"/"&amp;YEAR(C65)</f>
        <v>Q3/2021</v>
      </c>
      <c r="C65" s="242">
        <f>D64+1</f>
        <v>44378</v>
      </c>
      <c r="D65" s="242">
        <f>DATE(YEAR(C65),IF(MONTH(C65)&lt;=3,3,IF(MONTH(C65)&lt;=6,6,IF(MONTH(C65)&lt;=9,9,12))),IF(OR(MONTH(C65)&lt;=3,MONTH(C65)&gt;=10),31,30))</f>
        <v>44469</v>
      </c>
      <c r="E65" s="241">
        <f>D65-C65+1</f>
        <v>92</v>
      </c>
      <c r="F65" s="74">
        <f>VLOOKUP(D65,'FERC Interest Rate'!$A:$B,2,TRUE)</f>
        <v>5.2520850000000001E-2</v>
      </c>
      <c r="G65" s="75">
        <f>O64</f>
        <v>40465.453114865828</v>
      </c>
      <c r="H65" s="75">
        <v>0</v>
      </c>
      <c r="I65" s="99">
        <f t="shared" si="12"/>
        <v>4204.1031148655638</v>
      </c>
      <c r="J65" s="57">
        <f>G65*F65*(E65/(DATE(YEAR(D65),12,31)-DATE(YEAR(D65),1,1)+1))</f>
        <v>535.68701199169016</v>
      </c>
      <c r="K65" s="243">
        <f>+SUM(I65:J65)</f>
        <v>4739.7901268572541</v>
      </c>
      <c r="L65" s="57">
        <f t="shared" si="13"/>
        <v>36261.35</v>
      </c>
      <c r="M65" s="244">
        <f>+SUM(K65:L65)</f>
        <v>41001.140126857252</v>
      </c>
      <c r="N65" s="52">
        <f>+G65+H65+J65</f>
        <v>41001.140126857521</v>
      </c>
      <c r="O65" s="75">
        <f>+N65-M65</f>
        <v>2.6921043172478676E-10</v>
      </c>
    </row>
    <row r="66" spans="1:15" x14ac:dyDescent="0.25">
      <c r="B66" s="54"/>
      <c r="C66" s="55"/>
      <c r="D66" s="55"/>
      <c r="E66" s="56"/>
      <c r="F66" s="54"/>
      <c r="G66" s="57"/>
      <c r="H66" s="59"/>
      <c r="I66" s="245"/>
      <c r="J66" s="57"/>
      <c r="K66" s="246"/>
      <c r="L66" s="58"/>
      <c r="M66" s="247"/>
      <c r="O66" s="57"/>
    </row>
    <row r="67" spans="1:15" ht="13.5" thickBot="1" x14ac:dyDescent="0.35">
      <c r="A67" s="218"/>
      <c r="B67" s="248"/>
      <c r="C67" s="249"/>
      <c r="D67" s="249"/>
      <c r="E67" s="250"/>
      <c r="F67" s="248"/>
      <c r="G67" s="251">
        <f>+SUM(G33:G66)</f>
        <v>18585771.729776978</v>
      </c>
      <c r="H67" s="251">
        <f>+SUM(H33:H66)</f>
        <v>84082.062297311277</v>
      </c>
      <c r="I67" s="252">
        <f t="shared" ref="I67:O67" si="16">+SUM(I33:I66)</f>
        <v>84082.062297311233</v>
      </c>
      <c r="J67" s="251">
        <f t="shared" si="16"/>
        <v>74343.886706414662</v>
      </c>
      <c r="K67" s="251">
        <f t="shared" si="16"/>
        <v>158425.94900372598</v>
      </c>
      <c r="L67" s="251">
        <f t="shared" si="16"/>
        <v>725226.99999999977</v>
      </c>
      <c r="M67" s="253">
        <f t="shared" si="16"/>
        <v>883652.94900372589</v>
      </c>
      <c r="N67" s="251">
        <f t="shared" si="16"/>
        <v>18744197.678780708</v>
      </c>
      <c r="O67" s="251">
        <f t="shared" si="16"/>
        <v>17860544.729776975</v>
      </c>
    </row>
    <row r="68" spans="1:15" ht="13.5" thickTop="1" thickBot="1" x14ac:dyDescent="0.3">
      <c r="H68" s="243"/>
      <c r="I68" s="254"/>
      <c r="J68" s="255"/>
      <c r="K68" s="255"/>
      <c r="L68" s="255"/>
      <c r="M68" s="256"/>
    </row>
  </sheetData>
  <mergeCells count="1">
    <mergeCell ref="J31:K31"/>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V256"/>
  <sheetViews>
    <sheetView view="pageLayout" zoomScale="60" zoomScaleNormal="50" zoomScalePageLayoutView="60" workbookViewId="0"/>
  </sheetViews>
  <sheetFormatPr defaultColWidth="9.1796875" defaultRowHeight="12.5" outlineLevelRow="2" x14ac:dyDescent="0.25"/>
  <cols>
    <col min="1" max="1" width="10.26953125" style="6" customWidth="1"/>
    <col min="2" max="2" width="13.54296875" style="6" customWidth="1"/>
    <col min="3" max="3" width="14.7265625" style="6" customWidth="1"/>
    <col min="4" max="4" width="13.54296875" style="6" customWidth="1"/>
    <col min="5" max="5" width="12.453125" style="6" customWidth="1"/>
    <col min="6" max="6" width="15.1796875" style="6" bestFit="1" customWidth="1"/>
    <col min="7" max="9" width="16.1796875" style="6" customWidth="1"/>
    <col min="10" max="10" width="17.26953125" style="6" bestFit="1" customWidth="1"/>
    <col min="11" max="11" width="16.1796875" style="6" customWidth="1"/>
    <col min="12" max="12" width="17.81640625" style="6" customWidth="1"/>
    <col min="13" max="14" width="16.1796875" style="6" customWidth="1"/>
    <col min="15" max="15" width="17.26953125" style="6" customWidth="1"/>
    <col min="16" max="16" width="3.453125" style="6" customWidth="1"/>
    <col min="17" max="17" width="10.7265625" style="6" bestFit="1" customWidth="1"/>
    <col min="18" max="18" width="9.54296875" style="6" bestFit="1" customWidth="1"/>
    <col min="19" max="20" width="10.81640625" style="6" customWidth="1"/>
    <col min="21" max="21" width="10.81640625" style="174" customWidth="1"/>
    <col min="22" max="22" width="12" style="174" bestFit="1" customWidth="1"/>
    <col min="23" max="16384" width="9.1796875" style="6"/>
  </cols>
  <sheetData>
    <row r="1" spans="1:19" ht="26" x14ac:dyDescent="0.3">
      <c r="A1" s="81" t="s">
        <v>8</v>
      </c>
      <c r="B1" s="82" t="s">
        <v>86</v>
      </c>
      <c r="C1" s="81" t="s">
        <v>2</v>
      </c>
      <c r="D1" s="81" t="s">
        <v>1</v>
      </c>
      <c r="E1" s="82" t="s">
        <v>72</v>
      </c>
      <c r="F1" s="82" t="s">
        <v>47</v>
      </c>
      <c r="G1"/>
      <c r="H1"/>
      <c r="I1"/>
      <c r="J1"/>
      <c r="K1"/>
      <c r="L1"/>
      <c r="M1"/>
      <c r="N1"/>
      <c r="O1"/>
      <c r="P1"/>
      <c r="Q1"/>
      <c r="R1"/>
      <c r="S1"/>
    </row>
    <row r="2" spans="1:19" ht="12.75" customHeight="1" x14ac:dyDescent="0.25">
      <c r="A2" s="78" t="s">
        <v>52</v>
      </c>
      <c r="B2" s="62">
        <v>41876</v>
      </c>
      <c r="C2" s="43">
        <v>122331</v>
      </c>
      <c r="D2" s="43">
        <v>0</v>
      </c>
      <c r="E2" s="43">
        <v>551.59</v>
      </c>
      <c r="F2" s="7">
        <f>SUM(C2:E2)</f>
        <v>122882.59</v>
      </c>
      <c r="G2"/>
      <c r="H2"/>
      <c r="I2"/>
      <c r="J2"/>
      <c r="K2"/>
      <c r="L2"/>
      <c r="M2"/>
      <c r="N2"/>
      <c r="O2"/>
      <c r="P2"/>
      <c r="Q2"/>
      <c r="R2"/>
      <c r="S2"/>
    </row>
    <row r="3" spans="1:19" ht="12.75" customHeight="1" outlineLevel="1" x14ac:dyDescent="0.25">
      <c r="A3" s="78" t="s">
        <v>53</v>
      </c>
      <c r="B3" s="62">
        <v>41934</v>
      </c>
      <c r="C3" s="43">
        <v>244833</v>
      </c>
      <c r="D3" s="43">
        <v>0</v>
      </c>
      <c r="E3" s="43">
        <v>1103.98</v>
      </c>
      <c r="F3" s="7">
        <f t="shared" ref="F3:F21" si="0">SUM(C3:E3)</f>
        <v>245936.98</v>
      </c>
      <c r="G3"/>
      <c r="H3"/>
      <c r="I3"/>
      <c r="J3"/>
      <c r="K3"/>
      <c r="L3"/>
      <c r="M3"/>
      <c r="N3"/>
      <c r="O3"/>
      <c r="P3"/>
      <c r="Q3"/>
      <c r="R3"/>
      <c r="S3"/>
    </row>
    <row r="4" spans="1:19" outlineLevel="1" x14ac:dyDescent="0.25">
      <c r="A4" s="78" t="s">
        <v>54</v>
      </c>
      <c r="B4" s="62">
        <v>42034</v>
      </c>
      <c r="C4" s="43">
        <v>438246</v>
      </c>
      <c r="D4" s="43">
        <v>0</v>
      </c>
      <c r="E4" s="43">
        <v>1975.7</v>
      </c>
      <c r="F4" s="7">
        <f t="shared" si="0"/>
        <v>440221.7</v>
      </c>
      <c r="G4"/>
      <c r="H4"/>
      <c r="I4"/>
      <c r="J4"/>
      <c r="K4"/>
      <c r="L4"/>
      <c r="M4"/>
      <c r="N4"/>
      <c r="O4"/>
      <c r="P4"/>
      <c r="Q4"/>
      <c r="R4"/>
      <c r="S4"/>
    </row>
    <row r="5" spans="1:19" outlineLevel="1" x14ac:dyDescent="0.25">
      <c r="A5" s="78" t="s">
        <v>55</v>
      </c>
      <c r="B5" s="62">
        <v>42124</v>
      </c>
      <c r="C5" s="43">
        <v>636964</v>
      </c>
      <c r="D5" s="43">
        <f>+D23-D2-D3-D4</f>
        <v>0</v>
      </c>
      <c r="E5" s="43">
        <v>2872.64</v>
      </c>
      <c r="F5" s="7">
        <f t="shared" si="0"/>
        <v>639836.64</v>
      </c>
      <c r="G5"/>
      <c r="H5"/>
      <c r="I5"/>
      <c r="J5"/>
      <c r="K5"/>
      <c r="L5"/>
      <c r="M5"/>
      <c r="N5"/>
      <c r="O5"/>
      <c r="P5"/>
      <c r="Q5"/>
      <c r="R5"/>
      <c r="S5"/>
    </row>
    <row r="6" spans="1:19" ht="12.75" customHeight="1" outlineLevel="1" x14ac:dyDescent="0.25">
      <c r="A6" s="78" t="s">
        <v>56</v>
      </c>
      <c r="B6" s="62">
        <v>42216</v>
      </c>
      <c r="C6" s="43">
        <v>704283</v>
      </c>
      <c r="D6" s="43">
        <v>0</v>
      </c>
      <c r="E6" s="43">
        <v>3176.08</v>
      </c>
      <c r="F6" s="7">
        <f t="shared" si="0"/>
        <v>707459.08</v>
      </c>
      <c r="G6"/>
      <c r="H6"/>
      <c r="I6"/>
      <c r="J6"/>
      <c r="K6"/>
      <c r="L6"/>
      <c r="M6"/>
      <c r="N6"/>
      <c r="O6"/>
      <c r="P6"/>
      <c r="Q6"/>
      <c r="R6"/>
      <c r="S6"/>
    </row>
    <row r="7" spans="1:19" outlineLevel="1" x14ac:dyDescent="0.25">
      <c r="A7" s="78" t="s">
        <v>57</v>
      </c>
      <c r="B7" s="62">
        <v>42320</v>
      </c>
      <c r="C7" s="43">
        <v>326703.73</v>
      </c>
      <c r="D7" s="43">
        <v>0</v>
      </c>
      <c r="E7" s="43">
        <v>1474.19</v>
      </c>
      <c r="F7" s="7">
        <f t="shared" si="0"/>
        <v>328177.91999999998</v>
      </c>
      <c r="G7"/>
      <c r="H7"/>
      <c r="I7"/>
      <c r="J7"/>
      <c r="K7"/>
      <c r="L7"/>
      <c r="M7"/>
      <c r="N7"/>
      <c r="O7"/>
      <c r="P7"/>
      <c r="Q7"/>
      <c r="R7"/>
      <c r="S7"/>
    </row>
    <row r="8" spans="1:19" outlineLevel="1" x14ac:dyDescent="0.25">
      <c r="A8" s="78" t="s">
        <v>58</v>
      </c>
      <c r="B8" s="62">
        <v>42401</v>
      </c>
      <c r="C8" s="43"/>
      <c r="D8" s="43"/>
      <c r="E8" s="43"/>
      <c r="F8" s="7">
        <f t="shared" si="0"/>
        <v>0</v>
      </c>
      <c r="G8"/>
      <c r="H8"/>
      <c r="I8"/>
      <c r="J8"/>
      <c r="K8"/>
      <c r="L8"/>
      <c r="M8"/>
      <c r="N8"/>
      <c r="O8"/>
      <c r="P8"/>
      <c r="Q8"/>
      <c r="R8"/>
      <c r="S8"/>
    </row>
    <row r="9" spans="1:19" outlineLevel="1" x14ac:dyDescent="0.25">
      <c r="A9" s="78" t="s">
        <v>59</v>
      </c>
      <c r="B9" s="62">
        <v>42491</v>
      </c>
      <c r="C9" s="43"/>
      <c r="D9" s="43"/>
      <c r="E9" s="43"/>
      <c r="F9" s="7">
        <f t="shared" si="0"/>
        <v>0</v>
      </c>
      <c r="G9"/>
      <c r="H9"/>
      <c r="I9"/>
      <c r="J9"/>
      <c r="K9"/>
      <c r="L9"/>
      <c r="M9"/>
      <c r="N9"/>
      <c r="O9"/>
      <c r="P9"/>
      <c r="Q9"/>
      <c r="R9"/>
      <c r="S9"/>
    </row>
    <row r="10" spans="1:19" outlineLevel="1" x14ac:dyDescent="0.25">
      <c r="A10" s="78" t="s">
        <v>60</v>
      </c>
      <c r="B10" s="62">
        <v>42583</v>
      </c>
      <c r="C10" s="43"/>
      <c r="D10" s="43"/>
      <c r="E10" s="43"/>
      <c r="F10" s="7">
        <f t="shared" si="0"/>
        <v>0</v>
      </c>
      <c r="G10"/>
      <c r="H10"/>
      <c r="I10"/>
      <c r="J10"/>
      <c r="K10"/>
      <c r="L10"/>
      <c r="M10"/>
      <c r="N10"/>
      <c r="O10"/>
      <c r="P10"/>
      <c r="Q10"/>
      <c r="R10"/>
      <c r="S10"/>
    </row>
    <row r="11" spans="1:19" outlineLevel="2" x14ac:dyDescent="0.25">
      <c r="A11" s="78" t="s">
        <v>61</v>
      </c>
      <c r="B11" s="18" t="s">
        <v>21</v>
      </c>
      <c r="C11" s="43">
        <v>0</v>
      </c>
      <c r="D11" s="43">
        <v>0</v>
      </c>
      <c r="E11" s="43">
        <v>0</v>
      </c>
      <c r="F11" s="7">
        <f t="shared" si="0"/>
        <v>0</v>
      </c>
      <c r="G11"/>
      <c r="H11"/>
      <c r="I11"/>
      <c r="J11"/>
      <c r="K11"/>
      <c r="L11"/>
      <c r="M11"/>
      <c r="N11"/>
      <c r="O11"/>
      <c r="P11"/>
      <c r="Q11"/>
      <c r="R11"/>
      <c r="S11"/>
    </row>
    <row r="12" spans="1:19" outlineLevel="2" x14ac:dyDescent="0.25">
      <c r="A12" s="78" t="s">
        <v>62</v>
      </c>
      <c r="B12" s="18" t="s">
        <v>21</v>
      </c>
      <c r="C12" s="43">
        <v>0</v>
      </c>
      <c r="D12" s="43">
        <v>0</v>
      </c>
      <c r="E12" s="43">
        <v>0</v>
      </c>
      <c r="F12" s="7">
        <f t="shared" si="0"/>
        <v>0</v>
      </c>
      <c r="G12"/>
      <c r="H12"/>
      <c r="I12"/>
      <c r="J12"/>
      <c r="K12"/>
      <c r="L12"/>
      <c r="M12"/>
      <c r="N12"/>
      <c r="O12"/>
      <c r="P12"/>
      <c r="Q12"/>
      <c r="R12"/>
      <c r="S12"/>
    </row>
    <row r="13" spans="1:19" outlineLevel="2" x14ac:dyDescent="0.25">
      <c r="A13" s="78" t="s">
        <v>63</v>
      </c>
      <c r="B13" s="18" t="s">
        <v>21</v>
      </c>
      <c r="C13" s="43">
        <v>0</v>
      </c>
      <c r="D13" s="43">
        <v>0</v>
      </c>
      <c r="E13" s="43">
        <v>0</v>
      </c>
      <c r="F13" s="7">
        <f t="shared" si="0"/>
        <v>0</v>
      </c>
      <c r="G13"/>
      <c r="H13"/>
      <c r="I13"/>
      <c r="J13"/>
      <c r="K13"/>
      <c r="L13"/>
      <c r="M13"/>
      <c r="N13"/>
      <c r="O13"/>
      <c r="P13"/>
      <c r="Q13"/>
      <c r="R13"/>
      <c r="S13"/>
    </row>
    <row r="14" spans="1:19" outlineLevel="2" x14ac:dyDescent="0.25">
      <c r="A14" s="78" t="s">
        <v>64</v>
      </c>
      <c r="B14" s="18" t="s">
        <v>21</v>
      </c>
      <c r="C14" s="43">
        <v>0</v>
      </c>
      <c r="D14" s="43">
        <v>0</v>
      </c>
      <c r="E14" s="43">
        <v>0</v>
      </c>
      <c r="F14" s="7">
        <f t="shared" si="0"/>
        <v>0</v>
      </c>
      <c r="G14"/>
      <c r="H14"/>
      <c r="I14"/>
      <c r="J14"/>
      <c r="K14"/>
      <c r="L14"/>
      <c r="M14"/>
      <c r="N14"/>
      <c r="O14"/>
      <c r="P14"/>
      <c r="Q14"/>
      <c r="R14"/>
      <c r="S14"/>
    </row>
    <row r="15" spans="1:19" outlineLevel="2" x14ac:dyDescent="0.25">
      <c r="A15" s="78" t="s">
        <v>65</v>
      </c>
      <c r="B15" s="18" t="s">
        <v>21</v>
      </c>
      <c r="C15" s="43">
        <v>0</v>
      </c>
      <c r="D15" s="43">
        <v>0</v>
      </c>
      <c r="E15" s="43">
        <v>0</v>
      </c>
      <c r="F15" s="7">
        <f t="shared" si="0"/>
        <v>0</v>
      </c>
      <c r="G15"/>
      <c r="H15"/>
      <c r="I15"/>
      <c r="J15"/>
      <c r="K15"/>
      <c r="L15"/>
      <c r="M15"/>
      <c r="N15"/>
      <c r="O15"/>
      <c r="P15"/>
      <c r="Q15"/>
      <c r="R15"/>
      <c r="S15"/>
    </row>
    <row r="16" spans="1:19" outlineLevel="2" x14ac:dyDescent="0.25">
      <c r="A16" s="78" t="s">
        <v>66</v>
      </c>
      <c r="B16" s="18" t="s">
        <v>21</v>
      </c>
      <c r="C16" s="43">
        <v>0</v>
      </c>
      <c r="D16" s="43">
        <v>0</v>
      </c>
      <c r="E16" s="43">
        <v>0</v>
      </c>
      <c r="F16" s="7">
        <f t="shared" si="0"/>
        <v>0</v>
      </c>
      <c r="G16"/>
      <c r="H16"/>
      <c r="I16"/>
      <c r="J16"/>
      <c r="K16"/>
      <c r="L16"/>
      <c r="M16"/>
      <c r="N16"/>
      <c r="O16"/>
      <c r="P16"/>
      <c r="Q16"/>
      <c r="R16"/>
      <c r="S16"/>
    </row>
    <row r="17" spans="1:19" outlineLevel="2" x14ac:dyDescent="0.25">
      <c r="A17" s="78" t="s">
        <v>67</v>
      </c>
      <c r="B17" s="18" t="s">
        <v>21</v>
      </c>
      <c r="C17" s="43">
        <v>0</v>
      </c>
      <c r="D17" s="43">
        <v>0</v>
      </c>
      <c r="E17" s="43">
        <v>0</v>
      </c>
      <c r="F17" s="7">
        <f t="shared" si="0"/>
        <v>0</v>
      </c>
      <c r="G17"/>
      <c r="H17"/>
      <c r="I17"/>
      <c r="J17"/>
      <c r="K17"/>
      <c r="L17"/>
      <c r="M17"/>
      <c r="N17"/>
      <c r="O17"/>
      <c r="P17"/>
      <c r="Q17"/>
      <c r="R17"/>
      <c r="S17"/>
    </row>
    <row r="18" spans="1:19" outlineLevel="2" x14ac:dyDescent="0.25">
      <c r="A18" s="78" t="s">
        <v>68</v>
      </c>
      <c r="B18" s="18" t="s">
        <v>21</v>
      </c>
      <c r="C18" s="43">
        <v>0</v>
      </c>
      <c r="D18" s="43">
        <v>0</v>
      </c>
      <c r="E18" s="43">
        <v>0</v>
      </c>
      <c r="F18" s="7">
        <f t="shared" si="0"/>
        <v>0</v>
      </c>
      <c r="G18"/>
      <c r="H18"/>
      <c r="I18"/>
      <c r="J18"/>
      <c r="K18"/>
      <c r="L18"/>
      <c r="M18"/>
      <c r="N18"/>
      <c r="O18"/>
      <c r="P18"/>
      <c r="Q18"/>
      <c r="R18"/>
      <c r="S18"/>
    </row>
    <row r="19" spans="1:19" outlineLevel="2" x14ac:dyDescent="0.25">
      <c r="A19" s="78" t="s">
        <v>69</v>
      </c>
      <c r="B19" s="18" t="s">
        <v>21</v>
      </c>
      <c r="C19" s="43">
        <v>0</v>
      </c>
      <c r="D19" s="43">
        <v>0</v>
      </c>
      <c r="E19" s="43">
        <v>0</v>
      </c>
      <c r="F19" s="7">
        <f t="shared" si="0"/>
        <v>0</v>
      </c>
      <c r="G19"/>
      <c r="H19"/>
      <c r="I19"/>
      <c r="J19"/>
      <c r="K19"/>
      <c r="L19"/>
      <c r="M19"/>
      <c r="N19"/>
      <c r="O19"/>
      <c r="P19"/>
      <c r="Q19"/>
      <c r="R19"/>
      <c r="S19"/>
    </row>
    <row r="20" spans="1:19" outlineLevel="2" x14ac:dyDescent="0.25">
      <c r="A20" s="78" t="s">
        <v>70</v>
      </c>
      <c r="B20" s="18" t="s">
        <v>21</v>
      </c>
      <c r="C20" s="43">
        <v>0</v>
      </c>
      <c r="D20" s="43">
        <v>0</v>
      </c>
      <c r="E20" s="43">
        <v>0</v>
      </c>
      <c r="F20" s="7">
        <f t="shared" si="0"/>
        <v>0</v>
      </c>
      <c r="G20"/>
      <c r="H20"/>
      <c r="I20"/>
      <c r="J20"/>
      <c r="K20"/>
      <c r="L20"/>
      <c r="M20"/>
      <c r="N20"/>
      <c r="O20"/>
      <c r="P20"/>
      <c r="Q20"/>
      <c r="R20"/>
      <c r="S20"/>
    </row>
    <row r="21" spans="1:19" outlineLevel="1" x14ac:dyDescent="0.25">
      <c r="A21" s="78" t="s">
        <v>71</v>
      </c>
      <c r="B21" s="18" t="s">
        <v>21</v>
      </c>
      <c r="C21" s="43">
        <v>0</v>
      </c>
      <c r="D21" s="43">
        <v>0</v>
      </c>
      <c r="E21" s="43">
        <v>0</v>
      </c>
      <c r="F21" s="7">
        <f t="shared" si="0"/>
        <v>0</v>
      </c>
      <c r="G21"/>
      <c r="H21"/>
      <c r="I21"/>
      <c r="J21"/>
      <c r="K21"/>
      <c r="L21"/>
      <c r="M21"/>
      <c r="N21"/>
      <c r="O21"/>
      <c r="P21"/>
      <c r="Q21"/>
      <c r="R21"/>
      <c r="S21"/>
    </row>
    <row r="22" spans="1:19" ht="13.5" thickBot="1" x14ac:dyDescent="0.35">
      <c r="B22" s="34" t="s">
        <v>0</v>
      </c>
      <c r="C22" s="65">
        <f>SUM(C2:C21)</f>
        <v>2473360.73</v>
      </c>
      <c r="D22" s="65">
        <f>SUM(D2:D21)</f>
        <v>0</v>
      </c>
      <c r="E22" s="65">
        <f>SUM(E2:E21)</f>
        <v>11154.18</v>
      </c>
      <c r="F22" s="65">
        <f>SUM(F2:F21)</f>
        <v>2484514.91</v>
      </c>
      <c r="G22"/>
      <c r="H22"/>
      <c r="I22"/>
      <c r="J22"/>
      <c r="K22"/>
      <c r="L22"/>
      <c r="M22"/>
      <c r="N22"/>
      <c r="O22"/>
      <c r="P22"/>
      <c r="Q22"/>
      <c r="R22"/>
      <c r="S22"/>
    </row>
    <row r="23" spans="1:19" ht="13.5" outlineLevel="1" thickTop="1" x14ac:dyDescent="0.3">
      <c r="B23" s="34" t="s">
        <v>126</v>
      </c>
      <c r="C23" s="178">
        <v>1030566.9696969697</v>
      </c>
      <c r="D23" s="178">
        <v>0</v>
      </c>
      <c r="E23" s="178">
        <v>4647.575757575758</v>
      </c>
      <c r="F23" s="178">
        <v>1035214.5454545455</v>
      </c>
      <c r="G23"/>
      <c r="H23"/>
      <c r="I23"/>
      <c r="J23"/>
      <c r="K23"/>
      <c r="L23"/>
      <c r="M23"/>
      <c r="N23"/>
      <c r="O23"/>
      <c r="P23"/>
      <c r="Q23"/>
      <c r="R23"/>
      <c r="S23"/>
    </row>
    <row r="24" spans="1:19" ht="13" outlineLevel="1" x14ac:dyDescent="0.3">
      <c r="B24" s="34" t="s">
        <v>127</v>
      </c>
      <c r="C24" s="178">
        <v>1442793.7575757576</v>
      </c>
      <c r="D24" s="178">
        <v>0</v>
      </c>
      <c r="E24" s="178">
        <v>6506.6060606060619</v>
      </c>
      <c r="F24" s="178">
        <v>1449300.3636363638</v>
      </c>
      <c r="G24" s="181"/>
      <c r="H24" s="181"/>
      <c r="I24" s="183"/>
      <c r="J24" s="182"/>
      <c r="K24" s="182"/>
      <c r="L24" s="182"/>
      <c r="M24" s="182"/>
      <c r="N24" s="182"/>
      <c r="O24" s="182"/>
      <c r="P24" s="182"/>
      <c r="Q24" s="182"/>
      <c r="R24" s="182"/>
      <c r="S24" s="182"/>
    </row>
    <row r="25" spans="1:19" ht="13" outlineLevel="1" x14ac:dyDescent="0.3">
      <c r="B25" s="34" t="s">
        <v>128</v>
      </c>
      <c r="C25" s="184">
        <v>927510.27272727271</v>
      </c>
      <c r="D25" s="184">
        <v>0</v>
      </c>
      <c r="E25" s="184">
        <v>4182.818181818182</v>
      </c>
      <c r="F25" s="184">
        <v>931693.09090909082</v>
      </c>
      <c r="G25" s="181"/>
      <c r="H25" s="181"/>
      <c r="I25" s="185"/>
      <c r="J25" s="182"/>
      <c r="K25" s="182"/>
      <c r="L25" s="182"/>
      <c r="M25" s="182"/>
      <c r="N25" s="182"/>
      <c r="O25" s="182"/>
      <c r="P25" s="182"/>
      <c r="Q25" s="182"/>
      <c r="R25" s="182"/>
      <c r="S25" s="182"/>
    </row>
    <row r="26" spans="1:19" ht="13.5" outlineLevel="1" thickBot="1" x14ac:dyDescent="0.35">
      <c r="B26" s="34"/>
      <c r="C26" s="109">
        <f>+SUM(C23:C25)</f>
        <v>3400871</v>
      </c>
      <c r="D26" s="109">
        <f>+SUM(D23:D25)</f>
        <v>0</v>
      </c>
      <c r="E26" s="109">
        <f>+SUM(E23:E25)</f>
        <v>15337.000000000002</v>
      </c>
      <c r="F26" s="109">
        <f>+SUM(F23:F25)</f>
        <v>3416208</v>
      </c>
      <c r="G26" s="181"/>
      <c r="H26" s="181"/>
      <c r="I26" s="185"/>
      <c r="J26" s="182"/>
      <c r="K26" s="182"/>
      <c r="L26" s="182"/>
      <c r="M26" s="182"/>
      <c r="N26" s="182"/>
      <c r="O26" s="182"/>
      <c r="P26" s="182"/>
      <c r="Q26" s="182"/>
      <c r="R26" s="182"/>
      <c r="S26" s="182"/>
    </row>
    <row r="27" spans="1:19" ht="13" outlineLevel="1" x14ac:dyDescent="0.3">
      <c r="A27" s="17" t="s">
        <v>18</v>
      </c>
      <c r="B27" s="18" t="s">
        <v>21</v>
      </c>
      <c r="C27" s="8">
        <v>0</v>
      </c>
      <c r="D27" s="8">
        <v>0</v>
      </c>
      <c r="E27" s="8">
        <v>0</v>
      </c>
      <c r="F27" s="8">
        <f>SUM(C27:E27)</f>
        <v>0</v>
      </c>
      <c r="H27" s="153"/>
      <c r="I27" s="149" t="s">
        <v>13</v>
      </c>
      <c r="J27" s="149" t="s">
        <v>12</v>
      </c>
      <c r="K27" s="149" t="s">
        <v>129</v>
      </c>
      <c r="L27" s="149" t="s">
        <v>130</v>
      </c>
      <c r="M27" s="186"/>
      <c r="Q27" s="187"/>
    </row>
    <row r="28" spans="1:19" ht="13" outlineLevel="1" x14ac:dyDescent="0.3">
      <c r="A28" s="17" t="s">
        <v>19</v>
      </c>
      <c r="B28" s="18" t="s">
        <v>21</v>
      </c>
      <c r="C28" s="8">
        <v>0</v>
      </c>
      <c r="D28" s="8">
        <v>0</v>
      </c>
      <c r="E28" s="8">
        <v>0</v>
      </c>
      <c r="F28" s="8">
        <f>SUM(C28:E28)</f>
        <v>0</v>
      </c>
      <c r="H28" s="147" t="s">
        <v>10</v>
      </c>
      <c r="I28" s="188">
        <v>42528</v>
      </c>
      <c r="J28" s="189">
        <f>I28</f>
        <v>42528</v>
      </c>
      <c r="K28" s="190"/>
      <c r="L28" s="190"/>
      <c r="M28" s="191"/>
    </row>
    <row r="29" spans="1:19" ht="13.5" outlineLevel="1" thickBot="1" x14ac:dyDescent="0.35">
      <c r="B29" s="34" t="s">
        <v>50</v>
      </c>
      <c r="C29" s="65">
        <f>+C22+C27+C28</f>
        <v>2473360.73</v>
      </c>
      <c r="D29" s="65">
        <f>+D22+D27+D28</f>
        <v>0</v>
      </c>
      <c r="E29" s="65">
        <f>+E22+E27+E28</f>
        <v>11154.18</v>
      </c>
      <c r="F29" s="65">
        <f>+F22+F27+F28</f>
        <v>2484514.91</v>
      </c>
      <c r="H29" s="147" t="s">
        <v>131</v>
      </c>
      <c r="I29" s="192">
        <v>42566</v>
      </c>
      <c r="J29" s="193">
        <v>42576</v>
      </c>
      <c r="K29" s="194">
        <v>100</v>
      </c>
      <c r="L29" s="194">
        <f>+K29/330</f>
        <v>0.30303030303030304</v>
      </c>
      <c r="M29" s="195">
        <f>+L29*$C$26</f>
        <v>1030566.9696969697</v>
      </c>
    </row>
    <row r="30" spans="1:19" ht="13.5" outlineLevel="1" thickTop="1" x14ac:dyDescent="0.3">
      <c r="B30" s="34"/>
      <c r="C30" s="178"/>
      <c r="D30" s="178"/>
      <c r="E30" s="178"/>
      <c r="F30" s="178"/>
      <c r="H30" s="147" t="s">
        <v>132</v>
      </c>
      <c r="I30" s="192">
        <v>42644</v>
      </c>
      <c r="J30" s="193">
        <v>42601</v>
      </c>
      <c r="K30" s="194">
        <v>140</v>
      </c>
      <c r="L30" s="194">
        <f>+K30/330</f>
        <v>0.42424242424242425</v>
      </c>
      <c r="M30" s="195">
        <f>+L30*$C$26</f>
        <v>1442793.7575757576</v>
      </c>
    </row>
    <row r="31" spans="1:19" ht="13.5" outlineLevel="1" thickBot="1" x14ac:dyDescent="0.35">
      <c r="B31" s="34"/>
      <c r="C31" s="178"/>
      <c r="D31" s="178"/>
      <c r="E31" s="178"/>
      <c r="F31" s="178"/>
      <c r="H31" s="148" t="s">
        <v>133</v>
      </c>
      <c r="I31" s="89">
        <v>42704</v>
      </c>
      <c r="J31" s="90">
        <v>42704</v>
      </c>
      <c r="K31" s="196">
        <v>90</v>
      </c>
      <c r="L31" s="196">
        <f>+K31/330</f>
        <v>0.27272727272727271</v>
      </c>
      <c r="M31" s="197">
        <f>+L31*$C$26</f>
        <v>927510.27272727271</v>
      </c>
    </row>
    <row r="32" spans="1:19" ht="13" x14ac:dyDescent="0.3">
      <c r="B32" s="34"/>
      <c r="C32" s="13"/>
      <c r="D32" s="13"/>
      <c r="E32" s="13"/>
      <c r="F32" s="13"/>
      <c r="I32" s="8"/>
      <c r="J32" s="8"/>
      <c r="K32" s="8"/>
      <c r="L32" s="8"/>
      <c r="M32" s="8"/>
      <c r="N32" s="8"/>
      <c r="O32" s="8"/>
      <c r="P32" s="8"/>
      <c r="Q32" s="8"/>
      <c r="R32" s="8"/>
      <c r="S32" s="8"/>
    </row>
    <row r="33" spans="1:22" ht="13.5" thickBot="1" x14ac:dyDescent="0.35">
      <c r="B33" s="34"/>
      <c r="C33" s="13"/>
      <c r="D33" s="13"/>
      <c r="E33" s="13"/>
      <c r="F33" s="13"/>
      <c r="I33" s="8"/>
      <c r="J33" s="8"/>
      <c r="K33" s="8"/>
      <c r="L33" s="8"/>
      <c r="M33" s="8"/>
      <c r="N33" s="8"/>
      <c r="O33" s="8"/>
      <c r="P33" s="8"/>
      <c r="Q33" s="8"/>
      <c r="R33" s="8"/>
      <c r="S33" s="8"/>
    </row>
    <row r="34" spans="1:22" ht="13" x14ac:dyDescent="0.3">
      <c r="B34" s="33"/>
      <c r="C34" s="5"/>
      <c r="D34" s="17"/>
      <c r="I34" s="198"/>
      <c r="J34" s="349" t="s">
        <v>2</v>
      </c>
      <c r="K34" s="349"/>
      <c r="L34" s="199"/>
      <c r="M34" s="200"/>
      <c r="Q34" s="346" t="s">
        <v>15</v>
      </c>
      <c r="R34" s="346"/>
      <c r="S34" s="346"/>
      <c r="T34" s="346"/>
      <c r="U34" s="346"/>
      <c r="V34" s="346"/>
    </row>
    <row r="35" spans="1:22" ht="39" x14ac:dyDescent="0.3">
      <c r="A35" s="77" t="s">
        <v>51</v>
      </c>
      <c r="B35" s="77" t="s">
        <v>3</v>
      </c>
      <c r="C35" s="77" t="s">
        <v>4</v>
      </c>
      <c r="D35" s="77" t="s">
        <v>5</v>
      </c>
      <c r="E35" s="77" t="s">
        <v>6</v>
      </c>
      <c r="F35" s="77" t="s">
        <v>7</v>
      </c>
      <c r="G35" s="77" t="s">
        <v>78</v>
      </c>
      <c r="H35" s="77" t="s">
        <v>79</v>
      </c>
      <c r="I35" s="94" t="s">
        <v>80</v>
      </c>
      <c r="J35" s="95" t="s">
        <v>81</v>
      </c>
      <c r="K35" s="95" t="s">
        <v>82</v>
      </c>
      <c r="L35" s="95" t="s">
        <v>83</v>
      </c>
      <c r="M35" s="96" t="s">
        <v>73</v>
      </c>
      <c r="N35" s="77" t="s">
        <v>84</v>
      </c>
      <c r="O35" s="77" t="s">
        <v>85</v>
      </c>
      <c r="Q35" s="260" t="s">
        <v>4</v>
      </c>
      <c r="R35" s="260" t="s">
        <v>5</v>
      </c>
      <c r="S35" s="95" t="s">
        <v>123</v>
      </c>
      <c r="T35" s="95" t="s">
        <v>121</v>
      </c>
      <c r="U35" s="95" t="s">
        <v>124</v>
      </c>
      <c r="V35" s="95" t="s">
        <v>122</v>
      </c>
    </row>
    <row r="36" spans="1:22" x14ac:dyDescent="0.25">
      <c r="A36" s="78" t="s">
        <v>21</v>
      </c>
      <c r="B36" s="72" t="str">
        <f t="shared" ref="B36:B56" si="1">+IF(MONTH(C36)&lt;4,"Q1",IF(MONTH(C36)&lt;7,"Q2",IF(MONTH(C36)&lt;10,"Q3","Q4")))&amp;"/"&amp;YEAR(C36)</f>
        <v>Q2/2016</v>
      </c>
      <c r="C36" s="73">
        <f>+J28</f>
        <v>42528</v>
      </c>
      <c r="D36" s="73">
        <f t="shared" ref="D36:D56" si="2">DATE(YEAR(C36),IF(MONTH(C36)&lt;=3,3,IF(MONTH(C36)&lt;=6,6,IF(MONTH(C36)&lt;=9,9,12))),IF(OR(MONTH(C36)&lt;=3,MONTH(C36)&gt;=10),31,30))</f>
        <v>42551</v>
      </c>
      <c r="E36" s="72">
        <f t="shared" ref="E36:E56" si="3">D36-C36+1</f>
        <v>24</v>
      </c>
      <c r="F36" s="74">
        <f>VLOOKUP(D36,'FERC Interest Rate'!$A:$B,2,TRUE)</f>
        <v>3.4599999999999999E-2</v>
      </c>
      <c r="G36" s="75">
        <f>+C22</f>
        <v>2473360.73</v>
      </c>
      <c r="H36" s="75">
        <f>G36*F36*(E36/(DATE(YEAR(D36),12,31)-DATE(YEAR(D36),1,1)+1))</f>
        <v>5611.6905742950821</v>
      </c>
      <c r="I36" s="99">
        <v>0</v>
      </c>
      <c r="J36" s="76">
        <v>0</v>
      </c>
      <c r="K36" s="116">
        <f t="shared" ref="K36:K55" si="4">+SUM(I36:J36)</f>
        <v>0</v>
      </c>
      <c r="L36" s="76">
        <v>0</v>
      </c>
      <c r="M36" s="117">
        <v>0</v>
      </c>
      <c r="N36" s="8">
        <f t="shared" ref="N36:N56" si="5">+G36+H36+J36</f>
        <v>2478972.4205742949</v>
      </c>
      <c r="O36" s="75">
        <f>+N36-M36</f>
        <v>2478972.4205742949</v>
      </c>
      <c r="Q36" s="73">
        <f>+C39</f>
        <v>42736</v>
      </c>
      <c r="R36" s="73">
        <f>DATE(YEAR(Q36),IF(MONTH(Q36)&lt;=3,3,IF(MONTH(Q36)&lt;=6,6,IF(MONTH(Q36)&lt;=9,9,12))),IF(OR(MONTH(Q36)&lt;=3,MONTH(Q36)&gt;=10),31,30))</f>
        <v>42825</v>
      </c>
      <c r="S36" s="76">
        <f t="shared" ref="S36:S55" si="6">+I74+I108+I141+I173+I204+I234</f>
        <v>36.954252912263364</v>
      </c>
      <c r="T36" s="76">
        <f t="shared" ref="T36:T55" si="7">+J74+J108+J141+J173+J204+J234</f>
        <v>0</v>
      </c>
      <c r="U36" s="76">
        <f t="shared" ref="U36:U55" si="8">+K74+K108+K141+K173+K204+K234</f>
        <v>36.954252912263364</v>
      </c>
      <c r="V36" s="76">
        <f t="shared" ref="V36:V55" si="9">+L74+L108+L141+L173+L204+L234</f>
        <v>557.70900000000006</v>
      </c>
    </row>
    <row r="37" spans="1:22" x14ac:dyDescent="0.25">
      <c r="A37" s="17" t="s">
        <v>21</v>
      </c>
      <c r="B37" s="72" t="str">
        <f t="shared" si="1"/>
        <v>Q3/2016</v>
      </c>
      <c r="C37" s="73">
        <f t="shared" ref="C37:C56" si="10">D36+1</f>
        <v>42552</v>
      </c>
      <c r="D37" s="73">
        <f t="shared" si="2"/>
        <v>42643</v>
      </c>
      <c r="E37" s="72">
        <f t="shared" si="3"/>
        <v>92</v>
      </c>
      <c r="F37" s="74">
        <f>VLOOKUP(D37,'FERC Interest Rate'!$A:$B,2,TRUE)</f>
        <v>3.5000000000000003E-2</v>
      </c>
      <c r="G37" s="75">
        <f>O36</f>
        <v>2478972.4205742949</v>
      </c>
      <c r="H37" s="75">
        <f>G37*F37*(E37/(DATE(YEAR(D37),12,31)-DATE(YEAR(D37),1,1)+1))</f>
        <v>21809.538782101721</v>
      </c>
      <c r="I37" s="99">
        <v>0</v>
      </c>
      <c r="J37" s="76">
        <v>0</v>
      </c>
      <c r="K37" s="116">
        <f t="shared" si="4"/>
        <v>0</v>
      </c>
      <c r="L37" s="76">
        <v>0</v>
      </c>
      <c r="M37" s="117">
        <f>+SUM(K37:L37)</f>
        <v>0</v>
      </c>
      <c r="N37" s="8">
        <f t="shared" si="5"/>
        <v>2500781.9593563965</v>
      </c>
      <c r="O37" s="75">
        <f t="shared" ref="O37:O56" si="11">+N37-M37</f>
        <v>2500781.9593563965</v>
      </c>
      <c r="Q37" s="73">
        <f>R36+1</f>
        <v>42826</v>
      </c>
      <c r="R37" s="73">
        <f>EOMONTH(R36,3)</f>
        <v>42916</v>
      </c>
      <c r="S37" s="76">
        <f t="shared" si="6"/>
        <v>36.954252912263364</v>
      </c>
      <c r="T37" s="76">
        <f t="shared" si="7"/>
        <v>104.50742343831442</v>
      </c>
      <c r="U37" s="76">
        <f t="shared" si="8"/>
        <v>141.46167635057776</v>
      </c>
      <c r="V37" s="76">
        <f t="shared" si="9"/>
        <v>557.70900000000006</v>
      </c>
    </row>
    <row r="38" spans="1:22" x14ac:dyDescent="0.25">
      <c r="A38" s="17" t="s">
        <v>21</v>
      </c>
      <c r="B38" s="72" t="str">
        <f t="shared" si="1"/>
        <v>Q4/2016</v>
      </c>
      <c r="C38" s="73">
        <f t="shared" si="10"/>
        <v>42644</v>
      </c>
      <c r="D38" s="73">
        <f t="shared" si="2"/>
        <v>42735</v>
      </c>
      <c r="E38" s="72">
        <f t="shared" si="3"/>
        <v>92</v>
      </c>
      <c r="F38" s="74">
        <f>VLOOKUP(D38,'FERC Interest Rate'!$A:$B,2,TRUE)</f>
        <v>3.5000000000000003E-2</v>
      </c>
      <c r="G38" s="75">
        <f>O37</f>
        <v>2500781.9593563965</v>
      </c>
      <c r="H38" s="75">
        <f>G38*F38*(E38/(DATE(YEAR(D38),12,31)-DATE(YEAR(D38),1,1)+1))</f>
        <v>22001.415052261196</v>
      </c>
      <c r="I38" s="99">
        <v>0</v>
      </c>
      <c r="J38" s="76">
        <v>0</v>
      </c>
      <c r="K38" s="116">
        <f t="shared" si="4"/>
        <v>0</v>
      </c>
      <c r="L38" s="76">
        <v>0</v>
      </c>
      <c r="M38" s="117">
        <f>+SUM(K38:L38)</f>
        <v>0</v>
      </c>
      <c r="N38" s="8">
        <f t="shared" si="5"/>
        <v>2522783.3744086577</v>
      </c>
      <c r="O38" s="75">
        <f t="shared" si="11"/>
        <v>2522783.3744086577</v>
      </c>
      <c r="Q38" s="73">
        <f t="shared" ref="Q38:Q55" si="12">R37+1</f>
        <v>42917</v>
      </c>
      <c r="R38" s="73">
        <f t="shared" ref="R38:R55" si="13">EOMONTH(R37,3)</f>
        <v>43008</v>
      </c>
      <c r="S38" s="76">
        <f t="shared" si="6"/>
        <v>36.954252912263364</v>
      </c>
      <c r="T38" s="76">
        <f t="shared" si="7"/>
        <v>106.83996968268288</v>
      </c>
      <c r="U38" s="76">
        <f t="shared" si="8"/>
        <v>143.79422259494626</v>
      </c>
      <c r="V38" s="76">
        <f t="shared" si="9"/>
        <v>557.70900000000006</v>
      </c>
    </row>
    <row r="39" spans="1:22" x14ac:dyDescent="0.25">
      <c r="A39" s="78" t="s">
        <v>52</v>
      </c>
      <c r="B39" s="72" t="str">
        <f t="shared" si="1"/>
        <v>Q1/2017</v>
      </c>
      <c r="C39" s="73">
        <f t="shared" si="10"/>
        <v>42736</v>
      </c>
      <c r="D39" s="73">
        <f t="shared" si="2"/>
        <v>42825</v>
      </c>
      <c r="E39" s="72">
        <f t="shared" si="3"/>
        <v>90</v>
      </c>
      <c r="F39" s="74">
        <f>VLOOKUP(D39,'FERC Interest Rate'!$A:$B,2,TRUE)</f>
        <v>3.5000000000000003E-2</v>
      </c>
      <c r="G39" s="75">
        <f>O38</f>
        <v>2522783.3744086577</v>
      </c>
      <c r="H39" s="75">
        <f>G39*F39*(E39/(DATE(YEAR(D39),12,31)-DATE(YEAR(D39),1,1)+1))</f>
        <v>21771.966107910335</v>
      </c>
      <c r="I39" s="99">
        <f t="shared" ref="I39:I58" si="14">(SUM($H$36:$H$59)/20)</f>
        <v>3559.7305258284168</v>
      </c>
      <c r="J39" s="76">
        <v>0</v>
      </c>
      <c r="K39" s="116">
        <f t="shared" si="4"/>
        <v>3559.7305258284168</v>
      </c>
      <c r="L39" s="76">
        <f>+$C$22/20</f>
        <v>123668.0365</v>
      </c>
      <c r="M39" s="117">
        <f>+SUM(K39:L39)</f>
        <v>127227.76702582842</v>
      </c>
      <c r="N39" s="8">
        <f t="shared" si="5"/>
        <v>2544555.3405165682</v>
      </c>
      <c r="O39" s="75">
        <f t="shared" si="11"/>
        <v>2417327.5734907398</v>
      </c>
      <c r="Q39" s="73">
        <f t="shared" si="12"/>
        <v>43009</v>
      </c>
      <c r="R39" s="73">
        <f t="shared" si="13"/>
        <v>43100</v>
      </c>
      <c r="S39" s="76">
        <f t="shared" si="6"/>
        <v>36.954252912263364</v>
      </c>
      <c r="T39" s="76">
        <f t="shared" si="7"/>
        <v>107.27464408234587</v>
      </c>
      <c r="U39" s="76">
        <f t="shared" si="8"/>
        <v>144.22889699460924</v>
      </c>
      <c r="V39" s="76">
        <f t="shared" si="9"/>
        <v>557.70900000000006</v>
      </c>
    </row>
    <row r="40" spans="1:22" x14ac:dyDescent="0.25">
      <c r="A40" s="78" t="s">
        <v>53</v>
      </c>
      <c r="B40" s="72" t="str">
        <f t="shared" si="1"/>
        <v>Q2/2017</v>
      </c>
      <c r="C40" s="73">
        <f t="shared" si="10"/>
        <v>42826</v>
      </c>
      <c r="D40" s="73">
        <f t="shared" si="2"/>
        <v>42916</v>
      </c>
      <c r="E40" s="72">
        <f t="shared" si="3"/>
        <v>91</v>
      </c>
      <c r="F40" s="74">
        <f>VLOOKUP(D40,'FERC Interest Rate'!$A:$B,2,TRUE)</f>
        <v>3.7100000000000001E-2</v>
      </c>
      <c r="G40" s="75">
        <f>O39</f>
        <v>2417327.5734907398</v>
      </c>
      <c r="H40" s="75">
        <v>0</v>
      </c>
      <c r="I40" s="99">
        <f t="shared" si="14"/>
        <v>3559.7305258284168</v>
      </c>
      <c r="J40" s="76">
        <f>G40*F40*(E40/(DATE(YEAR(D40),12,31)-DATE(YEAR(D40),1,1)+1))</f>
        <v>22359.286632498868</v>
      </c>
      <c r="K40" s="116">
        <f t="shared" si="4"/>
        <v>25919.017158327286</v>
      </c>
      <c r="L40" s="76">
        <f t="shared" ref="L40:L58" si="15">+$C$22/20</f>
        <v>123668.0365</v>
      </c>
      <c r="M40" s="117">
        <f>+SUM(K40:L40)</f>
        <v>149587.05365832729</v>
      </c>
      <c r="N40" s="8">
        <f t="shared" si="5"/>
        <v>2439686.8601232385</v>
      </c>
      <c r="O40" s="75">
        <f t="shared" si="11"/>
        <v>2290099.8064649114</v>
      </c>
      <c r="Q40" s="73">
        <f t="shared" si="12"/>
        <v>43101</v>
      </c>
      <c r="R40" s="73">
        <f t="shared" si="13"/>
        <v>43190</v>
      </c>
      <c r="S40" s="76">
        <f t="shared" si="6"/>
        <v>36.954252912263364</v>
      </c>
      <c r="T40" s="76">
        <f t="shared" si="7"/>
        <v>99.707920762275393</v>
      </c>
      <c r="U40" s="76">
        <f t="shared" si="8"/>
        <v>136.66217367453876</v>
      </c>
      <c r="V40" s="76">
        <f t="shared" si="9"/>
        <v>557.70900000000006</v>
      </c>
    </row>
    <row r="41" spans="1:22" x14ac:dyDescent="0.25">
      <c r="A41" s="78" t="s">
        <v>54</v>
      </c>
      <c r="B41" s="72" t="str">
        <f t="shared" si="1"/>
        <v>Q3/2017</v>
      </c>
      <c r="C41" s="73">
        <f t="shared" si="10"/>
        <v>42917</v>
      </c>
      <c r="D41" s="73">
        <f t="shared" si="2"/>
        <v>43008</v>
      </c>
      <c r="E41" s="72">
        <f t="shared" si="3"/>
        <v>92</v>
      </c>
      <c r="F41" s="74">
        <f>VLOOKUP(D41,'FERC Interest Rate'!$A:$B,2,TRUE)</f>
        <v>3.9600000000000003E-2</v>
      </c>
      <c r="G41" s="75">
        <f t="shared" ref="G41:G56" si="16">O40</f>
        <v>2290099.8064649114</v>
      </c>
      <c r="H41" s="75">
        <v>0</v>
      </c>
      <c r="I41" s="99">
        <f t="shared" si="14"/>
        <v>3559.7305258284168</v>
      </c>
      <c r="J41" s="76">
        <f>G41*F41*(E41/(DATE(YEAR(D41),12,31)-DATE(YEAR(D41),1,1)+1))</f>
        <v>22858.333191542373</v>
      </c>
      <c r="K41" s="116">
        <f t="shared" si="4"/>
        <v>26418.063717370791</v>
      </c>
      <c r="L41" s="76">
        <f t="shared" si="15"/>
        <v>123668.0365</v>
      </c>
      <c r="M41" s="117">
        <f>+SUM(K41:L41)</f>
        <v>150086.10021737078</v>
      </c>
      <c r="N41" s="8">
        <f t="shared" si="5"/>
        <v>2312958.1396564539</v>
      </c>
      <c r="O41" s="75">
        <f t="shared" si="11"/>
        <v>2162872.0394390831</v>
      </c>
      <c r="Q41" s="73">
        <f t="shared" si="12"/>
        <v>43191</v>
      </c>
      <c r="R41" s="73">
        <f t="shared" si="13"/>
        <v>43281</v>
      </c>
      <c r="S41" s="76">
        <f t="shared" si="6"/>
        <v>36.954252912263364</v>
      </c>
      <c r="T41" s="76">
        <f t="shared" si="7"/>
        <v>99.407330707036181</v>
      </c>
      <c r="U41" s="76">
        <f t="shared" si="8"/>
        <v>136.36158361929955</v>
      </c>
      <c r="V41" s="76">
        <f t="shared" si="9"/>
        <v>557.70900000000006</v>
      </c>
    </row>
    <row r="42" spans="1:22" x14ac:dyDescent="0.25">
      <c r="A42" s="17" t="s">
        <v>55</v>
      </c>
      <c r="B42" s="72" t="str">
        <f t="shared" si="1"/>
        <v>Q4/2017</v>
      </c>
      <c r="C42" s="73">
        <f t="shared" si="10"/>
        <v>43009</v>
      </c>
      <c r="D42" s="73">
        <f t="shared" si="2"/>
        <v>43100</v>
      </c>
      <c r="E42" s="72">
        <f t="shared" si="3"/>
        <v>92</v>
      </c>
      <c r="F42" s="74">
        <f>VLOOKUP(D42,'FERC Interest Rate'!$A:$B,2,TRUE)</f>
        <v>4.2099999999999999E-2</v>
      </c>
      <c r="G42" s="75">
        <f t="shared" si="16"/>
        <v>2162872.0394390831</v>
      </c>
      <c r="H42" s="75">
        <v>0</v>
      </c>
      <c r="I42" s="99">
        <f t="shared" si="14"/>
        <v>3559.7305258284168</v>
      </c>
      <c r="J42" s="76">
        <f>G42*F42*(E42/(DATE(YEAR(D42),12,31)-DATE(YEAR(D42),1,1)+1))</f>
        <v>22951.331460699879</v>
      </c>
      <c r="K42" s="116">
        <f t="shared" si="4"/>
        <v>26511.061986528297</v>
      </c>
      <c r="L42" s="76">
        <f t="shared" si="15"/>
        <v>123668.0365</v>
      </c>
      <c r="M42" s="117">
        <f t="shared" ref="M42:M55" si="17">+SUM(K42:L42)</f>
        <v>150179.0984865283</v>
      </c>
      <c r="N42" s="8">
        <f t="shared" si="5"/>
        <v>2185823.370899783</v>
      </c>
      <c r="O42" s="75">
        <f t="shared" si="11"/>
        <v>2035644.2724132547</v>
      </c>
      <c r="Q42" s="73">
        <f t="shared" si="12"/>
        <v>43282</v>
      </c>
      <c r="R42" s="73">
        <f t="shared" si="13"/>
        <v>43373</v>
      </c>
      <c r="S42" s="76">
        <f t="shared" si="6"/>
        <v>36.954252912263364</v>
      </c>
      <c r="T42" s="76">
        <f t="shared" si="7"/>
        <v>98.416279592662136</v>
      </c>
      <c r="U42" s="76">
        <f t="shared" si="8"/>
        <v>135.37053250492551</v>
      </c>
      <c r="V42" s="76">
        <f t="shared" si="9"/>
        <v>557.70900000000006</v>
      </c>
    </row>
    <row r="43" spans="1:22" x14ac:dyDescent="0.25">
      <c r="A43" s="17" t="s">
        <v>56</v>
      </c>
      <c r="B43" s="72" t="str">
        <f t="shared" si="1"/>
        <v>Q1/2018</v>
      </c>
      <c r="C43" s="73">
        <f t="shared" si="10"/>
        <v>43101</v>
      </c>
      <c r="D43" s="73">
        <f t="shared" si="2"/>
        <v>43190</v>
      </c>
      <c r="E43" s="72">
        <f t="shared" si="3"/>
        <v>90</v>
      </c>
      <c r="F43" s="74">
        <f>VLOOKUP(D43,'FERC Interest Rate'!$A:$B,2,TRUE)</f>
        <v>4.2500000000000003E-2</v>
      </c>
      <c r="G43" s="75">
        <f t="shared" si="16"/>
        <v>2035644.2724132547</v>
      </c>
      <c r="H43" s="75">
        <v>0</v>
      </c>
      <c r="I43" s="99">
        <f t="shared" si="14"/>
        <v>3559.7305258284168</v>
      </c>
      <c r="J43" s="76">
        <f>G43*F43*(E43/(DATE(YEAR(D43),12,31)-DATE(YEAR(D43),1,1)+1))</f>
        <v>21332.436553371779</v>
      </c>
      <c r="K43" s="116">
        <f t="shared" si="4"/>
        <v>24892.167079200197</v>
      </c>
      <c r="L43" s="76">
        <f t="shared" si="15"/>
        <v>123668.0365</v>
      </c>
      <c r="M43" s="117">
        <f t="shared" si="17"/>
        <v>148560.2035792002</v>
      </c>
      <c r="N43" s="8">
        <f t="shared" si="5"/>
        <v>2056976.7089666266</v>
      </c>
      <c r="O43" s="75">
        <f t="shared" si="11"/>
        <v>1908416.5053874264</v>
      </c>
      <c r="Q43" s="73">
        <f t="shared" si="12"/>
        <v>43374</v>
      </c>
      <c r="R43" s="73">
        <f t="shared" si="13"/>
        <v>43465</v>
      </c>
      <c r="S43" s="76">
        <f t="shared" si="6"/>
        <v>36.954252912263364</v>
      </c>
      <c r="T43" s="76">
        <f t="shared" si="7"/>
        <v>96.647604449205815</v>
      </c>
      <c r="U43" s="76">
        <f t="shared" si="8"/>
        <v>133.6018573614692</v>
      </c>
      <c r="V43" s="76">
        <f t="shared" si="9"/>
        <v>557.70900000000006</v>
      </c>
    </row>
    <row r="44" spans="1:22" x14ac:dyDescent="0.25">
      <c r="A44" s="17" t="s">
        <v>57</v>
      </c>
      <c r="B44" s="72" t="str">
        <f t="shared" si="1"/>
        <v>Q2/2018</v>
      </c>
      <c r="C44" s="73">
        <f t="shared" si="10"/>
        <v>43191</v>
      </c>
      <c r="D44" s="73">
        <f t="shared" si="2"/>
        <v>43281</v>
      </c>
      <c r="E44" s="72">
        <f t="shared" si="3"/>
        <v>91</v>
      </c>
      <c r="F44" s="74">
        <f>VLOOKUP(D44,'FERC Interest Rate'!$A:$B,2,TRUE)</f>
        <v>4.4699999999999997E-2</v>
      </c>
      <c r="G44" s="75">
        <f t="shared" si="16"/>
        <v>1908416.5053874264</v>
      </c>
      <c r="H44" s="75">
        <v>0</v>
      </c>
      <c r="I44" s="99">
        <f t="shared" si="14"/>
        <v>3559.7305258284168</v>
      </c>
      <c r="J44" s="76">
        <f>G44*F44*(E44/(DATE(YEAR(D44),12,31)-DATE(YEAR(D44),1,1)+1))</f>
        <v>21268.125531409409</v>
      </c>
      <c r="K44" s="116">
        <f t="shared" si="4"/>
        <v>24827.856057237826</v>
      </c>
      <c r="L44" s="76">
        <f t="shared" si="15"/>
        <v>123668.0365</v>
      </c>
      <c r="M44" s="117">
        <f t="shared" si="17"/>
        <v>148495.89255723782</v>
      </c>
      <c r="N44" s="8">
        <f t="shared" si="5"/>
        <v>1929684.6309188358</v>
      </c>
      <c r="O44" s="75">
        <f t="shared" si="11"/>
        <v>1781188.738361598</v>
      </c>
      <c r="Q44" s="73">
        <f t="shared" si="12"/>
        <v>43466</v>
      </c>
      <c r="R44" s="73">
        <f t="shared" si="13"/>
        <v>43555</v>
      </c>
      <c r="S44" s="76">
        <f t="shared" si="6"/>
        <v>36.954252912263364</v>
      </c>
      <c r="T44" s="76">
        <f t="shared" si="7"/>
        <v>91.144769920338803</v>
      </c>
      <c r="U44" s="76">
        <f t="shared" si="8"/>
        <v>128.09902283260215</v>
      </c>
      <c r="V44" s="76">
        <f t="shared" si="9"/>
        <v>557.70900000000006</v>
      </c>
    </row>
    <row r="45" spans="1:22" x14ac:dyDescent="0.25">
      <c r="A45" s="17" t="s">
        <v>58</v>
      </c>
      <c r="B45" s="72" t="str">
        <f t="shared" si="1"/>
        <v>Q3/2018</v>
      </c>
      <c r="C45" s="73">
        <f t="shared" si="10"/>
        <v>43282</v>
      </c>
      <c r="D45" s="73">
        <f t="shared" si="2"/>
        <v>43373</v>
      </c>
      <c r="E45" s="72">
        <f t="shared" si="3"/>
        <v>92</v>
      </c>
      <c r="F45" s="74">
        <f>VLOOKUP(D45,'FERC Interest Rate'!$A:$B,2,TRUE)</f>
        <v>4.6899999999999997E-2</v>
      </c>
      <c r="G45" s="75">
        <f t="shared" si="16"/>
        <v>1781188.738361598</v>
      </c>
      <c r="H45" s="75">
        <v>0</v>
      </c>
      <c r="I45" s="99">
        <f t="shared" si="14"/>
        <v>3559.7305258284168</v>
      </c>
      <c r="J45" s="76">
        <f t="shared" ref="J45:J56" si="18">G45*F45*(E45/(DATE(YEAR(D45),12,31)-DATE(YEAR(D45),1,1)+1))</f>
        <v>21056.090872007186</v>
      </c>
      <c r="K45" s="116">
        <f t="shared" si="4"/>
        <v>24615.821397835603</v>
      </c>
      <c r="L45" s="76">
        <f t="shared" si="15"/>
        <v>123668.0365</v>
      </c>
      <c r="M45" s="117">
        <f t="shared" si="17"/>
        <v>148283.85789783561</v>
      </c>
      <c r="N45" s="8">
        <f t="shared" si="5"/>
        <v>1802244.8292336052</v>
      </c>
      <c r="O45" s="75">
        <f t="shared" si="11"/>
        <v>1653960.9713357696</v>
      </c>
      <c r="Q45" s="73">
        <f t="shared" si="12"/>
        <v>43556</v>
      </c>
      <c r="R45" s="73">
        <f t="shared" si="13"/>
        <v>43646</v>
      </c>
      <c r="S45" s="76">
        <f t="shared" si="6"/>
        <v>36.954252912263364</v>
      </c>
      <c r="T45" s="76">
        <f t="shared" si="7"/>
        <v>88.880976523293356</v>
      </c>
      <c r="U45" s="76">
        <f t="shared" si="8"/>
        <v>125.83522943555673</v>
      </c>
      <c r="V45" s="76">
        <f t="shared" si="9"/>
        <v>557.70900000000006</v>
      </c>
    </row>
    <row r="46" spans="1:22" x14ac:dyDescent="0.25">
      <c r="A46" s="17" t="s">
        <v>59</v>
      </c>
      <c r="B46" s="72" t="str">
        <f t="shared" si="1"/>
        <v>Q4/2018</v>
      </c>
      <c r="C46" s="73">
        <f t="shared" si="10"/>
        <v>43374</v>
      </c>
      <c r="D46" s="73">
        <f t="shared" si="2"/>
        <v>43465</v>
      </c>
      <c r="E46" s="72">
        <f t="shared" si="3"/>
        <v>92</v>
      </c>
      <c r="F46" s="74">
        <f>VLOOKUP(D46,'FERC Interest Rate'!$A:$B,2,TRUE)</f>
        <v>4.9599999999999998E-2</v>
      </c>
      <c r="G46" s="75">
        <f t="shared" si="16"/>
        <v>1653960.9713357696</v>
      </c>
      <c r="H46" s="75">
        <v>0</v>
      </c>
      <c r="I46" s="99">
        <f t="shared" si="14"/>
        <v>3559.7305258284168</v>
      </c>
      <c r="J46" s="76">
        <f t="shared" si="18"/>
        <v>20677.684121642149</v>
      </c>
      <c r="K46" s="116">
        <f t="shared" si="4"/>
        <v>24237.414647470567</v>
      </c>
      <c r="L46" s="76">
        <f t="shared" si="15"/>
        <v>123668.0365</v>
      </c>
      <c r="M46" s="117">
        <f t="shared" si="17"/>
        <v>147905.45114747057</v>
      </c>
      <c r="N46" s="8">
        <f t="shared" si="5"/>
        <v>1674638.6554574119</v>
      </c>
      <c r="O46" s="75">
        <f t="shared" si="11"/>
        <v>1526733.2043099413</v>
      </c>
      <c r="Q46" s="73">
        <f t="shared" si="12"/>
        <v>43647</v>
      </c>
      <c r="R46" s="73">
        <f t="shared" si="13"/>
        <v>43738</v>
      </c>
      <c r="S46" s="76">
        <f t="shared" si="6"/>
        <v>36.954252912263364</v>
      </c>
      <c r="T46" s="76">
        <f t="shared" si="7"/>
        <v>82.438248211946657</v>
      </c>
      <c r="U46" s="76">
        <f t="shared" si="8"/>
        <v>119.39250112421001</v>
      </c>
      <c r="V46" s="76">
        <f t="shared" si="9"/>
        <v>557.70900000000006</v>
      </c>
    </row>
    <row r="47" spans="1:22" x14ac:dyDescent="0.25">
      <c r="A47" s="17" t="s">
        <v>60</v>
      </c>
      <c r="B47" s="72" t="str">
        <f t="shared" si="1"/>
        <v>Q1/2019</v>
      </c>
      <c r="C47" s="73">
        <f t="shared" si="10"/>
        <v>43466</v>
      </c>
      <c r="D47" s="73">
        <f t="shared" si="2"/>
        <v>43555</v>
      </c>
      <c r="E47" s="72">
        <f t="shared" si="3"/>
        <v>90</v>
      </c>
      <c r="F47" s="74">
        <f>VLOOKUP(D47,'FERC Interest Rate'!$A:$B,2,TRUE)</f>
        <v>5.1799999999999999E-2</v>
      </c>
      <c r="G47" s="75">
        <f t="shared" si="16"/>
        <v>1526733.2043099413</v>
      </c>
      <c r="H47" s="75">
        <v>0</v>
      </c>
      <c r="I47" s="99">
        <f t="shared" si="14"/>
        <v>3559.7305258284168</v>
      </c>
      <c r="J47" s="76">
        <f t="shared" si="18"/>
        <v>19500.356708199848</v>
      </c>
      <c r="K47" s="116">
        <f t="shared" si="4"/>
        <v>23060.087234028266</v>
      </c>
      <c r="L47" s="76">
        <f t="shared" si="15"/>
        <v>123668.0365</v>
      </c>
      <c r="M47" s="117">
        <f t="shared" si="17"/>
        <v>146728.12373402825</v>
      </c>
      <c r="N47" s="8">
        <f t="shared" si="5"/>
        <v>1546233.5610181412</v>
      </c>
      <c r="O47" s="75">
        <f t="shared" si="11"/>
        <v>1399505.4372841129</v>
      </c>
      <c r="Q47" s="73">
        <f t="shared" si="12"/>
        <v>43739</v>
      </c>
      <c r="R47" s="73">
        <f t="shared" si="13"/>
        <v>43830</v>
      </c>
      <c r="S47" s="76">
        <f t="shared" si="6"/>
        <v>36.954252912263364</v>
      </c>
      <c r="T47" s="76">
        <f t="shared" si="7"/>
        <v>73.1152317777956</v>
      </c>
      <c r="U47" s="76">
        <f t="shared" si="8"/>
        <v>110.06948469005896</v>
      </c>
      <c r="V47" s="76">
        <f t="shared" si="9"/>
        <v>557.70900000000006</v>
      </c>
    </row>
    <row r="48" spans="1:22" x14ac:dyDescent="0.25">
      <c r="A48" s="17" t="s">
        <v>61</v>
      </c>
      <c r="B48" s="72" t="str">
        <f t="shared" si="1"/>
        <v>Q2/2019</v>
      </c>
      <c r="C48" s="73">
        <f t="shared" si="10"/>
        <v>43556</v>
      </c>
      <c r="D48" s="73">
        <f t="shared" si="2"/>
        <v>43646</v>
      </c>
      <c r="E48" s="72">
        <f t="shared" si="3"/>
        <v>91</v>
      </c>
      <c r="F48" s="74">
        <f>VLOOKUP(D48,'FERC Interest Rate'!$A:$B,2,TRUE)</f>
        <v>5.45E-2</v>
      </c>
      <c r="G48" s="75">
        <f t="shared" si="16"/>
        <v>1399505.4372841129</v>
      </c>
      <c r="H48" s="75">
        <v>0</v>
      </c>
      <c r="I48" s="99">
        <f t="shared" si="14"/>
        <v>3559.7305258284168</v>
      </c>
      <c r="J48" s="76">
        <f t="shared" si="18"/>
        <v>19016.019770439885</v>
      </c>
      <c r="K48" s="116">
        <f t="shared" si="4"/>
        <v>22575.750296268303</v>
      </c>
      <c r="L48" s="76">
        <f t="shared" si="15"/>
        <v>123668.0365</v>
      </c>
      <c r="M48" s="117">
        <f t="shared" si="17"/>
        <v>146243.78679626831</v>
      </c>
      <c r="N48" s="8">
        <f t="shared" si="5"/>
        <v>1418521.4570545529</v>
      </c>
      <c r="O48" s="75">
        <f t="shared" si="11"/>
        <v>1272277.6702582845</v>
      </c>
      <c r="Q48" s="73">
        <f t="shared" si="12"/>
        <v>43831</v>
      </c>
      <c r="R48" s="73">
        <f t="shared" si="13"/>
        <v>43921</v>
      </c>
      <c r="S48" s="76">
        <f t="shared" si="6"/>
        <v>36.954252912263364</v>
      </c>
      <c r="T48" s="76">
        <f t="shared" si="7"/>
        <v>58.668241712454467</v>
      </c>
      <c r="U48" s="76">
        <f t="shared" si="8"/>
        <v>95.622494624717831</v>
      </c>
      <c r="V48" s="76">
        <f t="shared" si="9"/>
        <v>557.70900000000006</v>
      </c>
    </row>
    <row r="49" spans="1:22" x14ac:dyDescent="0.25">
      <c r="A49" s="17" t="s">
        <v>62</v>
      </c>
      <c r="B49" s="72" t="str">
        <f t="shared" si="1"/>
        <v>Q3/2019</v>
      </c>
      <c r="C49" s="73">
        <f t="shared" si="10"/>
        <v>43647</v>
      </c>
      <c r="D49" s="73">
        <f t="shared" si="2"/>
        <v>43738</v>
      </c>
      <c r="E49" s="72">
        <f t="shared" si="3"/>
        <v>92</v>
      </c>
      <c r="F49" s="74">
        <f>VLOOKUP(D49,'FERC Interest Rate'!$A:$B,2,TRUE)</f>
        <v>5.5E-2</v>
      </c>
      <c r="G49" s="75">
        <f t="shared" si="16"/>
        <v>1272277.6702582845</v>
      </c>
      <c r="H49" s="75">
        <v>0</v>
      </c>
      <c r="I49" s="99">
        <f t="shared" si="14"/>
        <v>3559.7305258284168</v>
      </c>
      <c r="J49" s="76">
        <f t="shared" si="18"/>
        <v>17637.602771251837</v>
      </c>
      <c r="K49" s="116">
        <f t="shared" si="4"/>
        <v>21197.333297080255</v>
      </c>
      <c r="L49" s="76">
        <f t="shared" si="15"/>
        <v>123668.0365</v>
      </c>
      <c r="M49" s="117">
        <f t="shared" si="17"/>
        <v>144865.36979708026</v>
      </c>
      <c r="N49" s="8">
        <f t="shared" si="5"/>
        <v>1289915.2730295365</v>
      </c>
      <c r="O49" s="75">
        <f t="shared" si="11"/>
        <v>1145049.9032324562</v>
      </c>
      <c r="Q49" s="73">
        <f t="shared" si="12"/>
        <v>43922</v>
      </c>
      <c r="R49" s="73">
        <f t="shared" si="13"/>
        <v>44012</v>
      </c>
      <c r="S49" s="76">
        <f t="shared" si="6"/>
        <v>36.954252912263364</v>
      </c>
      <c r="T49" s="76">
        <f t="shared" si="7"/>
        <v>49.164888460970431</v>
      </c>
      <c r="U49" s="76">
        <f t="shared" si="8"/>
        <v>86.119141373233788</v>
      </c>
      <c r="V49" s="76">
        <f t="shared" si="9"/>
        <v>557.70900000000006</v>
      </c>
    </row>
    <row r="50" spans="1:22" x14ac:dyDescent="0.25">
      <c r="A50" s="17" t="s">
        <v>63</v>
      </c>
      <c r="B50" s="72" t="str">
        <f t="shared" si="1"/>
        <v>Q4/2019</v>
      </c>
      <c r="C50" s="73">
        <f t="shared" si="10"/>
        <v>43739</v>
      </c>
      <c r="D50" s="73">
        <f t="shared" si="2"/>
        <v>43830</v>
      </c>
      <c r="E50" s="72">
        <f t="shared" si="3"/>
        <v>92</v>
      </c>
      <c r="F50" s="74">
        <f>VLOOKUP(D50,'FERC Interest Rate'!$A:$B,2,TRUE)</f>
        <v>5.4199999999999998E-2</v>
      </c>
      <c r="G50" s="75">
        <f t="shared" si="16"/>
        <v>1145049.9032324562</v>
      </c>
      <c r="H50" s="75">
        <v>0</v>
      </c>
      <c r="I50" s="99">
        <f t="shared" si="14"/>
        <v>3559.7305258284168</v>
      </c>
      <c r="J50" s="76">
        <f t="shared" si="18"/>
        <v>15642.950239666628</v>
      </c>
      <c r="K50" s="116">
        <f t="shared" si="4"/>
        <v>19202.680765495046</v>
      </c>
      <c r="L50" s="76">
        <f t="shared" si="15"/>
        <v>123668.0365</v>
      </c>
      <c r="M50" s="117">
        <f t="shared" si="17"/>
        <v>142870.71726549504</v>
      </c>
      <c r="N50" s="8">
        <f t="shared" si="5"/>
        <v>1160692.8534721229</v>
      </c>
      <c r="O50" s="75">
        <f t="shared" si="11"/>
        <v>1017822.1362066278</v>
      </c>
      <c r="Q50" s="73">
        <f t="shared" si="12"/>
        <v>44013</v>
      </c>
      <c r="R50" s="73">
        <f t="shared" si="13"/>
        <v>44104</v>
      </c>
      <c r="S50" s="76">
        <f t="shared" si="6"/>
        <v>36.954252912263364</v>
      </c>
      <c r="T50" s="76">
        <f t="shared" si="7"/>
        <v>42.608397668022711</v>
      </c>
      <c r="U50" s="76">
        <f t="shared" si="8"/>
        <v>79.562650580286075</v>
      </c>
      <c r="V50" s="76">
        <f t="shared" si="9"/>
        <v>557.70900000000006</v>
      </c>
    </row>
    <row r="51" spans="1:22" x14ac:dyDescent="0.25">
      <c r="A51" s="17" t="s">
        <v>64</v>
      </c>
      <c r="B51" s="72" t="str">
        <f t="shared" si="1"/>
        <v>Q1/2020</v>
      </c>
      <c r="C51" s="73">
        <f t="shared" si="10"/>
        <v>43831</v>
      </c>
      <c r="D51" s="73">
        <f t="shared" si="2"/>
        <v>43921</v>
      </c>
      <c r="E51" s="72">
        <f t="shared" si="3"/>
        <v>91</v>
      </c>
      <c r="F51" s="74">
        <f>VLOOKUP(D51,'FERC Interest Rate'!$A:$B,2,TRUE)</f>
        <v>4.9599999999999998E-2</v>
      </c>
      <c r="G51" s="75">
        <f t="shared" si="16"/>
        <v>1017822.1362066278</v>
      </c>
      <c r="H51" s="75">
        <v>0</v>
      </c>
      <c r="I51" s="99">
        <f t="shared" si="14"/>
        <v>3559.7305258284168</v>
      </c>
      <c r="J51" s="76">
        <f t="shared" si="18"/>
        <v>12552.027305962391</v>
      </c>
      <c r="K51" s="116">
        <f t="shared" si="4"/>
        <v>16111.757831790808</v>
      </c>
      <c r="L51" s="76">
        <f t="shared" si="15"/>
        <v>123668.0365</v>
      </c>
      <c r="M51" s="117">
        <f t="shared" si="17"/>
        <v>139779.79433179082</v>
      </c>
      <c r="N51" s="8">
        <f t="shared" si="5"/>
        <v>1030374.1635125902</v>
      </c>
      <c r="O51" s="75">
        <f t="shared" si="11"/>
        <v>890594.36918079946</v>
      </c>
      <c r="Q51" s="73">
        <f t="shared" si="12"/>
        <v>44105</v>
      </c>
      <c r="R51" s="73">
        <f t="shared" si="13"/>
        <v>44196</v>
      </c>
      <c r="S51" s="76">
        <f t="shared" si="6"/>
        <v>36.954252912263364</v>
      </c>
      <c r="T51" s="76">
        <f t="shared" si="7"/>
        <v>35.816709402238011</v>
      </c>
      <c r="U51" s="76">
        <f t="shared" si="8"/>
        <v>72.770962314501375</v>
      </c>
      <c r="V51" s="76">
        <f t="shared" si="9"/>
        <v>557.70900000000006</v>
      </c>
    </row>
    <row r="52" spans="1:22" x14ac:dyDescent="0.25">
      <c r="A52" s="17" t="s">
        <v>65</v>
      </c>
      <c r="B52" s="72" t="str">
        <f t="shared" si="1"/>
        <v>Q2/2020</v>
      </c>
      <c r="C52" s="73">
        <f t="shared" si="10"/>
        <v>43922</v>
      </c>
      <c r="D52" s="73">
        <f t="shared" si="2"/>
        <v>44012</v>
      </c>
      <c r="E52" s="72">
        <f t="shared" si="3"/>
        <v>91</v>
      </c>
      <c r="F52" s="74">
        <f>VLOOKUP(D52,'FERC Interest Rate'!$A:$B,2,TRUE)</f>
        <v>4.7503500000000004E-2</v>
      </c>
      <c r="G52" s="75">
        <f t="shared" si="16"/>
        <v>890594.36918079946</v>
      </c>
      <c r="H52" s="75">
        <v>0</v>
      </c>
      <c r="I52" s="99">
        <f t="shared" si="14"/>
        <v>3559.7305258284168</v>
      </c>
      <c r="J52" s="76">
        <f t="shared" si="18"/>
        <v>10518.791844509809</v>
      </c>
      <c r="K52" s="116">
        <f t="shared" si="4"/>
        <v>14078.522370338225</v>
      </c>
      <c r="L52" s="76">
        <f t="shared" si="15"/>
        <v>123668.0365</v>
      </c>
      <c r="M52" s="117">
        <f t="shared" si="17"/>
        <v>137746.55887033822</v>
      </c>
      <c r="N52" s="8">
        <f t="shared" si="5"/>
        <v>901113.16102530924</v>
      </c>
      <c r="O52" s="75">
        <f t="shared" si="11"/>
        <v>763366.60215497098</v>
      </c>
      <c r="Q52" s="73">
        <f t="shared" si="12"/>
        <v>44197</v>
      </c>
      <c r="R52" s="73">
        <f t="shared" si="13"/>
        <v>44286</v>
      </c>
      <c r="S52" s="76">
        <f t="shared" si="6"/>
        <v>36.954252912263364</v>
      </c>
      <c r="T52" s="76">
        <f t="shared" si="7"/>
        <v>29.33962460596506</v>
      </c>
      <c r="U52" s="76">
        <f t="shared" si="8"/>
        <v>66.293877518228427</v>
      </c>
      <c r="V52" s="76">
        <f t="shared" si="9"/>
        <v>557.70900000000006</v>
      </c>
    </row>
    <row r="53" spans="1:22" x14ac:dyDescent="0.25">
      <c r="A53" s="17" t="s">
        <v>66</v>
      </c>
      <c r="B53" s="72" t="str">
        <f t="shared" si="1"/>
        <v>Q3/2020</v>
      </c>
      <c r="C53" s="73">
        <f t="shared" si="10"/>
        <v>44013</v>
      </c>
      <c r="D53" s="73">
        <f t="shared" si="2"/>
        <v>44104</v>
      </c>
      <c r="E53" s="72">
        <f t="shared" si="3"/>
        <v>92</v>
      </c>
      <c r="F53" s="74">
        <f>VLOOKUP(D53,'FERC Interest Rate'!$A:$B,2,TRUE)</f>
        <v>4.7507929999999997E-2</v>
      </c>
      <c r="G53" s="75">
        <f t="shared" si="16"/>
        <v>763366.60215497098</v>
      </c>
      <c r="H53" s="75">
        <v>0</v>
      </c>
      <c r="I53" s="99">
        <f t="shared" si="14"/>
        <v>3559.7305258284168</v>
      </c>
      <c r="J53" s="76">
        <f t="shared" si="18"/>
        <v>9116.0354457800313</v>
      </c>
      <c r="K53" s="116">
        <f t="shared" si="4"/>
        <v>12675.765971608449</v>
      </c>
      <c r="L53" s="76">
        <f t="shared" si="15"/>
        <v>123668.0365</v>
      </c>
      <c r="M53" s="117">
        <f t="shared" si="17"/>
        <v>136343.80247160845</v>
      </c>
      <c r="N53" s="8">
        <f t="shared" si="5"/>
        <v>772482.63760075101</v>
      </c>
      <c r="O53" s="75">
        <f t="shared" si="11"/>
        <v>636138.83512914251</v>
      </c>
      <c r="Q53" s="73">
        <f t="shared" si="12"/>
        <v>44287</v>
      </c>
      <c r="R53" s="73">
        <f t="shared" si="13"/>
        <v>44377</v>
      </c>
      <c r="S53" s="76">
        <f t="shared" si="6"/>
        <v>36.954252912263364</v>
      </c>
      <c r="T53" s="76">
        <f t="shared" si="7"/>
        <v>22.418345668806086</v>
      </c>
      <c r="U53" s="76">
        <f t="shared" si="8"/>
        <v>59.37259858106944</v>
      </c>
      <c r="V53" s="76">
        <f t="shared" si="9"/>
        <v>557.70900000000006</v>
      </c>
    </row>
    <row r="54" spans="1:22" x14ac:dyDescent="0.25">
      <c r="A54" s="17" t="s">
        <v>67</v>
      </c>
      <c r="B54" s="72" t="str">
        <f t="shared" si="1"/>
        <v>Q4/2020</v>
      </c>
      <c r="C54" s="73">
        <f t="shared" si="10"/>
        <v>44105</v>
      </c>
      <c r="D54" s="73">
        <f t="shared" si="2"/>
        <v>44196</v>
      </c>
      <c r="E54" s="72">
        <f t="shared" si="3"/>
        <v>92</v>
      </c>
      <c r="F54" s="74">
        <f>VLOOKUP(D54,'FERC Interest Rate'!$A:$B,2,TRUE)</f>
        <v>4.7922320000000004E-2</v>
      </c>
      <c r="G54" s="75">
        <f t="shared" si="16"/>
        <v>636138.83512914251</v>
      </c>
      <c r="H54" s="75">
        <v>0</v>
      </c>
      <c r="I54" s="99">
        <f t="shared" si="14"/>
        <v>3559.7305258284168</v>
      </c>
      <c r="J54" s="76">
        <f t="shared" si="18"/>
        <v>7662.958720154953</v>
      </c>
      <c r="K54" s="116">
        <f t="shared" si="4"/>
        <v>11222.689245983369</v>
      </c>
      <c r="L54" s="76">
        <f t="shared" si="15"/>
        <v>123668.0365</v>
      </c>
      <c r="M54" s="117">
        <f t="shared" si="17"/>
        <v>134890.72574598336</v>
      </c>
      <c r="N54" s="8">
        <f t="shared" si="5"/>
        <v>643801.79384929745</v>
      </c>
      <c r="O54" s="75">
        <f t="shared" si="11"/>
        <v>508911.06810331409</v>
      </c>
      <c r="Q54" s="73">
        <f t="shared" si="12"/>
        <v>44378</v>
      </c>
      <c r="R54" s="73">
        <f t="shared" si="13"/>
        <v>44469</v>
      </c>
      <c r="S54" s="76">
        <f t="shared" si="6"/>
        <v>36.954252912263364</v>
      </c>
      <c r="T54" s="76">
        <f t="shared" si="7"/>
        <v>15.744461340372428</v>
      </c>
      <c r="U54" s="76">
        <f t="shared" si="8"/>
        <v>52.698714252635781</v>
      </c>
      <c r="V54" s="76">
        <f t="shared" si="9"/>
        <v>557.70900000000006</v>
      </c>
    </row>
    <row r="55" spans="1:22" x14ac:dyDescent="0.25">
      <c r="A55" s="17" t="s">
        <v>68</v>
      </c>
      <c r="B55" s="72" t="str">
        <f t="shared" si="1"/>
        <v>Q1/2021</v>
      </c>
      <c r="C55" s="73">
        <f t="shared" si="10"/>
        <v>44197</v>
      </c>
      <c r="D55" s="73">
        <f t="shared" si="2"/>
        <v>44286</v>
      </c>
      <c r="E55" s="72">
        <f t="shared" si="3"/>
        <v>90</v>
      </c>
      <c r="F55" s="74">
        <f>VLOOKUP(D55,'FERC Interest Rate'!$A:$B,2,TRUE)</f>
        <v>5.0023470000000007E-2</v>
      </c>
      <c r="G55" s="75">
        <f t="shared" si="16"/>
        <v>508911.06810331409</v>
      </c>
      <c r="H55" s="75">
        <v>0</v>
      </c>
      <c r="I55" s="99">
        <f t="shared" si="14"/>
        <v>3559.7305258284168</v>
      </c>
      <c r="J55" s="76">
        <f t="shared" si="18"/>
        <v>6277.1911762029267</v>
      </c>
      <c r="K55" s="116">
        <f t="shared" si="4"/>
        <v>9836.9217020313445</v>
      </c>
      <c r="L55" s="76">
        <f t="shared" si="15"/>
        <v>123668.0365</v>
      </c>
      <c r="M55" s="117">
        <f t="shared" si="17"/>
        <v>133504.95820203135</v>
      </c>
      <c r="N55" s="8">
        <f t="shared" si="5"/>
        <v>515188.25927951699</v>
      </c>
      <c r="O55" s="75">
        <f t="shared" si="11"/>
        <v>381683.30107748567</v>
      </c>
      <c r="Q55" s="73">
        <f t="shared" si="12"/>
        <v>44470</v>
      </c>
      <c r="R55" s="73">
        <f t="shared" si="13"/>
        <v>44561</v>
      </c>
      <c r="S55" s="76">
        <f t="shared" si="6"/>
        <v>36.954252912263364</v>
      </c>
      <c r="T55" s="76">
        <f t="shared" si="7"/>
        <v>7.9090415963287075</v>
      </c>
      <c r="U55" s="76">
        <f t="shared" si="8"/>
        <v>44.863294508592062</v>
      </c>
      <c r="V55" s="76">
        <f t="shared" si="9"/>
        <v>557.70900000000006</v>
      </c>
    </row>
    <row r="56" spans="1:22" x14ac:dyDescent="0.25">
      <c r="A56" s="17" t="s">
        <v>69</v>
      </c>
      <c r="B56" s="72" t="str">
        <f t="shared" si="1"/>
        <v>Q2/2021</v>
      </c>
      <c r="C56" s="73">
        <f t="shared" si="10"/>
        <v>44287</v>
      </c>
      <c r="D56" s="73">
        <f t="shared" si="2"/>
        <v>44377</v>
      </c>
      <c r="E56" s="72">
        <f t="shared" si="3"/>
        <v>91</v>
      </c>
      <c r="F56" s="74">
        <f>VLOOKUP(D56,'FERC Interest Rate'!$A:$B,2,TRUE)</f>
        <v>5.0403730000000001E-2</v>
      </c>
      <c r="G56" s="75">
        <f t="shared" si="16"/>
        <v>381683.30107748567</v>
      </c>
      <c r="H56" s="75">
        <v>0</v>
      </c>
      <c r="I56" s="99">
        <f t="shared" si="14"/>
        <v>3559.7305258284168</v>
      </c>
      <c r="J56" s="76">
        <f t="shared" si="18"/>
        <v>4796.3886214374388</v>
      </c>
      <c r="K56" s="116">
        <f>+SUM(I56:J56)</f>
        <v>8356.1191472658556</v>
      </c>
      <c r="L56" s="76">
        <f t="shared" si="15"/>
        <v>123668.0365</v>
      </c>
      <c r="M56" s="117">
        <f>+SUM(K56:L56)</f>
        <v>132024.15564726587</v>
      </c>
      <c r="N56" s="8">
        <f t="shared" si="5"/>
        <v>386479.68969892309</v>
      </c>
      <c r="O56" s="75">
        <f t="shared" si="11"/>
        <v>254455.53405165722</v>
      </c>
      <c r="Q56" s="73"/>
      <c r="R56" s="73"/>
      <c r="S56" s="76"/>
      <c r="T56" s="76"/>
      <c r="U56" s="76"/>
      <c r="V56" s="76"/>
    </row>
    <row r="57" spans="1:22" ht="13.5" thickBot="1" x14ac:dyDescent="0.35">
      <c r="A57" s="17" t="s">
        <v>70</v>
      </c>
      <c r="B57" s="72" t="str">
        <f>+IF(MONTH(C57)&lt;4,"Q1",IF(MONTH(C57)&lt;7,"Q2",IF(MONTH(C57)&lt;10,"Q3","Q4")))&amp;"/"&amp;YEAR(C57)</f>
        <v>Q3/2021</v>
      </c>
      <c r="C57" s="73">
        <f>D56+1</f>
        <v>44378</v>
      </c>
      <c r="D57" s="73">
        <f>DATE(YEAR(C57),IF(MONTH(C57)&lt;=3,3,IF(MONTH(C57)&lt;=6,6,IF(MONTH(C57)&lt;=9,9,12))),IF(OR(MONTH(C57)&lt;=3,MONTH(C57)&gt;=10),31,30))</f>
        <v>44469</v>
      </c>
      <c r="E57" s="72">
        <f>D57-C57+1</f>
        <v>92</v>
      </c>
      <c r="F57" s="74">
        <f>VLOOKUP(D57,'FERC Interest Rate'!$A:$B,2,TRUE)</f>
        <v>5.2520850000000001E-2</v>
      </c>
      <c r="G57" s="75">
        <f>O56</f>
        <v>254455.53405165722</v>
      </c>
      <c r="H57" s="75">
        <v>0</v>
      </c>
      <c r="I57" s="99">
        <f t="shared" si="14"/>
        <v>3559.7305258284168</v>
      </c>
      <c r="J57" s="76">
        <f>G57*F57*(E57/(DATE(YEAR(D57),12,31)-DATE(YEAR(D57),1,1)+1))</f>
        <v>3368.515961849102</v>
      </c>
      <c r="K57" s="116">
        <f>+SUM(I57:J57)</f>
        <v>6928.2464876775193</v>
      </c>
      <c r="L57" s="76">
        <f t="shared" si="15"/>
        <v>123668.0365</v>
      </c>
      <c r="M57" s="117">
        <f>+SUM(K57:L57)</f>
        <v>130596.28298767752</v>
      </c>
      <c r="N57" s="8">
        <f>+G57+H57+J57</f>
        <v>257824.05001350632</v>
      </c>
      <c r="O57" s="75">
        <f>+N57-M57</f>
        <v>127227.7670258288</v>
      </c>
      <c r="Q57" s="127"/>
      <c r="R57" s="127"/>
      <c r="S57" s="127">
        <f>+SUM(S36:S56)</f>
        <v>739.08505824526696</v>
      </c>
      <c r="T57" s="127">
        <f>+SUM(T36:T56)</f>
        <v>1310.0501096030553</v>
      </c>
      <c r="U57" s="127">
        <f>+SUM(U36:U56)</f>
        <v>2049.135167848322</v>
      </c>
      <c r="V57" s="127">
        <f>+SUM(V36:V56)</f>
        <v>11154.180000000002</v>
      </c>
    </row>
    <row r="58" spans="1:22" ht="13" thickTop="1" x14ac:dyDescent="0.25">
      <c r="A58" s="17" t="s">
        <v>71</v>
      </c>
      <c r="B58" s="72" t="str">
        <f>+IF(MONTH(C58)&lt;4,"Q1",IF(MONTH(C58)&lt;7,"Q2",IF(MONTH(C58)&lt;10,"Q3","Q4")))&amp;"/"&amp;YEAR(C58)</f>
        <v>Q4/2021</v>
      </c>
      <c r="C58" s="73">
        <f>D57+1</f>
        <v>44470</v>
      </c>
      <c r="D58" s="73">
        <f>DATE(YEAR(C58),IF(MONTH(C58)&lt;=3,3,IF(MONTH(C58)&lt;=6,6,IF(MONTH(C58)&lt;=9,9,12))),IF(OR(MONTH(C58)&lt;=3,MONTH(C58)&gt;=10),31,30))</f>
        <v>44561</v>
      </c>
      <c r="E58" s="72">
        <f>D58-C58+1</f>
        <v>92</v>
      </c>
      <c r="F58" s="74">
        <f>VLOOKUP(D58,'FERC Interest Rate'!$A:$B,2,TRUE)</f>
        <v>5.2766440000000005E-2</v>
      </c>
      <c r="G58" s="75">
        <f>O57</f>
        <v>127227.7670258288</v>
      </c>
      <c r="H58" s="75">
        <v>0</v>
      </c>
      <c r="I58" s="99">
        <f t="shared" si="14"/>
        <v>3559.7305258284168</v>
      </c>
      <c r="J58" s="76">
        <f>G58*F58*(E58/(DATE(YEAR(D58),12,31)-DATE(YEAR(D58),1,1)+1))</f>
        <v>1692.1336515874477</v>
      </c>
      <c r="K58" s="116">
        <f>+SUM(I58:J58)</f>
        <v>5251.8641774158641</v>
      </c>
      <c r="L58" s="76">
        <f t="shared" si="15"/>
        <v>123668.0365</v>
      </c>
      <c r="M58" s="117">
        <f>+SUM(K58:L58)</f>
        <v>128919.90067741586</v>
      </c>
      <c r="N58" s="8">
        <f>+G58+H58+J58</f>
        <v>128919.90067741624</v>
      </c>
      <c r="O58" s="75">
        <f>+N58-M58</f>
        <v>3.7834979593753815E-10</v>
      </c>
      <c r="Q58" s="73"/>
      <c r="R58" s="73"/>
      <c r="S58" s="76">
        <f>+I95+I129+I162+I194+I225+I255</f>
        <v>739.08505824526719</v>
      </c>
      <c r="T58" s="76">
        <f>+J95+J129+J162+J194+J225+J255</f>
        <v>1310.0501096030553</v>
      </c>
      <c r="U58" s="76">
        <f>+K95+K129+K162+K194+K225+K255</f>
        <v>2049.1351678483225</v>
      </c>
      <c r="V58" s="76">
        <f>+L95+L129+L162+L194+L225+L255</f>
        <v>11154.180000000002</v>
      </c>
    </row>
    <row r="59" spans="1:22" x14ac:dyDescent="0.25">
      <c r="B59" s="11"/>
      <c r="C59" s="111"/>
      <c r="D59" s="111"/>
      <c r="E59" s="10"/>
      <c r="F59" s="11"/>
      <c r="G59" s="76"/>
      <c r="H59" s="12"/>
      <c r="I59" s="101"/>
      <c r="J59" s="76"/>
      <c r="K59" s="103"/>
      <c r="L59" s="58"/>
      <c r="M59" s="118"/>
      <c r="O59" s="76"/>
      <c r="Q59" s="73"/>
      <c r="R59" s="73"/>
      <c r="S59" s="76">
        <f>+S57-S58</f>
        <v>0</v>
      </c>
      <c r="T59" s="76">
        <f>+T57-T58</f>
        <v>0</v>
      </c>
      <c r="U59" s="76">
        <f>+U57-U58</f>
        <v>0</v>
      </c>
      <c r="V59" s="76">
        <f>+V57-V58</f>
        <v>0</v>
      </c>
    </row>
    <row r="60" spans="1:22" ht="13.5" thickBot="1" x14ac:dyDescent="0.35">
      <c r="A60" s="142"/>
      <c r="B60" s="143"/>
      <c r="C60" s="146"/>
      <c r="D60" s="146"/>
      <c r="E60" s="145"/>
      <c r="F60" s="143"/>
      <c r="G60" s="127">
        <f t="shared" ref="G60:O60" si="19">+SUM(G36:G59)</f>
        <v>34149174.219246738</v>
      </c>
      <c r="H60" s="127">
        <f t="shared" si="19"/>
        <v>71194.61051656834</v>
      </c>
      <c r="I60" s="128">
        <f t="shared" si="19"/>
        <v>71194.61051656834</v>
      </c>
      <c r="J60" s="127">
        <f t="shared" si="19"/>
        <v>280284.26058021397</v>
      </c>
      <c r="K60" s="127">
        <f t="shared" si="19"/>
        <v>351478.87109678227</v>
      </c>
      <c r="L60" s="127">
        <f t="shared" si="19"/>
        <v>2473360.7299999995</v>
      </c>
      <c r="M60" s="129">
        <f t="shared" si="19"/>
        <v>2824839.6010967824</v>
      </c>
      <c r="N60" s="127">
        <f t="shared" si="19"/>
        <v>34500653.09034352</v>
      </c>
      <c r="O60" s="127">
        <f t="shared" si="19"/>
        <v>31675813.489246741</v>
      </c>
    </row>
    <row r="61" spans="1:22" ht="13.5" thickTop="1" x14ac:dyDescent="0.3">
      <c r="A61" s="181"/>
      <c r="B61" s="205"/>
      <c r="C61" s="206"/>
      <c r="D61" s="206"/>
      <c r="E61" s="207"/>
      <c r="F61" s="205"/>
      <c r="G61" s="187"/>
      <c r="H61" s="187"/>
      <c r="I61" s="208"/>
      <c r="J61" s="187"/>
      <c r="K61" s="187"/>
      <c r="L61" s="187"/>
      <c r="M61" s="209"/>
      <c r="N61" s="187"/>
      <c r="O61" s="187"/>
      <c r="U61" s="6"/>
      <c r="V61" s="6"/>
    </row>
    <row r="62" spans="1:22" ht="13" x14ac:dyDescent="0.3">
      <c r="B62" s="103"/>
      <c r="C62" s="103"/>
      <c r="D62" s="103"/>
      <c r="E62" s="103"/>
      <c r="F62" s="103"/>
      <c r="G62" s="103"/>
      <c r="H62" s="103"/>
      <c r="I62" s="201"/>
      <c r="J62" s="350" t="s">
        <v>14</v>
      </c>
      <c r="K62" s="350"/>
      <c r="L62" s="141" t="s">
        <v>52</v>
      </c>
      <c r="M62" s="202"/>
      <c r="O62" s="103"/>
      <c r="S62" s="6" t="s">
        <v>116</v>
      </c>
      <c r="T62" s="6" t="s">
        <v>117</v>
      </c>
      <c r="U62" s="6" t="s">
        <v>115</v>
      </c>
      <c r="V62" s="6" t="s">
        <v>118</v>
      </c>
    </row>
    <row r="63" spans="1:22" ht="39" x14ac:dyDescent="0.3">
      <c r="A63" s="77" t="s">
        <v>51</v>
      </c>
      <c r="B63" s="77" t="s">
        <v>3</v>
      </c>
      <c r="C63" s="77" t="s">
        <v>4</v>
      </c>
      <c r="D63" s="77" t="s">
        <v>5</v>
      </c>
      <c r="E63" s="77" t="s">
        <v>6</v>
      </c>
      <c r="F63" s="77" t="s">
        <v>7</v>
      </c>
      <c r="G63" s="77" t="s">
        <v>92</v>
      </c>
      <c r="H63" s="77" t="s">
        <v>93</v>
      </c>
      <c r="I63" s="94" t="s">
        <v>94</v>
      </c>
      <c r="J63" s="95" t="s">
        <v>95</v>
      </c>
      <c r="K63" s="95" t="s">
        <v>96</v>
      </c>
      <c r="L63" s="95" t="s">
        <v>97</v>
      </c>
      <c r="M63" s="96" t="s">
        <v>98</v>
      </c>
      <c r="N63" s="77" t="s">
        <v>99</v>
      </c>
      <c r="O63" s="77" t="s">
        <v>100</v>
      </c>
    </row>
    <row r="64" spans="1:22" x14ac:dyDescent="0.25">
      <c r="A64" s="17" t="s">
        <v>21</v>
      </c>
      <c r="B64" s="72" t="str">
        <f t="shared" ref="B64:B70" si="20">+IF(MONTH(C64)&lt;4,"Q1",IF(MONTH(C64)&lt;7,"Q2",IF(MONTH(C64)&lt;10,"Q3","Q4")))&amp;"/"&amp;YEAR(C64)</f>
        <v>Q3/2014</v>
      </c>
      <c r="C64" s="73">
        <f>VLOOKUP(L62,A$1:F$29,2,FALSE)</f>
        <v>41876</v>
      </c>
      <c r="D64" s="73">
        <f>DATE(YEAR(C64),IF(MONTH(C64)&lt;=3,3,IF(MONTH(C64)&lt;=6,6,IF(MONTH(C64)&lt;=9,9,12))),IF(OR(MONTH(C64)&lt;=3,MONTH(C64)&gt;=10),31,30))</f>
        <v>41912</v>
      </c>
      <c r="E64" s="72">
        <f>D64-C64+1</f>
        <v>37</v>
      </c>
      <c r="F64" s="74">
        <f>VLOOKUP(D64,'FERC Interest Rate'!$A:$B,2,TRUE)</f>
        <v>3.2500000000000001E-2</v>
      </c>
      <c r="G64" s="75">
        <f>VLOOKUP(L62,$A$1:$F$29,5,FALSE)</f>
        <v>551.59</v>
      </c>
      <c r="H64" s="75">
        <f t="shared" ref="H64:H74" si="21">G64*F64*(E64/(DATE(YEAR(D64),12,31)-DATE(YEAR(D64),1,1)+1))</f>
        <v>1.8172245890410963</v>
      </c>
      <c r="I64" s="180">
        <v>0</v>
      </c>
      <c r="J64" s="76">
        <v>0</v>
      </c>
      <c r="K64" s="76">
        <f t="shared" ref="K64:K91" si="22">+SUM(I64:J64)</f>
        <v>0</v>
      </c>
      <c r="L64" s="76">
        <v>0</v>
      </c>
      <c r="M64" s="100">
        <f t="shared" ref="M64:M91" si="23">+SUM(K64:L64)</f>
        <v>0</v>
      </c>
      <c r="N64" s="76">
        <f t="shared" ref="N64:N91" si="24">+G64+H64+J64</f>
        <v>553.40722458904111</v>
      </c>
      <c r="O64" s="75">
        <f t="shared" ref="O64:O91" si="25">G64+H64-L64-I64</f>
        <v>553.40722458904111</v>
      </c>
    </row>
    <row r="65" spans="1:15" x14ac:dyDescent="0.25">
      <c r="A65" s="17" t="s">
        <v>21</v>
      </c>
      <c r="B65" s="72" t="str">
        <f t="shared" si="20"/>
        <v>Q4/2014</v>
      </c>
      <c r="C65" s="73">
        <f>D64+1</f>
        <v>41913</v>
      </c>
      <c r="D65" s="73">
        <f>EOMONTH(D64,3)</f>
        <v>42004</v>
      </c>
      <c r="E65" s="72">
        <f t="shared" ref="E65:E91" si="26">D65-C65+1</f>
        <v>92</v>
      </c>
      <c r="F65" s="74">
        <f>VLOOKUP(D65,'FERC Interest Rate'!$A:$B,2,TRUE)</f>
        <v>3.2500000000000001E-2</v>
      </c>
      <c r="G65" s="75">
        <f t="shared" ref="G65:G91" si="27">O64</f>
        <v>553.40722458904111</v>
      </c>
      <c r="H65" s="75">
        <f t="shared" si="21"/>
        <v>4.533390689099269</v>
      </c>
      <c r="I65" s="180">
        <v>0</v>
      </c>
      <c r="J65" s="76">
        <v>0</v>
      </c>
      <c r="K65" s="76">
        <f t="shared" si="22"/>
        <v>0</v>
      </c>
      <c r="L65" s="76">
        <v>0</v>
      </c>
      <c r="M65" s="100">
        <f t="shared" si="23"/>
        <v>0</v>
      </c>
      <c r="N65" s="76">
        <f t="shared" si="24"/>
        <v>557.9406152781404</v>
      </c>
      <c r="O65" s="75">
        <f t="shared" si="25"/>
        <v>557.9406152781404</v>
      </c>
    </row>
    <row r="66" spans="1:15" x14ac:dyDescent="0.25">
      <c r="A66" s="17" t="s">
        <v>21</v>
      </c>
      <c r="B66" s="72" t="str">
        <f t="shared" si="20"/>
        <v>Q1/2015</v>
      </c>
      <c r="C66" s="73">
        <f t="shared" ref="C66:C91" si="28">D65+1</f>
        <v>42005</v>
      </c>
      <c r="D66" s="73">
        <f t="shared" ref="D66:D93" si="29">EOMONTH(D65,3)</f>
        <v>42094</v>
      </c>
      <c r="E66" s="72">
        <f t="shared" si="26"/>
        <v>90</v>
      </c>
      <c r="F66" s="74">
        <f>VLOOKUP(D66,'FERC Interest Rate'!$A:$B,2,TRUE)</f>
        <v>3.2500000000000001E-2</v>
      </c>
      <c r="G66" s="75">
        <f t="shared" si="27"/>
        <v>557.9406152781404</v>
      </c>
      <c r="H66" s="75">
        <f t="shared" si="21"/>
        <v>4.4711679443522208</v>
      </c>
      <c r="I66" s="180">
        <v>0</v>
      </c>
      <c r="J66" s="76">
        <v>0</v>
      </c>
      <c r="K66" s="76">
        <f t="shared" si="22"/>
        <v>0</v>
      </c>
      <c r="L66" s="76">
        <v>0</v>
      </c>
      <c r="M66" s="100">
        <f t="shared" si="23"/>
        <v>0</v>
      </c>
      <c r="N66" s="76">
        <f t="shared" si="24"/>
        <v>562.41178322249266</v>
      </c>
      <c r="O66" s="75">
        <f t="shared" si="25"/>
        <v>562.41178322249266</v>
      </c>
    </row>
    <row r="67" spans="1:15" x14ac:dyDescent="0.25">
      <c r="A67" s="17" t="s">
        <v>21</v>
      </c>
      <c r="B67" s="72" t="str">
        <f t="shared" si="20"/>
        <v>Q2/2015</v>
      </c>
      <c r="C67" s="73">
        <f t="shared" si="28"/>
        <v>42095</v>
      </c>
      <c r="D67" s="73">
        <f t="shared" si="29"/>
        <v>42185</v>
      </c>
      <c r="E67" s="72">
        <f t="shared" si="26"/>
        <v>91</v>
      </c>
      <c r="F67" s="74">
        <f>VLOOKUP(D67,'FERC Interest Rate'!$A:$B,2,TRUE)</f>
        <v>3.2500000000000001E-2</v>
      </c>
      <c r="G67" s="75">
        <f t="shared" si="27"/>
        <v>562.41178322249266</v>
      </c>
      <c r="H67" s="75">
        <f t="shared" si="21"/>
        <v>4.5570762983027997</v>
      </c>
      <c r="I67" s="180">
        <v>0</v>
      </c>
      <c r="J67" s="76">
        <v>0</v>
      </c>
      <c r="K67" s="76">
        <f t="shared" si="22"/>
        <v>0</v>
      </c>
      <c r="L67" s="76">
        <v>0</v>
      </c>
      <c r="M67" s="100">
        <f t="shared" si="23"/>
        <v>0</v>
      </c>
      <c r="N67" s="76">
        <f t="shared" si="24"/>
        <v>566.96885952079549</v>
      </c>
      <c r="O67" s="75">
        <f t="shared" si="25"/>
        <v>566.96885952079549</v>
      </c>
    </row>
    <row r="68" spans="1:15" x14ac:dyDescent="0.25">
      <c r="A68" s="17" t="s">
        <v>21</v>
      </c>
      <c r="B68" s="72" t="str">
        <f t="shared" si="20"/>
        <v>Q3/2015</v>
      </c>
      <c r="C68" s="73">
        <f t="shared" si="28"/>
        <v>42186</v>
      </c>
      <c r="D68" s="73">
        <f t="shared" si="29"/>
        <v>42277</v>
      </c>
      <c r="E68" s="72">
        <f t="shared" si="26"/>
        <v>92</v>
      </c>
      <c r="F68" s="74">
        <f>VLOOKUP(D68,'FERC Interest Rate'!$A:$B,2,TRUE)</f>
        <v>3.2500000000000001E-2</v>
      </c>
      <c r="G68" s="75">
        <f t="shared" si="27"/>
        <v>566.96885952079549</v>
      </c>
      <c r="H68" s="75">
        <f t="shared" si="21"/>
        <v>4.6444846300470646</v>
      </c>
      <c r="I68" s="180">
        <v>0</v>
      </c>
      <c r="J68" s="76">
        <v>0</v>
      </c>
      <c r="K68" s="76">
        <f t="shared" si="22"/>
        <v>0</v>
      </c>
      <c r="L68" s="76">
        <v>0</v>
      </c>
      <c r="M68" s="100">
        <f t="shared" si="23"/>
        <v>0</v>
      </c>
      <c r="N68" s="76">
        <f t="shared" si="24"/>
        <v>571.61334415084252</v>
      </c>
      <c r="O68" s="75">
        <f t="shared" si="25"/>
        <v>571.61334415084252</v>
      </c>
    </row>
    <row r="69" spans="1:15" x14ac:dyDescent="0.25">
      <c r="A69" s="17" t="s">
        <v>21</v>
      </c>
      <c r="B69" s="72" t="str">
        <f t="shared" si="20"/>
        <v>Q4/2015</v>
      </c>
      <c r="C69" s="73">
        <f t="shared" si="28"/>
        <v>42278</v>
      </c>
      <c r="D69" s="73">
        <f t="shared" si="29"/>
        <v>42369</v>
      </c>
      <c r="E69" s="72">
        <f t="shared" si="26"/>
        <v>92</v>
      </c>
      <c r="F69" s="74">
        <f>VLOOKUP(D69,'FERC Interest Rate'!$A:$B,2,TRUE)</f>
        <v>3.2500000000000001E-2</v>
      </c>
      <c r="G69" s="75">
        <f t="shared" si="27"/>
        <v>571.61334415084252</v>
      </c>
      <c r="H69" s="75">
        <f t="shared" si="21"/>
        <v>4.682531230167176</v>
      </c>
      <c r="I69" s="180">
        <v>0</v>
      </c>
      <c r="J69" s="76">
        <v>0</v>
      </c>
      <c r="K69" s="76">
        <f t="shared" si="22"/>
        <v>0</v>
      </c>
      <c r="L69" s="76">
        <v>0</v>
      </c>
      <c r="M69" s="100">
        <f t="shared" si="23"/>
        <v>0</v>
      </c>
      <c r="N69" s="76">
        <f t="shared" si="24"/>
        <v>576.29587538100975</v>
      </c>
      <c r="O69" s="75">
        <f t="shared" si="25"/>
        <v>576.29587538100975</v>
      </c>
    </row>
    <row r="70" spans="1:15" x14ac:dyDescent="0.25">
      <c r="A70" s="17" t="s">
        <v>21</v>
      </c>
      <c r="B70" s="72" t="str">
        <f t="shared" si="20"/>
        <v>Q1/2016</v>
      </c>
      <c r="C70" s="73">
        <f t="shared" si="28"/>
        <v>42370</v>
      </c>
      <c r="D70" s="73">
        <f t="shared" si="29"/>
        <v>42460</v>
      </c>
      <c r="E70" s="72">
        <f t="shared" si="26"/>
        <v>91</v>
      </c>
      <c r="F70" s="74">
        <f>VLOOKUP(D70,'FERC Interest Rate'!$A:$B,2,TRUE)</f>
        <v>3.2500000000000001E-2</v>
      </c>
      <c r="G70" s="75">
        <f t="shared" si="27"/>
        <v>576.29587538100975</v>
      </c>
      <c r="H70" s="75">
        <f t="shared" si="21"/>
        <v>4.6568170804353448</v>
      </c>
      <c r="I70" s="180">
        <v>0</v>
      </c>
      <c r="J70" s="76">
        <v>0</v>
      </c>
      <c r="K70" s="76">
        <f t="shared" si="22"/>
        <v>0</v>
      </c>
      <c r="L70" s="76">
        <v>0</v>
      </c>
      <c r="M70" s="100">
        <f t="shared" si="23"/>
        <v>0</v>
      </c>
      <c r="N70" s="76">
        <f t="shared" si="24"/>
        <v>580.95269246144505</v>
      </c>
      <c r="O70" s="75">
        <f t="shared" si="25"/>
        <v>580.95269246144505</v>
      </c>
    </row>
    <row r="71" spans="1:15" x14ac:dyDescent="0.25">
      <c r="A71" s="17" t="s">
        <v>21</v>
      </c>
      <c r="B71" s="72" t="str">
        <f>+IF(MONTH(C71)&lt;4,"Q1",IF(MONTH(C71)&lt;7,"Q2",IF(MONTH(C71)&lt;10,"Q3","Q4")))&amp;"/"&amp;YEAR(C71)</f>
        <v>Q2/2016</v>
      </c>
      <c r="C71" s="73">
        <f t="shared" si="28"/>
        <v>42461</v>
      </c>
      <c r="D71" s="73">
        <f t="shared" si="29"/>
        <v>42551</v>
      </c>
      <c r="E71" s="72">
        <f t="shared" si="26"/>
        <v>91</v>
      </c>
      <c r="F71" s="74">
        <f>VLOOKUP(D71,'FERC Interest Rate'!$A:$B,2,TRUE)</f>
        <v>3.4599999999999999E-2</v>
      </c>
      <c r="G71" s="75">
        <f t="shared" si="27"/>
        <v>580.95269246144505</v>
      </c>
      <c r="H71" s="75">
        <f t="shared" si="21"/>
        <v>4.9977804576068472</v>
      </c>
      <c r="I71" s="180">
        <v>0</v>
      </c>
      <c r="J71" s="76">
        <v>0</v>
      </c>
      <c r="K71" s="76">
        <f t="shared" si="22"/>
        <v>0</v>
      </c>
      <c r="L71" s="76">
        <v>0</v>
      </c>
      <c r="M71" s="100">
        <f t="shared" si="23"/>
        <v>0</v>
      </c>
      <c r="N71" s="76">
        <f t="shared" si="24"/>
        <v>585.95047291905189</v>
      </c>
      <c r="O71" s="75">
        <f t="shared" si="25"/>
        <v>585.95047291905189</v>
      </c>
    </row>
    <row r="72" spans="1:15" x14ac:dyDescent="0.25">
      <c r="A72" s="78" t="s">
        <v>21</v>
      </c>
      <c r="B72" s="72" t="str">
        <f>+IF(MONTH(C72)&lt;4,"Q1",IF(MONTH(C72)&lt;7,"Q2",IF(MONTH(C72)&lt;10,"Q3","Q4")))&amp;"/"&amp;YEAR(C72)</f>
        <v>Q3/2016</v>
      </c>
      <c r="C72" s="73">
        <f t="shared" si="28"/>
        <v>42552</v>
      </c>
      <c r="D72" s="73">
        <f t="shared" si="29"/>
        <v>42643</v>
      </c>
      <c r="E72" s="72">
        <f t="shared" si="26"/>
        <v>92</v>
      </c>
      <c r="F72" s="74">
        <f>VLOOKUP(D72,'FERC Interest Rate'!$A:$B,2,TRUE)</f>
        <v>3.5000000000000003E-2</v>
      </c>
      <c r="G72" s="75">
        <f t="shared" si="27"/>
        <v>585.95047291905189</v>
      </c>
      <c r="H72" s="75">
        <f t="shared" si="21"/>
        <v>5.1550833956266322</v>
      </c>
      <c r="I72" s="99">
        <v>0</v>
      </c>
      <c r="J72" s="76">
        <v>0</v>
      </c>
      <c r="K72" s="76">
        <f t="shared" si="22"/>
        <v>0</v>
      </c>
      <c r="L72" s="76">
        <v>0</v>
      </c>
      <c r="M72" s="100">
        <f t="shared" si="23"/>
        <v>0</v>
      </c>
      <c r="N72" s="76">
        <f t="shared" si="24"/>
        <v>591.10555631467855</v>
      </c>
      <c r="O72" s="75">
        <f t="shared" si="25"/>
        <v>591.10555631467855</v>
      </c>
    </row>
    <row r="73" spans="1:15" x14ac:dyDescent="0.25">
      <c r="A73" s="78" t="s">
        <v>21</v>
      </c>
      <c r="B73" s="72" t="str">
        <f t="shared" ref="B73:B91" si="30">+IF(MONTH(C73)&lt;4,"Q1",IF(MONTH(C73)&lt;7,"Q2",IF(MONTH(C73)&lt;10,"Q3","Q4")))&amp;"/"&amp;YEAR(C73)</f>
        <v>Q4/2016</v>
      </c>
      <c r="C73" s="73">
        <f t="shared" si="28"/>
        <v>42644</v>
      </c>
      <c r="D73" s="73">
        <f t="shared" si="29"/>
        <v>42735</v>
      </c>
      <c r="E73" s="72">
        <f t="shared" si="26"/>
        <v>92</v>
      </c>
      <c r="F73" s="74">
        <f>VLOOKUP(D73,'FERC Interest Rate'!$A:$B,2,TRUE)</f>
        <v>3.5000000000000003E-2</v>
      </c>
      <c r="G73" s="75">
        <f t="shared" si="27"/>
        <v>591.10555631467855</v>
      </c>
      <c r="H73" s="75">
        <f t="shared" si="21"/>
        <v>5.2004368615662981</v>
      </c>
      <c r="I73" s="99">
        <v>0</v>
      </c>
      <c r="J73" s="76">
        <v>0</v>
      </c>
      <c r="K73" s="76">
        <f t="shared" si="22"/>
        <v>0</v>
      </c>
      <c r="L73" s="76">
        <v>0</v>
      </c>
      <c r="M73" s="100">
        <f t="shared" si="23"/>
        <v>0</v>
      </c>
      <c r="N73" s="76">
        <f t="shared" si="24"/>
        <v>596.3059931762449</v>
      </c>
      <c r="O73" s="75">
        <f t="shared" si="25"/>
        <v>596.3059931762449</v>
      </c>
    </row>
    <row r="74" spans="1:15" x14ac:dyDescent="0.25">
      <c r="A74" s="78" t="s">
        <v>52</v>
      </c>
      <c r="B74" s="72" t="str">
        <f t="shared" si="30"/>
        <v>Q1/2017</v>
      </c>
      <c r="C74" s="73">
        <f t="shared" si="28"/>
        <v>42736</v>
      </c>
      <c r="D74" s="73">
        <f t="shared" si="29"/>
        <v>42825</v>
      </c>
      <c r="E74" s="72">
        <f t="shared" si="26"/>
        <v>90</v>
      </c>
      <c r="F74" s="74">
        <f>VLOOKUP(D74,'FERC Interest Rate'!$A:$B,2,TRUE)</f>
        <v>3.5000000000000003E-2</v>
      </c>
      <c r="G74" s="75">
        <f t="shared" si="27"/>
        <v>596.3059931762449</v>
      </c>
      <c r="H74" s="75">
        <f t="shared" si="21"/>
        <v>5.146202406863484</v>
      </c>
      <c r="I74" s="99">
        <f>(SUM($H$64:$H$91)/20)</f>
        <v>2.4931097791554118</v>
      </c>
      <c r="J74" s="76">
        <v>0</v>
      </c>
      <c r="K74" s="76">
        <f t="shared" si="22"/>
        <v>2.4931097791554118</v>
      </c>
      <c r="L74" s="76">
        <f t="shared" ref="L74:L91" si="31">VLOOKUP($L$62,A$1:F$29,5,FALSE)/20</f>
        <v>27.579500000000003</v>
      </c>
      <c r="M74" s="100">
        <f t="shared" si="23"/>
        <v>30.072609779155414</v>
      </c>
      <c r="N74" s="76">
        <f t="shared" si="24"/>
        <v>601.45219558310839</v>
      </c>
      <c r="O74" s="75">
        <f t="shared" si="25"/>
        <v>571.37958580395298</v>
      </c>
    </row>
    <row r="75" spans="1:15" x14ac:dyDescent="0.25">
      <c r="A75" s="78" t="s">
        <v>53</v>
      </c>
      <c r="B75" s="72" t="str">
        <f t="shared" si="30"/>
        <v>Q2/2017</v>
      </c>
      <c r="C75" s="73">
        <f t="shared" si="28"/>
        <v>42826</v>
      </c>
      <c r="D75" s="73">
        <f t="shared" si="29"/>
        <v>42916</v>
      </c>
      <c r="E75" s="72">
        <f t="shared" si="26"/>
        <v>91</v>
      </c>
      <c r="F75" s="74">
        <f>VLOOKUP(D75,'FERC Interest Rate'!$A:$B,2,TRUE)</f>
        <v>3.7100000000000001E-2</v>
      </c>
      <c r="G75" s="75">
        <f t="shared" si="27"/>
        <v>571.37958580395298</v>
      </c>
      <c r="H75" s="75">
        <v>0</v>
      </c>
      <c r="I75" s="99">
        <f t="shared" ref="I75:I93" si="32">(SUM($H$64:$H$91)/20)</f>
        <v>2.4931097791554118</v>
      </c>
      <c r="J75" s="76">
        <f t="shared" ref="J75:J91" si="33">G75*F75*(E75/(DATE(YEAR(D75),12,31)-DATE(YEAR(D75),1,1)+1))</f>
        <v>5.2850263551581529</v>
      </c>
      <c r="K75" s="116">
        <f t="shared" si="22"/>
        <v>7.7781361343135647</v>
      </c>
      <c r="L75" s="76">
        <f t="shared" si="31"/>
        <v>27.579500000000003</v>
      </c>
      <c r="M75" s="117">
        <f t="shared" si="23"/>
        <v>35.357636134313566</v>
      </c>
      <c r="N75" s="8">
        <f t="shared" si="24"/>
        <v>576.66461215911113</v>
      </c>
      <c r="O75" s="75">
        <f t="shared" si="25"/>
        <v>541.30697602479756</v>
      </c>
    </row>
    <row r="76" spans="1:15" x14ac:dyDescent="0.25">
      <c r="A76" s="78" t="s">
        <v>54</v>
      </c>
      <c r="B76" s="72" t="str">
        <f t="shared" si="30"/>
        <v>Q3/2017</v>
      </c>
      <c r="C76" s="73">
        <f t="shared" si="28"/>
        <v>42917</v>
      </c>
      <c r="D76" s="73">
        <f t="shared" si="29"/>
        <v>43008</v>
      </c>
      <c r="E76" s="72">
        <f t="shared" si="26"/>
        <v>92</v>
      </c>
      <c r="F76" s="74">
        <f>VLOOKUP(D76,'FERC Interest Rate'!$A:$B,2,TRUE)</f>
        <v>3.9600000000000003E-2</v>
      </c>
      <c r="G76" s="75">
        <f t="shared" si="27"/>
        <v>541.30697602479756</v>
      </c>
      <c r="H76" s="75">
        <v>0</v>
      </c>
      <c r="I76" s="99">
        <f t="shared" si="32"/>
        <v>2.4931097791554118</v>
      </c>
      <c r="J76" s="76">
        <f t="shared" si="33"/>
        <v>5.402985137132994</v>
      </c>
      <c r="K76" s="116">
        <f t="shared" si="22"/>
        <v>7.8960949162884058</v>
      </c>
      <c r="L76" s="76">
        <f t="shared" si="31"/>
        <v>27.579500000000003</v>
      </c>
      <c r="M76" s="117">
        <f t="shared" si="23"/>
        <v>35.475594916288408</v>
      </c>
      <c r="N76" s="8">
        <f t="shared" si="24"/>
        <v>546.70996116193055</v>
      </c>
      <c r="O76" s="75">
        <f t="shared" si="25"/>
        <v>511.23436624564209</v>
      </c>
    </row>
    <row r="77" spans="1:15" x14ac:dyDescent="0.25">
      <c r="A77" s="17" t="s">
        <v>55</v>
      </c>
      <c r="B77" s="72" t="str">
        <f t="shared" si="30"/>
        <v>Q4/2017</v>
      </c>
      <c r="C77" s="73">
        <f t="shared" si="28"/>
        <v>43009</v>
      </c>
      <c r="D77" s="73">
        <f t="shared" si="29"/>
        <v>43100</v>
      </c>
      <c r="E77" s="72">
        <f t="shared" si="26"/>
        <v>92</v>
      </c>
      <c r="F77" s="74">
        <f>VLOOKUP(D77,'FERC Interest Rate'!$A:$B,2,TRUE)</f>
        <v>4.2099999999999999E-2</v>
      </c>
      <c r="G77" s="75">
        <f t="shared" si="27"/>
        <v>511.23436624564209</v>
      </c>
      <c r="H77" s="75">
        <v>0</v>
      </c>
      <c r="I77" s="99">
        <f t="shared" si="32"/>
        <v>2.4931097791554118</v>
      </c>
      <c r="J77" s="76">
        <f t="shared" si="33"/>
        <v>5.424966979020879</v>
      </c>
      <c r="K77" s="116">
        <f t="shared" si="22"/>
        <v>7.9180767581762908</v>
      </c>
      <c r="L77" s="76">
        <f t="shared" si="31"/>
        <v>27.579500000000003</v>
      </c>
      <c r="M77" s="117">
        <f t="shared" si="23"/>
        <v>35.497576758176294</v>
      </c>
      <c r="N77" s="8">
        <f t="shared" si="24"/>
        <v>516.65933322466299</v>
      </c>
      <c r="O77" s="75">
        <f t="shared" si="25"/>
        <v>481.16175646648668</v>
      </c>
    </row>
    <row r="78" spans="1:15" x14ac:dyDescent="0.25">
      <c r="A78" s="17" t="s">
        <v>56</v>
      </c>
      <c r="B78" s="72" t="str">
        <f t="shared" si="30"/>
        <v>Q1/2018</v>
      </c>
      <c r="C78" s="73">
        <f t="shared" si="28"/>
        <v>43101</v>
      </c>
      <c r="D78" s="73">
        <f t="shared" si="29"/>
        <v>43190</v>
      </c>
      <c r="E78" s="72">
        <f t="shared" si="26"/>
        <v>90</v>
      </c>
      <c r="F78" s="74">
        <f>VLOOKUP(D78,'FERC Interest Rate'!$A:$B,2,TRUE)</f>
        <v>4.2500000000000003E-2</v>
      </c>
      <c r="G78" s="75">
        <f t="shared" si="27"/>
        <v>481.16175646648668</v>
      </c>
      <c r="H78" s="75">
        <v>0</v>
      </c>
      <c r="I78" s="99">
        <f t="shared" si="32"/>
        <v>2.4931097791554118</v>
      </c>
      <c r="J78" s="76">
        <f t="shared" si="33"/>
        <v>5.0423115574912645</v>
      </c>
      <c r="K78" s="116">
        <f t="shared" si="22"/>
        <v>7.5354213366466762</v>
      </c>
      <c r="L78" s="76">
        <f t="shared" si="31"/>
        <v>27.579500000000003</v>
      </c>
      <c r="M78" s="117">
        <f t="shared" si="23"/>
        <v>35.114921336646681</v>
      </c>
      <c r="N78" s="8">
        <f t="shared" si="24"/>
        <v>486.20406802397792</v>
      </c>
      <c r="O78" s="75">
        <f t="shared" si="25"/>
        <v>451.08914668733127</v>
      </c>
    </row>
    <row r="79" spans="1:15" x14ac:dyDescent="0.25">
      <c r="A79" s="17" t="s">
        <v>57</v>
      </c>
      <c r="B79" s="72" t="str">
        <f t="shared" si="30"/>
        <v>Q2/2018</v>
      </c>
      <c r="C79" s="73">
        <f t="shared" si="28"/>
        <v>43191</v>
      </c>
      <c r="D79" s="73">
        <f t="shared" si="29"/>
        <v>43281</v>
      </c>
      <c r="E79" s="72">
        <f t="shared" si="26"/>
        <v>91</v>
      </c>
      <c r="F79" s="74">
        <f>VLOOKUP(D79,'FERC Interest Rate'!$A:$B,2,TRUE)</f>
        <v>4.4699999999999997E-2</v>
      </c>
      <c r="G79" s="75">
        <f t="shared" si="27"/>
        <v>451.08914668733127</v>
      </c>
      <c r="H79" s="75">
        <v>0</v>
      </c>
      <c r="I79" s="99">
        <f t="shared" si="32"/>
        <v>2.4931097791554118</v>
      </c>
      <c r="J79" s="76">
        <f t="shared" si="33"/>
        <v>5.0271104711782391</v>
      </c>
      <c r="K79" s="116">
        <f t="shared" si="22"/>
        <v>7.5202202503336508</v>
      </c>
      <c r="L79" s="76">
        <f t="shared" si="31"/>
        <v>27.579500000000003</v>
      </c>
      <c r="M79" s="117">
        <f t="shared" si="23"/>
        <v>35.099720250333654</v>
      </c>
      <c r="N79" s="8">
        <f t="shared" si="24"/>
        <v>456.11625715850948</v>
      </c>
      <c r="O79" s="75">
        <f t="shared" si="25"/>
        <v>421.01653690817585</v>
      </c>
    </row>
    <row r="80" spans="1:15" x14ac:dyDescent="0.25">
      <c r="A80" s="17" t="s">
        <v>58</v>
      </c>
      <c r="B80" s="72" t="str">
        <f t="shared" si="30"/>
        <v>Q3/2018</v>
      </c>
      <c r="C80" s="73">
        <f t="shared" si="28"/>
        <v>43282</v>
      </c>
      <c r="D80" s="73">
        <f t="shared" si="29"/>
        <v>43373</v>
      </c>
      <c r="E80" s="72">
        <f t="shared" si="26"/>
        <v>92</v>
      </c>
      <c r="F80" s="74">
        <f>VLOOKUP(D80,'FERC Interest Rate'!$A:$B,2,TRUE)</f>
        <v>4.6899999999999997E-2</v>
      </c>
      <c r="G80" s="75">
        <f t="shared" si="27"/>
        <v>421.01653690817585</v>
      </c>
      <c r="H80" s="75">
        <v>0</v>
      </c>
      <c r="I80" s="99">
        <f t="shared" si="32"/>
        <v>2.4931097791554118</v>
      </c>
      <c r="J80" s="76">
        <f t="shared" si="33"/>
        <v>4.9769922012367047</v>
      </c>
      <c r="K80" s="116">
        <f t="shared" si="22"/>
        <v>7.4701019803921165</v>
      </c>
      <c r="L80" s="76">
        <f t="shared" si="31"/>
        <v>27.579500000000003</v>
      </c>
      <c r="M80" s="117">
        <f t="shared" si="23"/>
        <v>35.049601980392119</v>
      </c>
      <c r="N80" s="8">
        <f t="shared" si="24"/>
        <v>425.99352910941258</v>
      </c>
      <c r="O80" s="75">
        <f t="shared" si="25"/>
        <v>390.94392712902044</v>
      </c>
    </row>
    <row r="81" spans="1:15" x14ac:dyDescent="0.25">
      <c r="A81" s="17" t="s">
        <v>59</v>
      </c>
      <c r="B81" s="72" t="str">
        <f t="shared" si="30"/>
        <v>Q4/2018</v>
      </c>
      <c r="C81" s="73">
        <f t="shared" si="28"/>
        <v>43374</v>
      </c>
      <c r="D81" s="73">
        <f t="shared" si="29"/>
        <v>43465</v>
      </c>
      <c r="E81" s="72">
        <f t="shared" si="26"/>
        <v>92</v>
      </c>
      <c r="F81" s="74">
        <f>VLOOKUP(D81,'FERC Interest Rate'!$A:$B,2,TRUE)</f>
        <v>4.9599999999999998E-2</v>
      </c>
      <c r="G81" s="75">
        <f t="shared" si="27"/>
        <v>390.94392712902044</v>
      </c>
      <c r="H81" s="75">
        <v>0</v>
      </c>
      <c r="I81" s="99">
        <f t="shared" si="32"/>
        <v>2.4931097791554118</v>
      </c>
      <c r="J81" s="76">
        <f t="shared" si="33"/>
        <v>4.8875488445894417</v>
      </c>
      <c r="K81" s="116">
        <f t="shared" si="22"/>
        <v>7.3806586237448535</v>
      </c>
      <c r="L81" s="76">
        <f t="shared" si="31"/>
        <v>27.579500000000003</v>
      </c>
      <c r="M81" s="117">
        <f t="shared" si="23"/>
        <v>34.96015862374486</v>
      </c>
      <c r="N81" s="8">
        <f t="shared" si="24"/>
        <v>395.83147597360988</v>
      </c>
      <c r="O81" s="75">
        <f t="shared" si="25"/>
        <v>360.87131734986502</v>
      </c>
    </row>
    <row r="82" spans="1:15" x14ac:dyDescent="0.25">
      <c r="A82" s="17" t="s">
        <v>60</v>
      </c>
      <c r="B82" s="72" t="str">
        <f t="shared" si="30"/>
        <v>Q1/2019</v>
      </c>
      <c r="C82" s="73">
        <f t="shared" si="28"/>
        <v>43466</v>
      </c>
      <c r="D82" s="73">
        <f t="shared" si="29"/>
        <v>43555</v>
      </c>
      <c r="E82" s="72">
        <f t="shared" si="26"/>
        <v>90</v>
      </c>
      <c r="F82" s="74">
        <f>VLOOKUP(D82,'FERC Interest Rate'!$A:$B,2,TRUE)</f>
        <v>5.1799999999999999E-2</v>
      </c>
      <c r="G82" s="75">
        <f t="shared" si="27"/>
        <v>360.87131734986502</v>
      </c>
      <c r="H82" s="75">
        <v>0</v>
      </c>
      <c r="I82" s="99">
        <f t="shared" si="32"/>
        <v>2.4931097791554118</v>
      </c>
      <c r="J82" s="76">
        <f t="shared" si="33"/>
        <v>4.6092659766714261</v>
      </c>
      <c r="K82" s="116">
        <f t="shared" si="22"/>
        <v>7.1023757558268379</v>
      </c>
      <c r="L82" s="76">
        <f t="shared" si="31"/>
        <v>27.579500000000003</v>
      </c>
      <c r="M82" s="117">
        <f t="shared" si="23"/>
        <v>34.681875755826837</v>
      </c>
      <c r="N82" s="8">
        <f t="shared" si="24"/>
        <v>365.48058332653648</v>
      </c>
      <c r="O82" s="75">
        <f t="shared" si="25"/>
        <v>330.79870757070961</v>
      </c>
    </row>
    <row r="83" spans="1:15" x14ac:dyDescent="0.25">
      <c r="A83" s="17" t="s">
        <v>61</v>
      </c>
      <c r="B83" s="72" t="str">
        <f t="shared" si="30"/>
        <v>Q2/2019</v>
      </c>
      <c r="C83" s="73">
        <f t="shared" si="28"/>
        <v>43556</v>
      </c>
      <c r="D83" s="73">
        <f t="shared" si="29"/>
        <v>43646</v>
      </c>
      <c r="E83" s="72">
        <f t="shared" si="26"/>
        <v>91</v>
      </c>
      <c r="F83" s="74">
        <f>VLOOKUP(D83,'FERC Interest Rate'!$A:$B,2,TRUE)</f>
        <v>5.45E-2</v>
      </c>
      <c r="G83" s="75">
        <f t="shared" si="27"/>
        <v>330.79870757070961</v>
      </c>
      <c r="H83" s="75">
        <v>0</v>
      </c>
      <c r="I83" s="99">
        <f t="shared" si="32"/>
        <v>2.4931097791554118</v>
      </c>
      <c r="J83" s="76">
        <f t="shared" si="33"/>
        <v>4.4947840827313268</v>
      </c>
      <c r="K83" s="116">
        <f t="shared" si="22"/>
        <v>6.9878938618867386</v>
      </c>
      <c r="L83" s="76">
        <f t="shared" si="31"/>
        <v>27.579500000000003</v>
      </c>
      <c r="M83" s="117">
        <f t="shared" si="23"/>
        <v>34.567393861886742</v>
      </c>
      <c r="N83" s="8">
        <f t="shared" si="24"/>
        <v>335.29349165344092</v>
      </c>
      <c r="O83" s="75">
        <f t="shared" si="25"/>
        <v>300.7260977915542</v>
      </c>
    </row>
    <row r="84" spans="1:15" x14ac:dyDescent="0.25">
      <c r="A84" s="17" t="s">
        <v>62</v>
      </c>
      <c r="B84" s="72" t="str">
        <f t="shared" si="30"/>
        <v>Q3/2019</v>
      </c>
      <c r="C84" s="73">
        <f t="shared" si="28"/>
        <v>43647</v>
      </c>
      <c r="D84" s="73">
        <f t="shared" si="29"/>
        <v>43738</v>
      </c>
      <c r="E84" s="72">
        <f t="shared" si="26"/>
        <v>92</v>
      </c>
      <c r="F84" s="74">
        <f>VLOOKUP(D84,'FERC Interest Rate'!$A:$B,2,TRUE)</f>
        <v>5.5E-2</v>
      </c>
      <c r="G84" s="75">
        <f t="shared" si="27"/>
        <v>300.7260977915542</v>
      </c>
      <c r="H84" s="75">
        <v>0</v>
      </c>
      <c r="I84" s="99">
        <f t="shared" si="32"/>
        <v>2.4931097791554118</v>
      </c>
      <c r="J84" s="76">
        <f t="shared" si="33"/>
        <v>4.1689700132199023</v>
      </c>
      <c r="K84" s="116">
        <f t="shared" si="22"/>
        <v>6.6620797923753141</v>
      </c>
      <c r="L84" s="76">
        <f t="shared" si="31"/>
        <v>27.579500000000003</v>
      </c>
      <c r="M84" s="117">
        <f t="shared" si="23"/>
        <v>34.241579792375319</v>
      </c>
      <c r="N84" s="8">
        <f t="shared" si="24"/>
        <v>304.8950678047741</v>
      </c>
      <c r="O84" s="75">
        <f t="shared" si="25"/>
        <v>270.65348801239878</v>
      </c>
    </row>
    <row r="85" spans="1:15" x14ac:dyDescent="0.25">
      <c r="A85" s="17" t="s">
        <v>63</v>
      </c>
      <c r="B85" s="72" t="str">
        <f t="shared" si="30"/>
        <v>Q4/2019</v>
      </c>
      <c r="C85" s="73">
        <f t="shared" si="28"/>
        <v>43739</v>
      </c>
      <c r="D85" s="73">
        <f t="shared" si="29"/>
        <v>43830</v>
      </c>
      <c r="E85" s="72">
        <f t="shared" si="26"/>
        <v>92</v>
      </c>
      <c r="F85" s="74">
        <f>VLOOKUP(D85,'FERC Interest Rate'!$A:$B,2,TRUE)</f>
        <v>5.4199999999999998E-2</v>
      </c>
      <c r="G85" s="75">
        <f t="shared" si="27"/>
        <v>270.65348801239878</v>
      </c>
      <c r="H85" s="75">
        <v>0</v>
      </c>
      <c r="I85" s="99">
        <f t="shared" si="32"/>
        <v>2.4931097791554118</v>
      </c>
      <c r="J85" s="76">
        <f t="shared" si="33"/>
        <v>3.6974974044521245</v>
      </c>
      <c r="K85" s="116">
        <f t="shared" si="22"/>
        <v>6.1906071836075363</v>
      </c>
      <c r="L85" s="76">
        <f t="shared" si="31"/>
        <v>27.579500000000003</v>
      </c>
      <c r="M85" s="117">
        <f t="shared" si="23"/>
        <v>33.770107183607536</v>
      </c>
      <c r="N85" s="8">
        <f t="shared" si="24"/>
        <v>274.3509854168509</v>
      </c>
      <c r="O85" s="75">
        <f t="shared" si="25"/>
        <v>240.58087823324337</v>
      </c>
    </row>
    <row r="86" spans="1:15" x14ac:dyDescent="0.25">
      <c r="A86" s="17" t="s">
        <v>64</v>
      </c>
      <c r="B86" s="72" t="str">
        <f t="shared" si="30"/>
        <v>Q1/2020</v>
      </c>
      <c r="C86" s="73">
        <f t="shared" si="28"/>
        <v>43831</v>
      </c>
      <c r="D86" s="73">
        <f t="shared" si="29"/>
        <v>43921</v>
      </c>
      <c r="E86" s="72">
        <f t="shared" si="26"/>
        <v>91</v>
      </c>
      <c r="F86" s="74">
        <f>VLOOKUP(D86,'FERC Interest Rate'!$A:$B,2,TRUE)</f>
        <v>4.9599999999999998E-2</v>
      </c>
      <c r="G86" s="75">
        <f t="shared" si="27"/>
        <v>240.58087823324337</v>
      </c>
      <c r="H86" s="75">
        <v>0</v>
      </c>
      <c r="I86" s="99">
        <f t="shared" si="32"/>
        <v>2.4931097791554118</v>
      </c>
      <c r="J86" s="76">
        <f t="shared" si="33"/>
        <v>2.9669012349551016</v>
      </c>
      <c r="K86" s="116">
        <f t="shared" si="22"/>
        <v>5.4600110141105134</v>
      </c>
      <c r="L86" s="76">
        <f t="shared" si="31"/>
        <v>27.579500000000003</v>
      </c>
      <c r="M86" s="117">
        <f t="shared" si="23"/>
        <v>33.039511014110516</v>
      </c>
      <c r="N86" s="8">
        <f t="shared" si="24"/>
        <v>243.54777946819846</v>
      </c>
      <c r="O86" s="75">
        <f t="shared" si="25"/>
        <v>210.50826845408795</v>
      </c>
    </row>
    <row r="87" spans="1:15" x14ac:dyDescent="0.25">
      <c r="A87" s="17" t="s">
        <v>65</v>
      </c>
      <c r="B87" s="72" t="str">
        <f t="shared" si="30"/>
        <v>Q2/2020</v>
      </c>
      <c r="C87" s="73">
        <f t="shared" si="28"/>
        <v>43922</v>
      </c>
      <c r="D87" s="73">
        <f t="shared" si="29"/>
        <v>44012</v>
      </c>
      <c r="E87" s="72">
        <f t="shared" si="26"/>
        <v>91</v>
      </c>
      <c r="F87" s="74">
        <f>VLOOKUP(D87,'FERC Interest Rate'!$A:$B,2,TRUE)</f>
        <v>4.7503500000000004E-2</v>
      </c>
      <c r="G87" s="75">
        <f t="shared" si="27"/>
        <v>210.50826845408795</v>
      </c>
      <c r="H87" s="75">
        <v>0</v>
      </c>
      <c r="I87" s="99">
        <f t="shared" si="32"/>
        <v>2.4931097791554118</v>
      </c>
      <c r="J87" s="76">
        <f t="shared" si="33"/>
        <v>2.4863088450172071</v>
      </c>
      <c r="K87" s="116">
        <f t="shared" si="22"/>
        <v>4.9794186241726184</v>
      </c>
      <c r="L87" s="76">
        <f t="shared" si="31"/>
        <v>27.579500000000003</v>
      </c>
      <c r="M87" s="117">
        <f t="shared" si="23"/>
        <v>32.55891862417262</v>
      </c>
      <c r="N87" s="8">
        <f t="shared" si="24"/>
        <v>212.99457729910517</v>
      </c>
      <c r="O87" s="75">
        <f t="shared" si="25"/>
        <v>180.43565867493254</v>
      </c>
    </row>
    <row r="88" spans="1:15" x14ac:dyDescent="0.25">
      <c r="A88" s="17" t="s">
        <v>66</v>
      </c>
      <c r="B88" s="72" t="str">
        <f t="shared" si="30"/>
        <v>Q3/2020</v>
      </c>
      <c r="C88" s="73">
        <f t="shared" si="28"/>
        <v>44013</v>
      </c>
      <c r="D88" s="73">
        <f t="shared" si="29"/>
        <v>44104</v>
      </c>
      <c r="E88" s="72">
        <f t="shared" si="26"/>
        <v>92</v>
      </c>
      <c r="F88" s="74">
        <f>VLOOKUP(D88,'FERC Interest Rate'!$A:$B,2,TRUE)</f>
        <v>4.7507929999999997E-2</v>
      </c>
      <c r="G88" s="75">
        <f t="shared" si="27"/>
        <v>180.43565867493254</v>
      </c>
      <c r="H88" s="75">
        <v>0</v>
      </c>
      <c r="I88" s="99">
        <f t="shared" si="32"/>
        <v>2.4931097791554118</v>
      </c>
      <c r="J88" s="76">
        <f t="shared" si="33"/>
        <v>2.1547417132475357</v>
      </c>
      <c r="K88" s="116">
        <f t="shared" si="22"/>
        <v>4.6478514924029479</v>
      </c>
      <c r="L88" s="76">
        <f t="shared" si="31"/>
        <v>27.579500000000003</v>
      </c>
      <c r="M88" s="117">
        <f t="shared" si="23"/>
        <v>32.227351492402953</v>
      </c>
      <c r="N88" s="8">
        <f t="shared" si="24"/>
        <v>182.59040038818009</v>
      </c>
      <c r="O88" s="75">
        <f t="shared" si="25"/>
        <v>150.36304889577713</v>
      </c>
    </row>
    <row r="89" spans="1:15" x14ac:dyDescent="0.25">
      <c r="A89" s="17" t="s">
        <v>67</v>
      </c>
      <c r="B89" s="72" t="str">
        <f t="shared" si="30"/>
        <v>Q4/2020</v>
      </c>
      <c r="C89" s="73">
        <f t="shared" si="28"/>
        <v>44105</v>
      </c>
      <c r="D89" s="73">
        <f t="shared" si="29"/>
        <v>44196</v>
      </c>
      <c r="E89" s="72">
        <f t="shared" si="26"/>
        <v>92</v>
      </c>
      <c r="F89" s="74">
        <f>VLOOKUP(D89,'FERC Interest Rate'!$A:$B,2,TRUE)</f>
        <v>4.7922320000000004E-2</v>
      </c>
      <c r="G89" s="75">
        <f t="shared" si="27"/>
        <v>150.36304889577713</v>
      </c>
      <c r="H89" s="75">
        <v>0</v>
      </c>
      <c r="I89" s="99">
        <f t="shared" si="32"/>
        <v>2.4931097791554118</v>
      </c>
      <c r="J89" s="76">
        <f t="shared" si="33"/>
        <v>1.8112804518388941</v>
      </c>
      <c r="K89" s="116">
        <f t="shared" si="22"/>
        <v>4.3043902309943061</v>
      </c>
      <c r="L89" s="76">
        <f t="shared" si="31"/>
        <v>27.579500000000003</v>
      </c>
      <c r="M89" s="117">
        <f t="shared" si="23"/>
        <v>31.883890230994311</v>
      </c>
      <c r="N89" s="8">
        <f t="shared" si="24"/>
        <v>152.17432934761601</v>
      </c>
      <c r="O89" s="75">
        <f t="shared" si="25"/>
        <v>120.29043911662171</v>
      </c>
    </row>
    <row r="90" spans="1:15" x14ac:dyDescent="0.25">
      <c r="A90" s="17" t="s">
        <v>68</v>
      </c>
      <c r="B90" s="72" t="str">
        <f t="shared" si="30"/>
        <v>Q1/2021</v>
      </c>
      <c r="C90" s="73">
        <f t="shared" si="28"/>
        <v>44197</v>
      </c>
      <c r="D90" s="73">
        <f t="shared" si="29"/>
        <v>44286</v>
      </c>
      <c r="E90" s="72">
        <f t="shared" si="26"/>
        <v>90</v>
      </c>
      <c r="F90" s="74">
        <f>VLOOKUP(D90,'FERC Interest Rate'!$A:$B,2,TRUE)</f>
        <v>5.0023470000000007E-2</v>
      </c>
      <c r="G90" s="75">
        <f t="shared" si="27"/>
        <v>120.29043911662171</v>
      </c>
      <c r="H90" s="75">
        <v>0</v>
      </c>
      <c r="I90" s="99">
        <f t="shared" si="32"/>
        <v>2.4931097791554118</v>
      </c>
      <c r="J90" s="76">
        <f t="shared" si="33"/>
        <v>1.4837289466283392</v>
      </c>
      <c r="K90" s="116">
        <f t="shared" si="22"/>
        <v>3.9768387257837512</v>
      </c>
      <c r="L90" s="76">
        <f t="shared" si="31"/>
        <v>27.579500000000003</v>
      </c>
      <c r="M90" s="117">
        <f t="shared" si="23"/>
        <v>31.556338725783753</v>
      </c>
      <c r="N90" s="8">
        <f t="shared" si="24"/>
        <v>121.77416806325004</v>
      </c>
      <c r="O90" s="75">
        <f t="shared" si="25"/>
        <v>90.217829337466299</v>
      </c>
    </row>
    <row r="91" spans="1:15" x14ac:dyDescent="0.25">
      <c r="A91" s="17" t="s">
        <v>69</v>
      </c>
      <c r="B91" s="72" t="str">
        <f t="shared" si="30"/>
        <v>Q2/2021</v>
      </c>
      <c r="C91" s="73">
        <f t="shared" si="28"/>
        <v>44287</v>
      </c>
      <c r="D91" s="73">
        <f t="shared" si="29"/>
        <v>44377</v>
      </c>
      <c r="E91" s="72">
        <f t="shared" si="26"/>
        <v>91</v>
      </c>
      <c r="F91" s="74">
        <f>VLOOKUP(D91,'FERC Interest Rate'!$A:$B,2,TRUE)</f>
        <v>5.0403730000000001E-2</v>
      </c>
      <c r="G91" s="75">
        <f t="shared" si="27"/>
        <v>90.217829337466299</v>
      </c>
      <c r="H91" s="75">
        <v>0</v>
      </c>
      <c r="I91" s="99">
        <f t="shared" si="32"/>
        <v>2.4931097791554118</v>
      </c>
      <c r="J91" s="76">
        <f t="shared" si="33"/>
        <v>1.1337141783867604</v>
      </c>
      <c r="K91" s="116">
        <f t="shared" si="22"/>
        <v>3.6268239575421721</v>
      </c>
      <c r="L91" s="76">
        <f t="shared" si="31"/>
        <v>27.579500000000003</v>
      </c>
      <c r="M91" s="117">
        <f t="shared" si="23"/>
        <v>31.206323957542175</v>
      </c>
      <c r="N91" s="8">
        <f t="shared" si="24"/>
        <v>91.351543515853052</v>
      </c>
      <c r="O91" s="75">
        <f t="shared" si="25"/>
        <v>60.145219558310885</v>
      </c>
    </row>
    <row r="92" spans="1:15" x14ac:dyDescent="0.25">
      <c r="A92" s="17" t="s">
        <v>70</v>
      </c>
      <c r="B92" s="72" t="str">
        <f>+IF(MONTH(C92)&lt;4,"Q1",IF(MONTH(C92)&lt;7,"Q2",IF(MONTH(C92)&lt;10,"Q3","Q4")))&amp;"/"&amp;YEAR(C92)</f>
        <v>Q3/2021</v>
      </c>
      <c r="C92" s="73">
        <f>D91+1</f>
        <v>44378</v>
      </c>
      <c r="D92" s="73">
        <f t="shared" si="29"/>
        <v>44469</v>
      </c>
      <c r="E92" s="72">
        <f>D92-C92+1</f>
        <v>92</v>
      </c>
      <c r="F92" s="74">
        <f>VLOOKUP(D92,'FERC Interest Rate'!$A:$B,2,TRUE)</f>
        <v>5.2520850000000001E-2</v>
      </c>
      <c r="G92" s="75">
        <f>O91</f>
        <v>60.145219558310885</v>
      </c>
      <c r="H92" s="75">
        <v>0</v>
      </c>
      <c r="I92" s="99">
        <f t="shared" si="32"/>
        <v>2.4931097791554118</v>
      </c>
      <c r="J92" s="76">
        <f>G92*F92*(E92/(DATE(YEAR(D92),12,31)-DATE(YEAR(D92),1,1)+1))</f>
        <v>0.79621035897752979</v>
      </c>
      <c r="K92" s="116">
        <f>+SUM(I92:J92)</f>
        <v>3.2893201381329416</v>
      </c>
      <c r="L92" s="76">
        <f>VLOOKUP($L$62,A$1:F$29,5,FALSE)/20</f>
        <v>27.579500000000003</v>
      </c>
      <c r="M92" s="117">
        <f>+SUM(K92:L92)</f>
        <v>30.868820138132946</v>
      </c>
      <c r="N92" s="8">
        <f>+G92+H92+J92</f>
        <v>60.941429917288417</v>
      </c>
      <c r="O92" s="75">
        <f>G92+H92-L92-I92</f>
        <v>30.072609779155471</v>
      </c>
    </row>
    <row r="93" spans="1:15" x14ac:dyDescent="0.25">
      <c r="A93" s="17" t="s">
        <v>71</v>
      </c>
      <c r="B93" s="72" t="str">
        <f>+IF(MONTH(C93)&lt;4,"Q1",IF(MONTH(C93)&lt;7,"Q2",IF(MONTH(C93)&lt;10,"Q3","Q4")))&amp;"/"&amp;YEAR(C93)</f>
        <v>Q4/2021</v>
      </c>
      <c r="C93" s="73">
        <f>D92+1</f>
        <v>44470</v>
      </c>
      <c r="D93" s="73">
        <f t="shared" si="29"/>
        <v>44561</v>
      </c>
      <c r="E93" s="72">
        <f>D93-C93+1</f>
        <v>92</v>
      </c>
      <c r="F93" s="74">
        <f>VLOOKUP(D93,'FERC Interest Rate'!$A:$B,2,TRUE)</f>
        <v>5.2766440000000005E-2</v>
      </c>
      <c r="G93" s="75">
        <f>O92</f>
        <v>30.072609779155471</v>
      </c>
      <c r="H93" s="75">
        <v>0</v>
      </c>
      <c r="I93" s="99">
        <f t="shared" si="32"/>
        <v>2.4931097791554118</v>
      </c>
      <c r="J93" s="76">
        <f>G93*F93*(E93/(DATE(YEAR(D93),12,31)-DATE(YEAR(D93),1,1)+1))</f>
        <v>0.39996673829885016</v>
      </c>
      <c r="K93" s="116">
        <f>+SUM(I93:J93)</f>
        <v>2.8930765174542619</v>
      </c>
      <c r="L93" s="76">
        <f>VLOOKUP($L$62,A$1:F$29,5,FALSE)/20</f>
        <v>27.579500000000003</v>
      </c>
      <c r="M93" s="117">
        <f>+SUM(K93:L93)</f>
        <v>30.472576517454264</v>
      </c>
      <c r="N93" s="8">
        <f>+G93+H93+J93</f>
        <v>30.472576517454321</v>
      </c>
      <c r="O93" s="75">
        <f>G93+H93-L93-I93</f>
        <v>5.595524044110789E-14</v>
      </c>
    </row>
    <row r="94" spans="1:15" x14ac:dyDescent="0.25">
      <c r="B94" s="72"/>
      <c r="C94" s="73"/>
      <c r="D94" s="73"/>
      <c r="E94" s="72"/>
      <c r="F94" s="74"/>
      <c r="G94" s="75"/>
      <c r="H94" s="75"/>
      <c r="I94" s="99"/>
      <c r="J94" s="76"/>
      <c r="K94" s="116"/>
      <c r="L94" s="76"/>
      <c r="M94" s="117"/>
      <c r="N94" s="8"/>
      <c r="O94" s="75"/>
    </row>
    <row r="95" spans="1:15" ht="13.5" thickBot="1" x14ac:dyDescent="0.35">
      <c r="A95" s="142"/>
      <c r="B95" s="143"/>
      <c r="C95" s="144"/>
      <c r="D95" s="144"/>
      <c r="E95" s="145"/>
      <c r="F95" s="143"/>
      <c r="G95" s="131">
        <f t="shared" ref="G95:O95" si="34">+SUM(G64:G94)</f>
        <v>12008.338275053273</v>
      </c>
      <c r="H95" s="131">
        <f t="shared" si="34"/>
        <v>49.862195583108232</v>
      </c>
      <c r="I95" s="125">
        <f t="shared" si="34"/>
        <v>49.862195583108225</v>
      </c>
      <c r="J95" s="124">
        <f t="shared" si="34"/>
        <v>66.250311490232676</v>
      </c>
      <c r="K95" s="124">
        <f t="shared" si="34"/>
        <v>116.11250707334089</v>
      </c>
      <c r="L95" s="124">
        <f t="shared" si="34"/>
        <v>551.59</v>
      </c>
      <c r="M95" s="126">
        <f t="shared" si="34"/>
        <v>667.70250707334105</v>
      </c>
      <c r="N95" s="124">
        <f t="shared" si="34"/>
        <v>12124.450782126616</v>
      </c>
      <c r="O95" s="124">
        <f t="shared" si="34"/>
        <v>11456.748275053273</v>
      </c>
    </row>
    <row r="96" spans="1:15" ht="13.5" thickTop="1" x14ac:dyDescent="0.3">
      <c r="A96" s="181"/>
      <c r="B96" s="205"/>
      <c r="C96" s="327"/>
      <c r="D96" s="327"/>
      <c r="E96" s="207"/>
      <c r="F96" s="205"/>
      <c r="G96" s="328"/>
      <c r="H96" s="328"/>
      <c r="I96" s="329"/>
      <c r="J96" s="330"/>
      <c r="K96" s="330"/>
      <c r="L96" s="330"/>
      <c r="M96" s="331"/>
      <c r="N96" s="330"/>
      <c r="O96" s="330"/>
    </row>
    <row r="97" spans="1:15" ht="13" x14ac:dyDescent="0.3">
      <c r="B97" s="11"/>
      <c r="C97" s="79"/>
      <c r="D97" s="79"/>
      <c r="E97" s="10"/>
      <c r="F97" s="11"/>
      <c r="G97" s="76"/>
      <c r="H97" s="76"/>
      <c r="I97" s="203"/>
      <c r="J97" s="350" t="s">
        <v>14</v>
      </c>
      <c r="K97" s="350"/>
      <c r="L97" s="141" t="s">
        <v>53</v>
      </c>
      <c r="M97" s="204"/>
      <c r="N97" s="8"/>
    </row>
    <row r="98" spans="1:15" ht="39" x14ac:dyDescent="0.3">
      <c r="A98" s="77" t="s">
        <v>51</v>
      </c>
      <c r="B98" s="77" t="s">
        <v>3</v>
      </c>
      <c r="C98" s="77" t="s">
        <v>4</v>
      </c>
      <c r="D98" s="77" t="s">
        <v>5</v>
      </c>
      <c r="E98" s="77" t="s">
        <v>6</v>
      </c>
      <c r="F98" s="77" t="s">
        <v>7</v>
      </c>
      <c r="G98" s="77" t="s">
        <v>92</v>
      </c>
      <c r="H98" s="77" t="s">
        <v>93</v>
      </c>
      <c r="I98" s="94" t="s">
        <v>94</v>
      </c>
      <c r="J98" s="95" t="s">
        <v>95</v>
      </c>
      <c r="K98" s="95" t="s">
        <v>96</v>
      </c>
      <c r="L98" s="95" t="s">
        <v>97</v>
      </c>
      <c r="M98" s="96" t="s">
        <v>98</v>
      </c>
      <c r="N98" s="77" t="s">
        <v>99</v>
      </c>
      <c r="O98" s="77" t="s">
        <v>100</v>
      </c>
    </row>
    <row r="99" spans="1:15" x14ac:dyDescent="0.25">
      <c r="A99" s="17" t="s">
        <v>21</v>
      </c>
      <c r="B99" s="72" t="str">
        <f t="shared" ref="B99:B105" si="35">+IF(MONTH(C99)&lt;4,"Q1",IF(MONTH(C99)&lt;7,"Q2",IF(MONTH(C99)&lt;10,"Q3","Q4")))&amp;"/"&amp;YEAR(C99)</f>
        <v>Q4/2014</v>
      </c>
      <c r="C99" s="73">
        <f>VLOOKUP(L97,A$1:F$29,2,FALSE)</f>
        <v>41934</v>
      </c>
      <c r="D99" s="73">
        <f>DATE(YEAR(C99),IF(MONTH(C99)&lt;=3,3,IF(MONTH(C99)&lt;=6,6,IF(MONTH(C99)&lt;=9,9,12))),IF(OR(MONTH(C99)&lt;=3,MONTH(C99)&gt;=10),31,30))</f>
        <v>42004</v>
      </c>
      <c r="E99" s="72">
        <f>D99-C99+1</f>
        <v>71</v>
      </c>
      <c r="F99" s="74">
        <f>VLOOKUP(D99,'FERC Interest Rate'!$A:$B,2,TRUE)</f>
        <v>3.2500000000000001E-2</v>
      </c>
      <c r="G99" s="75">
        <f>VLOOKUP(L97,$A$1:$F$36,5,FALSE)</f>
        <v>1103.98</v>
      </c>
      <c r="H99" s="75">
        <f t="shared" ref="H99:H108" si="36">G99*F99*(E99/(DATE(YEAR(D99),12,31)-DATE(YEAR(D99),1,1)+1))</f>
        <v>6.979270821917809</v>
      </c>
      <c r="I99" s="180">
        <v>0</v>
      </c>
      <c r="J99" s="76">
        <v>0</v>
      </c>
      <c r="K99" s="116">
        <f>+SUM(I99:J99)</f>
        <v>0</v>
      </c>
      <c r="L99" s="76">
        <v>0</v>
      </c>
      <c r="M99" s="117">
        <f>+SUM(K99:L99)</f>
        <v>0</v>
      </c>
      <c r="N99" s="8">
        <f>+G99+H99+J99</f>
        <v>1110.9592708219179</v>
      </c>
      <c r="O99" s="75">
        <f t="shared" ref="O99:O125" si="37">G99+H99-L99-I99</f>
        <v>1110.9592708219179</v>
      </c>
    </row>
    <row r="100" spans="1:15" x14ac:dyDescent="0.25">
      <c r="A100" s="17" t="s">
        <v>21</v>
      </c>
      <c r="B100" s="72" t="str">
        <f t="shared" si="35"/>
        <v>Q1/2015</v>
      </c>
      <c r="C100" s="73">
        <f>D99+1</f>
        <v>42005</v>
      </c>
      <c r="D100" s="73">
        <f>EOMONTH(D99,3)</f>
        <v>42094</v>
      </c>
      <c r="E100" s="72">
        <f t="shared" ref="E100:E125" si="38">D100-C100+1</f>
        <v>90</v>
      </c>
      <c r="F100" s="74">
        <f>VLOOKUP(D100,'FERC Interest Rate'!$A:$B,2,TRUE)</f>
        <v>3.2500000000000001E-2</v>
      </c>
      <c r="G100" s="75">
        <f t="shared" ref="G100:G125" si="39">O99</f>
        <v>1110.9592708219179</v>
      </c>
      <c r="H100" s="75">
        <f t="shared" si="36"/>
        <v>8.9028927867235872</v>
      </c>
      <c r="I100" s="180">
        <v>0</v>
      </c>
      <c r="J100" s="76">
        <v>0</v>
      </c>
      <c r="K100" s="116">
        <f t="shared" ref="K100:K125" si="40">+SUM(I100:J100)</f>
        <v>0</v>
      </c>
      <c r="L100" s="76">
        <v>0</v>
      </c>
      <c r="M100" s="117">
        <f t="shared" ref="M100:M125" si="41">+SUM(K100:L100)</f>
        <v>0</v>
      </c>
      <c r="N100" s="8">
        <f t="shared" ref="N100:N125" si="42">+G100+H100+J100</f>
        <v>1119.8621636086416</v>
      </c>
      <c r="O100" s="75">
        <f t="shared" si="37"/>
        <v>1119.8621636086416</v>
      </c>
    </row>
    <row r="101" spans="1:15" x14ac:dyDescent="0.25">
      <c r="A101" s="17" t="s">
        <v>21</v>
      </c>
      <c r="B101" s="72" t="str">
        <f t="shared" si="35"/>
        <v>Q2/2015</v>
      </c>
      <c r="C101" s="73">
        <f t="shared" ref="C101:C125" si="43">D100+1</f>
        <v>42095</v>
      </c>
      <c r="D101" s="73">
        <f t="shared" ref="D101:D127" si="44">EOMONTH(D100,3)</f>
        <v>42185</v>
      </c>
      <c r="E101" s="72">
        <f t="shared" si="38"/>
        <v>91</v>
      </c>
      <c r="F101" s="74">
        <f>VLOOKUP(D101,'FERC Interest Rate'!$A:$B,2,TRUE)</f>
        <v>3.2500000000000001E-2</v>
      </c>
      <c r="G101" s="75">
        <f t="shared" si="39"/>
        <v>1119.8621636086416</v>
      </c>
      <c r="H101" s="75">
        <f t="shared" si="36"/>
        <v>9.0739516407467331</v>
      </c>
      <c r="I101" s="180">
        <v>0</v>
      </c>
      <c r="J101" s="76">
        <v>0</v>
      </c>
      <c r="K101" s="116">
        <f t="shared" si="40"/>
        <v>0</v>
      </c>
      <c r="L101" s="76">
        <v>0</v>
      </c>
      <c r="M101" s="117">
        <f t="shared" si="41"/>
        <v>0</v>
      </c>
      <c r="N101" s="8">
        <f t="shared" si="42"/>
        <v>1128.9361152493884</v>
      </c>
      <c r="O101" s="75">
        <f t="shared" si="37"/>
        <v>1128.9361152493884</v>
      </c>
    </row>
    <row r="102" spans="1:15" x14ac:dyDescent="0.25">
      <c r="A102" s="17" t="s">
        <v>21</v>
      </c>
      <c r="B102" s="72" t="str">
        <f t="shared" si="35"/>
        <v>Q3/2015</v>
      </c>
      <c r="C102" s="73">
        <f t="shared" si="43"/>
        <v>42186</v>
      </c>
      <c r="D102" s="73">
        <f t="shared" si="44"/>
        <v>42277</v>
      </c>
      <c r="E102" s="72">
        <f t="shared" si="38"/>
        <v>92</v>
      </c>
      <c r="F102" s="74">
        <f>VLOOKUP(D102,'FERC Interest Rate'!$A:$B,2,TRUE)</f>
        <v>3.2500000000000001E-2</v>
      </c>
      <c r="G102" s="75">
        <f t="shared" si="39"/>
        <v>1128.9361152493884</v>
      </c>
      <c r="H102" s="75">
        <f t="shared" si="36"/>
        <v>9.2479972180703331</v>
      </c>
      <c r="I102" s="180">
        <v>0</v>
      </c>
      <c r="J102" s="76">
        <v>0</v>
      </c>
      <c r="K102" s="116">
        <f t="shared" si="40"/>
        <v>0</v>
      </c>
      <c r="L102" s="76">
        <v>0</v>
      </c>
      <c r="M102" s="117">
        <f t="shared" si="41"/>
        <v>0</v>
      </c>
      <c r="N102" s="8">
        <f t="shared" si="42"/>
        <v>1138.1841124674588</v>
      </c>
      <c r="O102" s="75">
        <f t="shared" si="37"/>
        <v>1138.1841124674588</v>
      </c>
    </row>
    <row r="103" spans="1:15" x14ac:dyDescent="0.25">
      <c r="A103" s="17" t="s">
        <v>21</v>
      </c>
      <c r="B103" s="72" t="str">
        <f t="shared" si="35"/>
        <v>Q4/2015</v>
      </c>
      <c r="C103" s="73">
        <f t="shared" si="43"/>
        <v>42278</v>
      </c>
      <c r="D103" s="73">
        <f t="shared" si="44"/>
        <v>42369</v>
      </c>
      <c r="E103" s="72">
        <f t="shared" si="38"/>
        <v>92</v>
      </c>
      <c r="F103" s="74">
        <f>VLOOKUP(D103,'FERC Interest Rate'!$A:$B,2,TRUE)</f>
        <v>3.2500000000000001E-2</v>
      </c>
      <c r="G103" s="75">
        <f t="shared" si="39"/>
        <v>1138.1841124674588</v>
      </c>
      <c r="H103" s="75">
        <f t="shared" si="36"/>
        <v>9.3237547843224728</v>
      </c>
      <c r="I103" s="180">
        <v>0</v>
      </c>
      <c r="J103" s="76">
        <v>0</v>
      </c>
      <c r="K103" s="116">
        <f t="shared" si="40"/>
        <v>0</v>
      </c>
      <c r="L103" s="76">
        <v>0</v>
      </c>
      <c r="M103" s="117">
        <f t="shared" si="41"/>
        <v>0</v>
      </c>
      <c r="N103" s="8">
        <f t="shared" si="42"/>
        <v>1147.5078672517814</v>
      </c>
      <c r="O103" s="75">
        <f t="shared" si="37"/>
        <v>1147.5078672517814</v>
      </c>
    </row>
    <row r="104" spans="1:15" x14ac:dyDescent="0.25">
      <c r="A104" s="17" t="s">
        <v>21</v>
      </c>
      <c r="B104" s="72" t="str">
        <f t="shared" si="35"/>
        <v>Q1/2016</v>
      </c>
      <c r="C104" s="73">
        <f t="shared" si="43"/>
        <v>42370</v>
      </c>
      <c r="D104" s="73">
        <f t="shared" si="44"/>
        <v>42460</v>
      </c>
      <c r="E104" s="72">
        <f t="shared" si="38"/>
        <v>91</v>
      </c>
      <c r="F104" s="74">
        <f>VLOOKUP(D104,'FERC Interest Rate'!$A:$B,2,TRUE)</f>
        <v>3.2500000000000001E-2</v>
      </c>
      <c r="G104" s="75">
        <f t="shared" si="39"/>
        <v>1147.5078672517814</v>
      </c>
      <c r="H104" s="75">
        <f t="shared" si="36"/>
        <v>9.2725533262217041</v>
      </c>
      <c r="I104" s="180">
        <v>0</v>
      </c>
      <c r="J104" s="76">
        <v>0</v>
      </c>
      <c r="K104" s="116">
        <f t="shared" si="40"/>
        <v>0</v>
      </c>
      <c r="L104" s="76">
        <v>0</v>
      </c>
      <c r="M104" s="117">
        <f t="shared" si="41"/>
        <v>0</v>
      </c>
      <c r="N104" s="8">
        <f t="shared" si="42"/>
        <v>1156.780420578003</v>
      </c>
      <c r="O104" s="75">
        <f t="shared" si="37"/>
        <v>1156.780420578003</v>
      </c>
    </row>
    <row r="105" spans="1:15" x14ac:dyDescent="0.25">
      <c r="A105" s="17" t="s">
        <v>21</v>
      </c>
      <c r="B105" s="72" t="str">
        <f t="shared" si="35"/>
        <v>Q2/2016</v>
      </c>
      <c r="C105" s="73">
        <f t="shared" si="43"/>
        <v>42461</v>
      </c>
      <c r="D105" s="73">
        <f t="shared" si="44"/>
        <v>42551</v>
      </c>
      <c r="E105" s="72">
        <f t="shared" si="38"/>
        <v>91</v>
      </c>
      <c r="F105" s="74">
        <f>VLOOKUP(D105,'FERC Interest Rate'!$A:$B,2,TRUE)</f>
        <v>3.4599999999999999E-2</v>
      </c>
      <c r="G105" s="75">
        <f t="shared" si="39"/>
        <v>1156.780420578003</v>
      </c>
      <c r="H105" s="75">
        <f t="shared" si="36"/>
        <v>9.9514722192128424</v>
      </c>
      <c r="I105" s="180">
        <v>0</v>
      </c>
      <c r="J105" s="76">
        <v>0</v>
      </c>
      <c r="K105" s="116">
        <f t="shared" si="40"/>
        <v>0</v>
      </c>
      <c r="L105" s="76">
        <v>0</v>
      </c>
      <c r="M105" s="117">
        <f t="shared" si="41"/>
        <v>0</v>
      </c>
      <c r="N105" s="8">
        <f t="shared" si="42"/>
        <v>1166.7318927972158</v>
      </c>
      <c r="O105" s="75">
        <f t="shared" si="37"/>
        <v>1166.7318927972158</v>
      </c>
    </row>
    <row r="106" spans="1:15" x14ac:dyDescent="0.25">
      <c r="A106" s="17" t="s">
        <v>21</v>
      </c>
      <c r="B106" s="72" t="str">
        <f>+IF(MONTH(C106)&lt;4,"Q1",IF(MONTH(C106)&lt;7,"Q2",IF(MONTH(C106)&lt;10,"Q3","Q4")))&amp;"/"&amp;YEAR(C106)</f>
        <v>Q3/2016</v>
      </c>
      <c r="C106" s="73">
        <f t="shared" si="43"/>
        <v>42552</v>
      </c>
      <c r="D106" s="73">
        <f t="shared" si="44"/>
        <v>42643</v>
      </c>
      <c r="E106" s="72">
        <f t="shared" si="38"/>
        <v>92</v>
      </c>
      <c r="F106" s="74">
        <f>VLOOKUP(D106,'FERC Interest Rate'!$A:$B,2,TRUE)</f>
        <v>3.5000000000000003E-2</v>
      </c>
      <c r="G106" s="75">
        <f t="shared" si="39"/>
        <v>1166.7318927972158</v>
      </c>
      <c r="H106" s="75">
        <f t="shared" si="36"/>
        <v>10.264690422970041</v>
      </c>
      <c r="I106" s="180">
        <v>0</v>
      </c>
      <c r="J106" s="76">
        <v>0</v>
      </c>
      <c r="K106" s="116">
        <f t="shared" si="40"/>
        <v>0</v>
      </c>
      <c r="L106" s="76">
        <v>0</v>
      </c>
      <c r="M106" s="117">
        <f t="shared" si="41"/>
        <v>0</v>
      </c>
      <c r="N106" s="8">
        <f t="shared" si="42"/>
        <v>1176.9965832201858</v>
      </c>
      <c r="O106" s="75">
        <f t="shared" si="37"/>
        <v>1176.9965832201858</v>
      </c>
    </row>
    <row r="107" spans="1:15" x14ac:dyDescent="0.25">
      <c r="A107" s="17" t="s">
        <v>21</v>
      </c>
      <c r="B107" s="72" t="str">
        <f>+IF(MONTH(C107)&lt;4,"Q1",IF(MONTH(C107)&lt;7,"Q2",IF(MONTH(C107)&lt;10,"Q3","Q4")))&amp;"/"&amp;YEAR(C107)</f>
        <v>Q4/2016</v>
      </c>
      <c r="C107" s="73">
        <f t="shared" si="43"/>
        <v>42644</v>
      </c>
      <c r="D107" s="73">
        <f t="shared" si="44"/>
        <v>42735</v>
      </c>
      <c r="E107" s="72">
        <f t="shared" si="38"/>
        <v>92</v>
      </c>
      <c r="F107" s="74">
        <f>VLOOKUP(D107,'FERC Interest Rate'!$A:$B,2,TRUE)</f>
        <v>3.5000000000000003E-2</v>
      </c>
      <c r="G107" s="75">
        <f t="shared" si="39"/>
        <v>1176.9965832201858</v>
      </c>
      <c r="H107" s="75">
        <f t="shared" si="36"/>
        <v>10.354997262210381</v>
      </c>
      <c r="I107" s="180">
        <v>0</v>
      </c>
      <c r="J107" s="76">
        <v>0</v>
      </c>
      <c r="K107" s="116">
        <f t="shared" si="40"/>
        <v>0</v>
      </c>
      <c r="L107" s="76">
        <v>0</v>
      </c>
      <c r="M107" s="117">
        <f t="shared" si="41"/>
        <v>0</v>
      </c>
      <c r="N107" s="8">
        <f t="shared" si="42"/>
        <v>1187.3515804823962</v>
      </c>
      <c r="O107" s="75">
        <f t="shared" si="37"/>
        <v>1187.3515804823962</v>
      </c>
    </row>
    <row r="108" spans="1:15" x14ac:dyDescent="0.25">
      <c r="A108" s="78" t="s">
        <v>52</v>
      </c>
      <c r="B108" s="72" t="str">
        <f t="shared" ref="B108:B125" si="45">+IF(MONTH(C108)&lt;4,"Q1",IF(MONTH(C108)&lt;7,"Q2",IF(MONTH(C108)&lt;10,"Q3","Q4")))&amp;"/"&amp;YEAR(C108)</f>
        <v>Q1/2017</v>
      </c>
      <c r="C108" s="73">
        <f t="shared" si="43"/>
        <v>42736</v>
      </c>
      <c r="D108" s="73">
        <f t="shared" si="44"/>
        <v>42825</v>
      </c>
      <c r="E108" s="72">
        <f t="shared" si="38"/>
        <v>90</v>
      </c>
      <c r="F108" s="74">
        <f>VLOOKUP(D108,'FERC Interest Rate'!$A:$B,2,TRUE)</f>
        <v>3.5000000000000003E-2</v>
      </c>
      <c r="G108" s="75">
        <f t="shared" si="39"/>
        <v>1187.3515804823962</v>
      </c>
      <c r="H108" s="75">
        <f t="shared" si="36"/>
        <v>10.247006790464516</v>
      </c>
      <c r="I108" s="180">
        <f>(SUM($H$99:$H$125)/20)</f>
        <v>4.6809293636430196</v>
      </c>
      <c r="J108" s="76">
        <v>0</v>
      </c>
      <c r="K108" s="116">
        <f t="shared" si="40"/>
        <v>4.6809293636430196</v>
      </c>
      <c r="L108" s="76">
        <f t="shared" ref="L108:L127" si="46">VLOOKUP($L$97,A$1:F$29,5,FALSE)/20</f>
        <v>55.198999999999998</v>
      </c>
      <c r="M108" s="117">
        <f t="shared" si="41"/>
        <v>59.879929363643015</v>
      </c>
      <c r="N108" s="8">
        <f t="shared" si="42"/>
        <v>1197.5985872728606</v>
      </c>
      <c r="O108" s="75">
        <f t="shared" si="37"/>
        <v>1137.7186579092177</v>
      </c>
    </row>
    <row r="109" spans="1:15" x14ac:dyDescent="0.25">
      <c r="A109" s="78" t="s">
        <v>53</v>
      </c>
      <c r="B109" s="72" t="str">
        <f t="shared" si="45"/>
        <v>Q2/2017</v>
      </c>
      <c r="C109" s="73">
        <f t="shared" si="43"/>
        <v>42826</v>
      </c>
      <c r="D109" s="73">
        <f t="shared" si="44"/>
        <v>42916</v>
      </c>
      <c r="E109" s="72">
        <f t="shared" si="38"/>
        <v>91</v>
      </c>
      <c r="F109" s="74">
        <f>VLOOKUP(D109,'FERC Interest Rate'!$A:$B,2,TRUE)</f>
        <v>3.7100000000000001E-2</v>
      </c>
      <c r="G109" s="75">
        <f t="shared" si="39"/>
        <v>1137.7186579092177</v>
      </c>
      <c r="H109" s="75">
        <v>0</v>
      </c>
      <c r="I109" s="99">
        <f t="shared" ref="I109:I127" si="47">(SUM($H$99:$H$125)/20)</f>
        <v>4.6809293636430196</v>
      </c>
      <c r="J109" s="76">
        <f t="shared" ref="J109:J125" si="48">G109*F109*(E109/(DATE(YEAR(D109),12,31)-DATE(YEAR(D109),1,1)+1))</f>
        <v>10.523430030047424</v>
      </c>
      <c r="K109" s="116">
        <f t="shared" si="40"/>
        <v>15.204359393690442</v>
      </c>
      <c r="L109" s="76">
        <f t="shared" si="46"/>
        <v>55.198999999999998</v>
      </c>
      <c r="M109" s="117">
        <f t="shared" si="41"/>
        <v>70.403359393690437</v>
      </c>
      <c r="N109" s="8">
        <f t="shared" si="42"/>
        <v>1148.242087939265</v>
      </c>
      <c r="O109" s="75">
        <f t="shared" si="37"/>
        <v>1077.8387285455747</v>
      </c>
    </row>
    <row r="110" spans="1:15" x14ac:dyDescent="0.25">
      <c r="A110" s="78" t="s">
        <v>54</v>
      </c>
      <c r="B110" s="72" t="str">
        <f t="shared" si="45"/>
        <v>Q3/2017</v>
      </c>
      <c r="C110" s="73">
        <f t="shared" si="43"/>
        <v>42917</v>
      </c>
      <c r="D110" s="73">
        <f t="shared" si="44"/>
        <v>43008</v>
      </c>
      <c r="E110" s="72">
        <f t="shared" si="38"/>
        <v>92</v>
      </c>
      <c r="F110" s="74">
        <f>VLOOKUP(D110,'FERC Interest Rate'!$A:$B,2,TRUE)</f>
        <v>3.9600000000000003E-2</v>
      </c>
      <c r="G110" s="75">
        <f t="shared" si="39"/>
        <v>1077.8387285455747</v>
      </c>
      <c r="H110" s="75">
        <v>0</v>
      </c>
      <c r="I110" s="99">
        <f t="shared" si="47"/>
        <v>4.6809293636430196</v>
      </c>
      <c r="J110" s="76">
        <f t="shared" si="48"/>
        <v>10.758307002293805</v>
      </c>
      <c r="K110" s="116">
        <f t="shared" si="40"/>
        <v>15.439236365936825</v>
      </c>
      <c r="L110" s="76">
        <f t="shared" si="46"/>
        <v>55.198999999999998</v>
      </c>
      <c r="M110" s="117">
        <f t="shared" si="41"/>
        <v>70.63823636593682</v>
      </c>
      <c r="N110" s="8">
        <f t="shared" si="42"/>
        <v>1088.5970355478685</v>
      </c>
      <c r="O110" s="75">
        <f t="shared" si="37"/>
        <v>1017.9587991819317</v>
      </c>
    </row>
    <row r="111" spans="1:15" x14ac:dyDescent="0.25">
      <c r="A111" s="17" t="s">
        <v>55</v>
      </c>
      <c r="B111" s="72" t="str">
        <f t="shared" si="45"/>
        <v>Q4/2017</v>
      </c>
      <c r="C111" s="73">
        <f t="shared" si="43"/>
        <v>43009</v>
      </c>
      <c r="D111" s="73">
        <f t="shared" si="44"/>
        <v>43100</v>
      </c>
      <c r="E111" s="72">
        <f t="shared" si="38"/>
        <v>92</v>
      </c>
      <c r="F111" s="74">
        <f>VLOOKUP(D111,'FERC Interest Rate'!$A:$B,2,TRUE)</f>
        <v>4.2099999999999999E-2</v>
      </c>
      <c r="G111" s="75">
        <f t="shared" si="39"/>
        <v>1017.9587991819317</v>
      </c>
      <c r="H111" s="75">
        <v>0</v>
      </c>
      <c r="I111" s="99">
        <f t="shared" si="47"/>
        <v>4.6809293636430196</v>
      </c>
      <c r="J111" s="76">
        <f t="shared" si="48"/>
        <v>10.802076769839612</v>
      </c>
      <c r="K111" s="116">
        <f t="shared" si="40"/>
        <v>15.483006133482633</v>
      </c>
      <c r="L111" s="76">
        <f t="shared" si="46"/>
        <v>55.198999999999998</v>
      </c>
      <c r="M111" s="117">
        <f t="shared" si="41"/>
        <v>70.682006133482631</v>
      </c>
      <c r="N111" s="8">
        <f t="shared" si="42"/>
        <v>1028.7608759517714</v>
      </c>
      <c r="O111" s="75">
        <f t="shared" si="37"/>
        <v>958.07886981828869</v>
      </c>
    </row>
    <row r="112" spans="1:15" x14ac:dyDescent="0.25">
      <c r="A112" s="17" t="s">
        <v>56</v>
      </c>
      <c r="B112" s="72" t="str">
        <f t="shared" si="45"/>
        <v>Q1/2018</v>
      </c>
      <c r="C112" s="73">
        <f t="shared" si="43"/>
        <v>43101</v>
      </c>
      <c r="D112" s="73">
        <f t="shared" si="44"/>
        <v>43190</v>
      </c>
      <c r="E112" s="72">
        <f t="shared" si="38"/>
        <v>90</v>
      </c>
      <c r="F112" s="74">
        <f>VLOOKUP(D112,'FERC Interest Rate'!$A:$B,2,TRUE)</f>
        <v>4.2500000000000003E-2</v>
      </c>
      <c r="G112" s="75">
        <f t="shared" si="39"/>
        <v>958.07886981828869</v>
      </c>
      <c r="H112" s="75">
        <v>0</v>
      </c>
      <c r="I112" s="99">
        <f t="shared" si="47"/>
        <v>4.6809293636430196</v>
      </c>
      <c r="J112" s="76">
        <f t="shared" si="48"/>
        <v>10.040141580972477</v>
      </c>
      <c r="K112" s="116">
        <f t="shared" si="40"/>
        <v>14.721070944615498</v>
      </c>
      <c r="L112" s="76">
        <f t="shared" si="46"/>
        <v>55.198999999999998</v>
      </c>
      <c r="M112" s="117">
        <f t="shared" si="41"/>
        <v>69.920070944615503</v>
      </c>
      <c r="N112" s="8">
        <f t="shared" si="42"/>
        <v>968.11901139926113</v>
      </c>
      <c r="O112" s="75">
        <f t="shared" si="37"/>
        <v>898.19894045464571</v>
      </c>
    </row>
    <row r="113" spans="1:15" x14ac:dyDescent="0.25">
      <c r="A113" s="17" t="s">
        <v>57</v>
      </c>
      <c r="B113" s="72" t="str">
        <f t="shared" si="45"/>
        <v>Q2/2018</v>
      </c>
      <c r="C113" s="73">
        <f t="shared" si="43"/>
        <v>43191</v>
      </c>
      <c r="D113" s="73">
        <f t="shared" si="44"/>
        <v>43281</v>
      </c>
      <c r="E113" s="72">
        <f t="shared" si="38"/>
        <v>91</v>
      </c>
      <c r="F113" s="74">
        <f>VLOOKUP(D113,'FERC Interest Rate'!$A:$B,2,TRUE)</f>
        <v>4.4699999999999997E-2</v>
      </c>
      <c r="G113" s="75">
        <f t="shared" si="39"/>
        <v>898.19894045464571</v>
      </c>
      <c r="H113" s="75">
        <v>0</v>
      </c>
      <c r="I113" s="99">
        <f t="shared" si="47"/>
        <v>4.6809293636430196</v>
      </c>
      <c r="J113" s="76">
        <f t="shared" si="48"/>
        <v>10.009873507088663</v>
      </c>
      <c r="K113" s="116">
        <f t="shared" si="40"/>
        <v>14.690802870731684</v>
      </c>
      <c r="L113" s="76">
        <f t="shared" si="46"/>
        <v>55.198999999999998</v>
      </c>
      <c r="M113" s="117">
        <f t="shared" si="41"/>
        <v>69.889802870731685</v>
      </c>
      <c r="N113" s="8">
        <f t="shared" si="42"/>
        <v>908.20881396173434</v>
      </c>
      <c r="O113" s="75">
        <f t="shared" si="37"/>
        <v>838.31901109100272</v>
      </c>
    </row>
    <row r="114" spans="1:15" x14ac:dyDescent="0.25">
      <c r="A114" s="17" t="s">
        <v>58</v>
      </c>
      <c r="B114" s="72" t="str">
        <f t="shared" si="45"/>
        <v>Q3/2018</v>
      </c>
      <c r="C114" s="73">
        <f t="shared" si="43"/>
        <v>43282</v>
      </c>
      <c r="D114" s="73">
        <f t="shared" si="44"/>
        <v>43373</v>
      </c>
      <c r="E114" s="72">
        <f t="shared" si="38"/>
        <v>92</v>
      </c>
      <c r="F114" s="74">
        <f>VLOOKUP(D114,'FERC Interest Rate'!$A:$B,2,TRUE)</f>
        <v>4.6899999999999997E-2</v>
      </c>
      <c r="G114" s="75">
        <f t="shared" si="39"/>
        <v>838.31901109100272</v>
      </c>
      <c r="H114" s="75">
        <v>0</v>
      </c>
      <c r="I114" s="99">
        <f t="shared" si="47"/>
        <v>4.6809293636430196</v>
      </c>
      <c r="J114" s="76">
        <f t="shared" si="48"/>
        <v>9.9100790933026257</v>
      </c>
      <c r="K114" s="116">
        <f t="shared" si="40"/>
        <v>14.591008456945644</v>
      </c>
      <c r="L114" s="76">
        <f t="shared" si="46"/>
        <v>55.198999999999998</v>
      </c>
      <c r="M114" s="117">
        <f t="shared" si="41"/>
        <v>69.790008456945642</v>
      </c>
      <c r="N114" s="8">
        <f t="shared" si="42"/>
        <v>848.22909018430539</v>
      </c>
      <c r="O114" s="75">
        <f t="shared" si="37"/>
        <v>778.43908172735973</v>
      </c>
    </row>
    <row r="115" spans="1:15" x14ac:dyDescent="0.25">
      <c r="A115" s="17" t="s">
        <v>59</v>
      </c>
      <c r="B115" s="72" t="str">
        <f t="shared" si="45"/>
        <v>Q4/2018</v>
      </c>
      <c r="C115" s="73">
        <f t="shared" si="43"/>
        <v>43374</v>
      </c>
      <c r="D115" s="73">
        <f t="shared" si="44"/>
        <v>43465</v>
      </c>
      <c r="E115" s="72">
        <f t="shared" si="38"/>
        <v>92</v>
      </c>
      <c r="F115" s="74">
        <f>VLOOKUP(D115,'FERC Interest Rate'!$A:$B,2,TRUE)</f>
        <v>4.9599999999999998E-2</v>
      </c>
      <c r="G115" s="75">
        <f t="shared" si="39"/>
        <v>778.43908172735973</v>
      </c>
      <c r="H115" s="75">
        <v>0</v>
      </c>
      <c r="I115" s="99">
        <f t="shared" si="47"/>
        <v>4.6809293636430196</v>
      </c>
      <c r="J115" s="76">
        <f t="shared" si="48"/>
        <v>9.7319814184610642</v>
      </c>
      <c r="K115" s="116">
        <f t="shared" si="40"/>
        <v>14.412910782104085</v>
      </c>
      <c r="L115" s="76">
        <f t="shared" si="46"/>
        <v>55.198999999999998</v>
      </c>
      <c r="M115" s="117">
        <f t="shared" si="41"/>
        <v>69.611910782104076</v>
      </c>
      <c r="N115" s="8">
        <f t="shared" si="42"/>
        <v>788.17106314582077</v>
      </c>
      <c r="O115" s="75">
        <f t="shared" si="37"/>
        <v>718.55915236371675</v>
      </c>
    </row>
    <row r="116" spans="1:15" x14ac:dyDescent="0.25">
      <c r="A116" s="17" t="s">
        <v>60</v>
      </c>
      <c r="B116" s="72" t="str">
        <f t="shared" si="45"/>
        <v>Q1/2019</v>
      </c>
      <c r="C116" s="73">
        <f t="shared" si="43"/>
        <v>43466</v>
      </c>
      <c r="D116" s="73">
        <f t="shared" si="44"/>
        <v>43555</v>
      </c>
      <c r="E116" s="72">
        <f t="shared" si="38"/>
        <v>90</v>
      </c>
      <c r="F116" s="74">
        <f>VLOOKUP(D116,'FERC Interest Rate'!$A:$B,2,TRUE)</f>
        <v>5.1799999999999999E-2</v>
      </c>
      <c r="G116" s="75">
        <f t="shared" si="39"/>
        <v>718.55915236371675</v>
      </c>
      <c r="H116" s="75">
        <v>0</v>
      </c>
      <c r="I116" s="99">
        <f t="shared" si="47"/>
        <v>4.6809293636430196</v>
      </c>
      <c r="J116" s="76">
        <f t="shared" si="48"/>
        <v>9.1778705981360194</v>
      </c>
      <c r="K116" s="116">
        <f t="shared" si="40"/>
        <v>13.858799961779038</v>
      </c>
      <c r="L116" s="76">
        <f t="shared" si="46"/>
        <v>55.198999999999998</v>
      </c>
      <c r="M116" s="117">
        <f t="shared" si="41"/>
        <v>69.05779996177904</v>
      </c>
      <c r="N116" s="8">
        <f t="shared" si="42"/>
        <v>727.73702296185274</v>
      </c>
      <c r="O116" s="75">
        <f t="shared" si="37"/>
        <v>658.67922300007376</v>
      </c>
    </row>
    <row r="117" spans="1:15" x14ac:dyDescent="0.25">
      <c r="A117" s="17" t="s">
        <v>61</v>
      </c>
      <c r="B117" s="72" t="str">
        <f t="shared" si="45"/>
        <v>Q2/2019</v>
      </c>
      <c r="C117" s="73">
        <f t="shared" si="43"/>
        <v>43556</v>
      </c>
      <c r="D117" s="73">
        <f t="shared" si="44"/>
        <v>43646</v>
      </c>
      <c r="E117" s="72">
        <f t="shared" si="38"/>
        <v>91</v>
      </c>
      <c r="F117" s="74">
        <f>VLOOKUP(D117,'FERC Interest Rate'!$A:$B,2,TRUE)</f>
        <v>5.45E-2</v>
      </c>
      <c r="G117" s="75">
        <f t="shared" si="39"/>
        <v>658.67922300007376</v>
      </c>
      <c r="H117" s="75">
        <v>0</v>
      </c>
      <c r="I117" s="99">
        <f t="shared" si="47"/>
        <v>4.6809293636430196</v>
      </c>
      <c r="J117" s="76">
        <f t="shared" si="48"/>
        <v>8.9499167300516866</v>
      </c>
      <c r="K117" s="116">
        <f t="shared" si="40"/>
        <v>13.630846093694707</v>
      </c>
      <c r="L117" s="76">
        <f t="shared" si="46"/>
        <v>55.198999999999998</v>
      </c>
      <c r="M117" s="117">
        <f t="shared" si="41"/>
        <v>68.829846093694698</v>
      </c>
      <c r="N117" s="8">
        <f t="shared" si="42"/>
        <v>667.62913973012542</v>
      </c>
      <c r="O117" s="75">
        <f t="shared" si="37"/>
        <v>598.79929363643078</v>
      </c>
    </row>
    <row r="118" spans="1:15" x14ac:dyDescent="0.25">
      <c r="A118" s="17" t="s">
        <v>62</v>
      </c>
      <c r="B118" s="72" t="str">
        <f t="shared" si="45"/>
        <v>Q3/2019</v>
      </c>
      <c r="C118" s="73">
        <f t="shared" si="43"/>
        <v>43647</v>
      </c>
      <c r="D118" s="73">
        <f t="shared" si="44"/>
        <v>43738</v>
      </c>
      <c r="E118" s="72">
        <f t="shared" si="38"/>
        <v>92</v>
      </c>
      <c r="F118" s="74">
        <f>VLOOKUP(D118,'FERC Interest Rate'!$A:$B,2,TRUE)</f>
        <v>5.5E-2</v>
      </c>
      <c r="G118" s="75">
        <f t="shared" si="39"/>
        <v>598.79929363643078</v>
      </c>
      <c r="H118" s="75">
        <v>0</v>
      </c>
      <c r="I118" s="99">
        <f t="shared" si="47"/>
        <v>4.6809293636430196</v>
      </c>
      <c r="J118" s="76">
        <f t="shared" si="48"/>
        <v>8.3011628104118902</v>
      </c>
      <c r="K118" s="116">
        <f t="shared" si="40"/>
        <v>12.982092174054909</v>
      </c>
      <c r="L118" s="76">
        <f t="shared" si="46"/>
        <v>55.198999999999998</v>
      </c>
      <c r="M118" s="117">
        <f t="shared" si="41"/>
        <v>68.181092174054911</v>
      </c>
      <c r="N118" s="8">
        <f t="shared" si="42"/>
        <v>607.10045644684271</v>
      </c>
      <c r="O118" s="75">
        <f t="shared" si="37"/>
        <v>538.91936427278779</v>
      </c>
    </row>
    <row r="119" spans="1:15" x14ac:dyDescent="0.25">
      <c r="A119" s="17" t="s">
        <v>63</v>
      </c>
      <c r="B119" s="72" t="str">
        <f t="shared" si="45"/>
        <v>Q4/2019</v>
      </c>
      <c r="C119" s="73">
        <f t="shared" si="43"/>
        <v>43739</v>
      </c>
      <c r="D119" s="73">
        <f t="shared" si="44"/>
        <v>43830</v>
      </c>
      <c r="E119" s="72">
        <f t="shared" si="38"/>
        <v>92</v>
      </c>
      <c r="F119" s="74">
        <f>VLOOKUP(D119,'FERC Interest Rate'!$A:$B,2,TRUE)</f>
        <v>5.4199999999999998E-2</v>
      </c>
      <c r="G119" s="75">
        <f t="shared" si="39"/>
        <v>538.91936427278779</v>
      </c>
      <c r="H119" s="75">
        <v>0</v>
      </c>
      <c r="I119" s="99">
        <f t="shared" si="47"/>
        <v>4.6809293636430196</v>
      </c>
      <c r="J119" s="76">
        <f t="shared" si="48"/>
        <v>7.3623767616707649</v>
      </c>
      <c r="K119" s="116">
        <f t="shared" si="40"/>
        <v>12.043306125313784</v>
      </c>
      <c r="L119" s="76">
        <f t="shared" si="46"/>
        <v>55.198999999999998</v>
      </c>
      <c r="M119" s="117">
        <f t="shared" si="41"/>
        <v>67.242306125313775</v>
      </c>
      <c r="N119" s="8">
        <f t="shared" si="42"/>
        <v>546.28174103445861</v>
      </c>
      <c r="O119" s="75">
        <f t="shared" si="37"/>
        <v>479.03943490914475</v>
      </c>
    </row>
    <row r="120" spans="1:15" x14ac:dyDescent="0.25">
      <c r="A120" s="17" t="s">
        <v>64</v>
      </c>
      <c r="B120" s="72" t="str">
        <f t="shared" si="45"/>
        <v>Q1/2020</v>
      </c>
      <c r="C120" s="73">
        <f t="shared" si="43"/>
        <v>43831</v>
      </c>
      <c r="D120" s="73">
        <f t="shared" si="44"/>
        <v>43921</v>
      </c>
      <c r="E120" s="72">
        <f t="shared" si="38"/>
        <v>91</v>
      </c>
      <c r="F120" s="74">
        <f>VLOOKUP(D120,'FERC Interest Rate'!$A:$B,2,TRUE)</f>
        <v>4.9599999999999998E-2</v>
      </c>
      <c r="G120" s="75">
        <f t="shared" si="39"/>
        <v>479.03943490914475</v>
      </c>
      <c r="H120" s="75">
        <v>0</v>
      </c>
      <c r="I120" s="99">
        <f t="shared" si="47"/>
        <v>4.6809293636430196</v>
      </c>
      <c r="J120" s="76">
        <f t="shared" si="48"/>
        <v>5.9076294901800974</v>
      </c>
      <c r="K120" s="116">
        <f t="shared" si="40"/>
        <v>10.588558853823116</v>
      </c>
      <c r="L120" s="76">
        <f t="shared" si="46"/>
        <v>55.198999999999998</v>
      </c>
      <c r="M120" s="117">
        <f t="shared" si="41"/>
        <v>65.787558853823114</v>
      </c>
      <c r="N120" s="8">
        <f t="shared" si="42"/>
        <v>484.94706439932486</v>
      </c>
      <c r="O120" s="75">
        <f t="shared" si="37"/>
        <v>419.1595055455017</v>
      </c>
    </row>
    <row r="121" spans="1:15" x14ac:dyDescent="0.25">
      <c r="A121" s="17" t="s">
        <v>65</v>
      </c>
      <c r="B121" s="72" t="str">
        <f t="shared" si="45"/>
        <v>Q2/2020</v>
      </c>
      <c r="C121" s="73">
        <f t="shared" si="43"/>
        <v>43922</v>
      </c>
      <c r="D121" s="73">
        <f t="shared" si="44"/>
        <v>44012</v>
      </c>
      <c r="E121" s="72">
        <f t="shared" si="38"/>
        <v>91</v>
      </c>
      <c r="F121" s="74">
        <f>VLOOKUP(D121,'FERC Interest Rate'!$A:$B,2,TRUE)</f>
        <v>4.7503500000000004E-2</v>
      </c>
      <c r="G121" s="75">
        <f t="shared" si="39"/>
        <v>419.1595055455017</v>
      </c>
      <c r="H121" s="75">
        <v>0</v>
      </c>
      <c r="I121" s="99">
        <f t="shared" si="47"/>
        <v>4.6809293636430196</v>
      </c>
      <c r="J121" s="76">
        <f t="shared" si="48"/>
        <v>4.9506843306637913</v>
      </c>
      <c r="K121" s="116">
        <f t="shared" si="40"/>
        <v>9.6316136943068109</v>
      </c>
      <c r="L121" s="76">
        <f t="shared" si="46"/>
        <v>55.198999999999998</v>
      </c>
      <c r="M121" s="117">
        <f t="shared" si="41"/>
        <v>64.830613694306805</v>
      </c>
      <c r="N121" s="8">
        <f t="shared" si="42"/>
        <v>424.11018987616552</v>
      </c>
      <c r="O121" s="75">
        <f t="shared" si="37"/>
        <v>359.27957618185866</v>
      </c>
    </row>
    <row r="122" spans="1:15" x14ac:dyDescent="0.25">
      <c r="A122" s="17" t="s">
        <v>66</v>
      </c>
      <c r="B122" s="72" t="str">
        <f t="shared" si="45"/>
        <v>Q3/2020</v>
      </c>
      <c r="C122" s="73">
        <f t="shared" si="43"/>
        <v>44013</v>
      </c>
      <c r="D122" s="73">
        <f t="shared" si="44"/>
        <v>44104</v>
      </c>
      <c r="E122" s="72">
        <f t="shared" si="38"/>
        <v>92</v>
      </c>
      <c r="F122" s="74">
        <f>VLOOKUP(D122,'FERC Interest Rate'!$A:$B,2,TRUE)</f>
        <v>4.7507929999999997E-2</v>
      </c>
      <c r="G122" s="75">
        <f t="shared" si="39"/>
        <v>359.27957618185866</v>
      </c>
      <c r="H122" s="75">
        <v>0</v>
      </c>
      <c r="I122" s="99">
        <f t="shared" si="47"/>
        <v>4.6809293636430196</v>
      </c>
      <c r="J122" s="76">
        <f t="shared" si="48"/>
        <v>4.2904750380391299</v>
      </c>
      <c r="K122" s="116">
        <f t="shared" si="40"/>
        <v>8.9714044016821504</v>
      </c>
      <c r="L122" s="76">
        <f t="shared" si="46"/>
        <v>55.198999999999998</v>
      </c>
      <c r="M122" s="117">
        <f t="shared" si="41"/>
        <v>64.170404401682148</v>
      </c>
      <c r="N122" s="8">
        <f t="shared" si="42"/>
        <v>363.57005121989778</v>
      </c>
      <c r="O122" s="75">
        <f t="shared" si="37"/>
        <v>299.39964681821561</v>
      </c>
    </row>
    <row r="123" spans="1:15" x14ac:dyDescent="0.25">
      <c r="A123" s="17" t="s">
        <v>67</v>
      </c>
      <c r="B123" s="72" t="str">
        <f t="shared" si="45"/>
        <v>Q4/2020</v>
      </c>
      <c r="C123" s="73">
        <f t="shared" si="43"/>
        <v>44105</v>
      </c>
      <c r="D123" s="73">
        <f t="shared" si="44"/>
        <v>44196</v>
      </c>
      <c r="E123" s="72">
        <f t="shared" si="38"/>
        <v>92</v>
      </c>
      <c r="F123" s="74">
        <f>VLOOKUP(D123,'FERC Interest Rate'!$A:$B,2,TRUE)</f>
        <v>4.7922320000000004E-2</v>
      </c>
      <c r="G123" s="75">
        <f t="shared" si="39"/>
        <v>299.39964681821561</v>
      </c>
      <c r="H123" s="75">
        <v>0</v>
      </c>
      <c r="I123" s="99">
        <f t="shared" si="47"/>
        <v>4.6809293636430196</v>
      </c>
      <c r="J123" s="76">
        <f t="shared" si="48"/>
        <v>3.6065824120471999</v>
      </c>
      <c r="K123" s="116">
        <f t="shared" si="40"/>
        <v>8.2875117756902199</v>
      </c>
      <c r="L123" s="76">
        <f t="shared" si="46"/>
        <v>55.198999999999998</v>
      </c>
      <c r="M123" s="117">
        <f t="shared" si="41"/>
        <v>63.486511775690218</v>
      </c>
      <c r="N123" s="8">
        <f t="shared" si="42"/>
        <v>303.00622923026282</v>
      </c>
      <c r="O123" s="75">
        <f t="shared" si="37"/>
        <v>239.51971745457257</v>
      </c>
    </row>
    <row r="124" spans="1:15" x14ac:dyDescent="0.25">
      <c r="A124" s="17" t="s">
        <v>68</v>
      </c>
      <c r="B124" s="72" t="str">
        <f t="shared" si="45"/>
        <v>Q1/2021</v>
      </c>
      <c r="C124" s="73">
        <f t="shared" si="43"/>
        <v>44197</v>
      </c>
      <c r="D124" s="73">
        <f t="shared" si="44"/>
        <v>44286</v>
      </c>
      <c r="E124" s="72">
        <f t="shared" si="38"/>
        <v>90</v>
      </c>
      <c r="F124" s="74">
        <f>VLOOKUP(D124,'FERC Interest Rate'!$A:$B,2,TRUE)</f>
        <v>5.0023470000000007E-2</v>
      </c>
      <c r="G124" s="75">
        <f t="shared" si="39"/>
        <v>239.51971745457257</v>
      </c>
      <c r="H124" s="75">
        <v>0</v>
      </c>
      <c r="I124" s="99">
        <f t="shared" si="47"/>
        <v>4.6809293636430196</v>
      </c>
      <c r="J124" s="76">
        <f t="shared" si="48"/>
        <v>2.9543689480678244</v>
      </c>
      <c r="K124" s="116">
        <f t="shared" si="40"/>
        <v>7.6352983117108444</v>
      </c>
      <c r="L124" s="76">
        <f t="shared" si="46"/>
        <v>55.198999999999998</v>
      </c>
      <c r="M124" s="117">
        <f t="shared" si="41"/>
        <v>62.834298311710839</v>
      </c>
      <c r="N124" s="8">
        <f t="shared" si="42"/>
        <v>242.47408640264041</v>
      </c>
      <c r="O124" s="75">
        <f t="shared" si="37"/>
        <v>179.63978809092953</v>
      </c>
    </row>
    <row r="125" spans="1:15" x14ac:dyDescent="0.25">
      <c r="A125" s="17" t="s">
        <v>69</v>
      </c>
      <c r="B125" s="72" t="str">
        <f t="shared" si="45"/>
        <v>Q2/2021</v>
      </c>
      <c r="C125" s="73">
        <f t="shared" si="43"/>
        <v>44287</v>
      </c>
      <c r="D125" s="73">
        <f t="shared" si="44"/>
        <v>44377</v>
      </c>
      <c r="E125" s="72">
        <f t="shared" si="38"/>
        <v>91</v>
      </c>
      <c r="F125" s="74">
        <f>VLOOKUP(D125,'FERC Interest Rate'!$A:$B,2,TRUE)</f>
        <v>5.0403730000000001E-2</v>
      </c>
      <c r="G125" s="75">
        <f t="shared" si="39"/>
        <v>179.63978809092953</v>
      </c>
      <c r="H125" s="75">
        <v>0</v>
      </c>
      <c r="I125" s="99">
        <f t="shared" si="47"/>
        <v>4.6809293636430196</v>
      </c>
      <c r="J125" s="76">
        <f t="shared" si="48"/>
        <v>2.2574271211877011</v>
      </c>
      <c r="K125" s="116">
        <f t="shared" si="40"/>
        <v>6.9383564848307202</v>
      </c>
      <c r="L125" s="76">
        <f t="shared" si="46"/>
        <v>55.198999999999998</v>
      </c>
      <c r="M125" s="117">
        <f t="shared" si="41"/>
        <v>62.137356484830718</v>
      </c>
      <c r="N125" s="8">
        <f t="shared" si="42"/>
        <v>181.89721521211723</v>
      </c>
      <c r="O125" s="75">
        <f t="shared" si="37"/>
        <v>119.75985872728651</v>
      </c>
    </row>
    <row r="126" spans="1:15" x14ac:dyDescent="0.25">
      <c r="A126" s="17" t="s">
        <v>70</v>
      </c>
      <c r="B126" s="72" t="str">
        <f>+IF(MONTH(C126)&lt;4,"Q1",IF(MONTH(C126)&lt;7,"Q2",IF(MONTH(C126)&lt;10,"Q3","Q4")))&amp;"/"&amp;YEAR(C126)</f>
        <v>Q3/2021</v>
      </c>
      <c r="C126" s="73">
        <f>D125+1</f>
        <v>44378</v>
      </c>
      <c r="D126" s="73">
        <f t="shared" si="44"/>
        <v>44469</v>
      </c>
      <c r="E126" s="72">
        <f>D126-C126+1</f>
        <v>92</v>
      </c>
      <c r="F126" s="74">
        <f>VLOOKUP(D126,'FERC Interest Rate'!$A:$B,2,TRUE)</f>
        <v>5.2520850000000001E-2</v>
      </c>
      <c r="G126" s="75">
        <f>O125</f>
        <v>119.75985872728651</v>
      </c>
      <c r="H126" s="75">
        <v>0</v>
      </c>
      <c r="I126" s="99">
        <f t="shared" si="47"/>
        <v>4.6809293636430196</v>
      </c>
      <c r="J126" s="76">
        <f>G126*F126*(E126/(DATE(YEAR(D126),12,31)-DATE(YEAR(D126),1,1)+1))</f>
        <v>1.5853968246953551</v>
      </c>
      <c r="K126" s="116">
        <f>+SUM(I126:J126)</f>
        <v>6.2663261883383745</v>
      </c>
      <c r="L126" s="76">
        <f t="shared" si="46"/>
        <v>55.198999999999998</v>
      </c>
      <c r="M126" s="117">
        <f>+SUM(K126:L126)</f>
        <v>61.465326188338373</v>
      </c>
      <c r="N126" s="8">
        <f>+G126+H126+J126</f>
        <v>121.34525555198186</v>
      </c>
      <c r="O126" s="75">
        <f>G126+H126-L126-I126</f>
        <v>59.879929363643498</v>
      </c>
    </row>
    <row r="127" spans="1:15" x14ac:dyDescent="0.25">
      <c r="A127" s="17" t="s">
        <v>71</v>
      </c>
      <c r="B127" s="72" t="str">
        <f>+IF(MONTH(C127)&lt;4,"Q1",IF(MONTH(C127)&lt;7,"Q2",IF(MONTH(C127)&lt;10,"Q3","Q4")))&amp;"/"&amp;YEAR(C127)</f>
        <v>Q4/2021</v>
      </c>
      <c r="C127" s="73">
        <f>D126+1</f>
        <v>44470</v>
      </c>
      <c r="D127" s="73">
        <f t="shared" si="44"/>
        <v>44561</v>
      </c>
      <c r="E127" s="72">
        <f>D127-C127+1</f>
        <v>92</v>
      </c>
      <c r="F127" s="74">
        <f>VLOOKUP(D127,'FERC Interest Rate'!$A:$B,2,TRUE)</f>
        <v>5.2766440000000005E-2</v>
      </c>
      <c r="G127" s="75">
        <f>O126</f>
        <v>59.879929363643498</v>
      </c>
      <c r="H127" s="75">
        <v>0</v>
      </c>
      <c r="I127" s="99">
        <f t="shared" si="47"/>
        <v>4.6809293636430196</v>
      </c>
      <c r="J127" s="76">
        <f>G127*F127*(E127/(DATE(YEAR(D127),12,31)-DATE(YEAR(D127),1,1)+1))</f>
        <v>0.79640510793787911</v>
      </c>
      <c r="K127" s="116">
        <f>+SUM(I127:J127)</f>
        <v>5.4773344715808987</v>
      </c>
      <c r="L127" s="76">
        <f t="shared" si="46"/>
        <v>55.198999999999998</v>
      </c>
      <c r="M127" s="117">
        <f>+SUM(K127:L127)</f>
        <v>60.676334471580894</v>
      </c>
      <c r="N127" s="8">
        <f>+G127+H127+J127</f>
        <v>60.676334471581377</v>
      </c>
      <c r="O127" s="75">
        <f>G127+H127-L127-I127</f>
        <v>4.8050452505776775E-13</v>
      </c>
    </row>
    <row r="128" spans="1:15" x14ac:dyDescent="0.25">
      <c r="A128" s="78"/>
      <c r="B128" s="72"/>
      <c r="C128" s="73"/>
      <c r="D128" s="73"/>
      <c r="E128" s="72"/>
      <c r="F128" s="74"/>
      <c r="G128" s="75"/>
      <c r="H128" s="75"/>
      <c r="I128" s="99"/>
      <c r="J128" s="76"/>
      <c r="K128" s="116"/>
      <c r="L128" s="76"/>
      <c r="M128" s="117"/>
      <c r="N128" s="8"/>
      <c r="O128" s="75"/>
    </row>
    <row r="129" spans="1:15" ht="13.5" thickBot="1" x14ac:dyDescent="0.35">
      <c r="A129" s="142"/>
      <c r="B129" s="143"/>
      <c r="C129" s="144"/>
      <c r="D129" s="144"/>
      <c r="E129" s="145"/>
      <c r="F129" s="143"/>
      <c r="G129" s="124">
        <f t="shared" ref="G129:O129" si="49">SUM(G99:G128)</f>
        <v>22814.476585569169</v>
      </c>
      <c r="H129" s="124">
        <f t="shared" si="49"/>
        <v>93.618587272860395</v>
      </c>
      <c r="I129" s="125">
        <f t="shared" si="49"/>
        <v>93.618587272860367</v>
      </c>
      <c r="J129" s="124">
        <f t="shared" si="49"/>
        <v>131.91618557509503</v>
      </c>
      <c r="K129" s="124">
        <f t="shared" si="49"/>
        <v>225.53477284795542</v>
      </c>
      <c r="L129" s="124">
        <f t="shared" si="49"/>
        <v>1103.9799999999998</v>
      </c>
      <c r="M129" s="126">
        <f t="shared" si="49"/>
        <v>1329.5147728479553</v>
      </c>
      <c r="N129" s="124">
        <f t="shared" si="49"/>
        <v>23040.011358417127</v>
      </c>
      <c r="O129" s="124">
        <f t="shared" si="49"/>
        <v>21710.496585569166</v>
      </c>
    </row>
    <row r="130" spans="1:15" ht="14" thickTop="1" thickBot="1" x14ac:dyDescent="0.35">
      <c r="A130" s="181"/>
      <c r="B130" s="205"/>
      <c r="C130" s="327"/>
      <c r="D130" s="327"/>
      <c r="E130" s="207"/>
      <c r="F130" s="205"/>
      <c r="G130" s="330"/>
      <c r="H130" s="330"/>
      <c r="I130" s="329"/>
      <c r="J130" s="330"/>
      <c r="K130" s="330"/>
      <c r="L130" s="330"/>
      <c r="M130" s="331"/>
      <c r="N130" s="330"/>
      <c r="O130" s="330"/>
    </row>
    <row r="131" spans="1:15" ht="13.5" thickTop="1" x14ac:dyDescent="0.3">
      <c r="B131" s="103"/>
      <c r="C131" s="103"/>
      <c r="D131" s="103"/>
      <c r="E131" s="103"/>
      <c r="F131" s="103"/>
      <c r="G131" s="103"/>
      <c r="H131" s="103"/>
      <c r="I131" s="201"/>
      <c r="J131" s="348" t="s">
        <v>14</v>
      </c>
      <c r="K131" s="348"/>
      <c r="L131" s="141" t="s">
        <v>54</v>
      </c>
      <c r="M131" s="202"/>
      <c r="O131" s="103"/>
    </row>
    <row r="132" spans="1:15" ht="39" x14ac:dyDescent="0.3">
      <c r="A132" s="77" t="s">
        <v>51</v>
      </c>
      <c r="B132" s="77" t="s">
        <v>3</v>
      </c>
      <c r="C132" s="77" t="s">
        <v>4</v>
      </c>
      <c r="D132" s="77" t="s">
        <v>5</v>
      </c>
      <c r="E132" s="77" t="s">
        <v>6</v>
      </c>
      <c r="F132" s="77" t="s">
        <v>7</v>
      </c>
      <c r="G132" s="77" t="s">
        <v>92</v>
      </c>
      <c r="H132" s="77" t="s">
        <v>93</v>
      </c>
      <c r="I132" s="94" t="s">
        <v>94</v>
      </c>
      <c r="J132" s="95" t="s">
        <v>95</v>
      </c>
      <c r="K132" s="95" t="s">
        <v>96</v>
      </c>
      <c r="L132" s="95" t="s">
        <v>97</v>
      </c>
      <c r="M132" s="96" t="s">
        <v>98</v>
      </c>
      <c r="N132" s="77" t="s">
        <v>99</v>
      </c>
      <c r="O132" s="77" t="s">
        <v>100</v>
      </c>
    </row>
    <row r="133" spans="1:15" x14ac:dyDescent="0.25">
      <c r="A133" s="17" t="s">
        <v>21</v>
      </c>
      <c r="B133" s="72" t="str">
        <f t="shared" ref="B133:B139" si="50">+IF(MONTH(C133)&lt;4,"Q1",IF(MONTH(C133)&lt;7,"Q2",IF(MONTH(C133)&lt;10,"Q3","Q4")))&amp;"/"&amp;YEAR(C133)</f>
        <v>Q1/2015</v>
      </c>
      <c r="C133" s="73">
        <f>VLOOKUP(L131,A$1:F$29,2,FALSE)</f>
        <v>42034</v>
      </c>
      <c r="D133" s="73">
        <f>DATE(YEAR(C133),IF(MONTH(C133)&lt;=3,3,IF(MONTH(C133)&lt;=6,6,IF(MONTH(C133)&lt;=9,9,12))),IF(OR(MONTH(C133)&lt;=3,MONTH(C133)&gt;=10),31,30))</f>
        <v>42094</v>
      </c>
      <c r="E133" s="72">
        <f>D133-C133+1</f>
        <v>61</v>
      </c>
      <c r="F133" s="74">
        <f>VLOOKUP(D133,'FERC Interest Rate'!$A:$B,2,TRUE)</f>
        <v>3.2500000000000001E-2</v>
      </c>
      <c r="G133" s="75">
        <f>VLOOKUP(L131,$A$1:$F$29,5,FALSE)</f>
        <v>1975.7</v>
      </c>
      <c r="H133" s="75">
        <f t="shared" ref="H133:H141" si="51">G133*F133*(E133/(DATE(YEAR(D133),12,31)-DATE(YEAR(D133),1,1)+1))</f>
        <v>10.731028082191783</v>
      </c>
      <c r="I133" s="180">
        <v>0</v>
      </c>
      <c r="J133" s="76">
        <v>0</v>
      </c>
      <c r="K133" s="116">
        <f t="shared" ref="K133:K158" si="52">+SUM(I133:J133)</f>
        <v>0</v>
      </c>
      <c r="L133" s="76">
        <v>0</v>
      </c>
      <c r="M133" s="117">
        <f t="shared" ref="M133:M158" si="53">+SUM(K133:L133)</f>
        <v>0</v>
      </c>
      <c r="N133" s="8">
        <f t="shared" ref="N133:N158" si="54">+G133+H133+J133</f>
        <v>1986.4310280821919</v>
      </c>
      <c r="O133" s="75">
        <f t="shared" ref="O133:O158" si="55">G133+H133-L133-I133</f>
        <v>1986.4310280821919</v>
      </c>
    </row>
    <row r="134" spans="1:15" x14ac:dyDescent="0.25">
      <c r="A134" s="17" t="s">
        <v>21</v>
      </c>
      <c r="B134" s="72" t="str">
        <f t="shared" si="50"/>
        <v>Q2/2015</v>
      </c>
      <c r="C134" s="73">
        <f>D133+1</f>
        <v>42095</v>
      </c>
      <c r="D134" s="73">
        <f>EOMONTH(D133,3)</f>
        <v>42185</v>
      </c>
      <c r="E134" s="72">
        <f t="shared" ref="E134:E158" si="56">D134-C134+1</f>
        <v>91</v>
      </c>
      <c r="F134" s="74">
        <f>VLOOKUP(D134,'FERC Interest Rate'!$A:$B,2,TRUE)</f>
        <v>3.2500000000000001E-2</v>
      </c>
      <c r="G134" s="75">
        <f t="shared" ref="G134:G158" si="57">O133</f>
        <v>1986.4310280821919</v>
      </c>
      <c r="H134" s="75">
        <f t="shared" si="51"/>
        <v>16.095533604255021</v>
      </c>
      <c r="I134" s="180">
        <v>0</v>
      </c>
      <c r="J134" s="76">
        <v>0</v>
      </c>
      <c r="K134" s="116">
        <f t="shared" si="52"/>
        <v>0</v>
      </c>
      <c r="L134" s="76">
        <v>0</v>
      </c>
      <c r="M134" s="117">
        <f t="shared" si="53"/>
        <v>0</v>
      </c>
      <c r="N134" s="8">
        <f t="shared" si="54"/>
        <v>2002.5265616864469</v>
      </c>
      <c r="O134" s="75">
        <f t="shared" si="55"/>
        <v>2002.5265616864469</v>
      </c>
    </row>
    <row r="135" spans="1:15" x14ac:dyDescent="0.25">
      <c r="A135" s="17" t="s">
        <v>21</v>
      </c>
      <c r="B135" s="72" t="str">
        <f t="shared" si="50"/>
        <v>Q3/2015</v>
      </c>
      <c r="C135" s="73">
        <f t="shared" ref="C135:C158" si="58">D134+1</f>
        <v>42186</v>
      </c>
      <c r="D135" s="73">
        <f t="shared" ref="D135:D160" si="59">EOMONTH(D134,3)</f>
        <v>42277</v>
      </c>
      <c r="E135" s="72">
        <f t="shared" si="56"/>
        <v>92</v>
      </c>
      <c r="F135" s="74">
        <f>VLOOKUP(D135,'FERC Interest Rate'!$A:$B,2,TRUE)</f>
        <v>3.2500000000000001E-2</v>
      </c>
      <c r="G135" s="75">
        <f t="shared" si="57"/>
        <v>2002.5265616864469</v>
      </c>
      <c r="H135" s="75">
        <f t="shared" si="51"/>
        <v>16.404258683404045</v>
      </c>
      <c r="I135" s="180">
        <v>0</v>
      </c>
      <c r="J135" s="76">
        <v>0</v>
      </c>
      <c r="K135" s="116">
        <f t="shared" si="52"/>
        <v>0</v>
      </c>
      <c r="L135" s="76">
        <v>0</v>
      </c>
      <c r="M135" s="117">
        <f t="shared" si="53"/>
        <v>0</v>
      </c>
      <c r="N135" s="8">
        <f t="shared" si="54"/>
        <v>2018.9308203698511</v>
      </c>
      <c r="O135" s="75">
        <f t="shared" si="55"/>
        <v>2018.9308203698511</v>
      </c>
    </row>
    <row r="136" spans="1:15" x14ac:dyDescent="0.25">
      <c r="A136" s="17" t="s">
        <v>21</v>
      </c>
      <c r="B136" s="72" t="str">
        <f t="shared" si="50"/>
        <v>Q4/2015</v>
      </c>
      <c r="C136" s="73">
        <f t="shared" si="58"/>
        <v>42278</v>
      </c>
      <c r="D136" s="73">
        <f t="shared" si="59"/>
        <v>42369</v>
      </c>
      <c r="E136" s="72">
        <f t="shared" si="56"/>
        <v>92</v>
      </c>
      <c r="F136" s="74">
        <f>VLOOKUP(D136,'FERC Interest Rate'!$A:$B,2,TRUE)</f>
        <v>3.2500000000000001E-2</v>
      </c>
      <c r="G136" s="75">
        <f t="shared" si="57"/>
        <v>2018.9308203698511</v>
      </c>
      <c r="H136" s="75">
        <f t="shared" si="51"/>
        <v>16.538638775084532</v>
      </c>
      <c r="I136" s="180">
        <v>0</v>
      </c>
      <c r="J136" s="76">
        <v>0</v>
      </c>
      <c r="K136" s="116">
        <f t="shared" si="52"/>
        <v>0</v>
      </c>
      <c r="L136" s="76">
        <v>0</v>
      </c>
      <c r="M136" s="117">
        <f t="shared" si="53"/>
        <v>0</v>
      </c>
      <c r="N136" s="8">
        <f t="shared" si="54"/>
        <v>2035.4694591449356</v>
      </c>
      <c r="O136" s="75">
        <f t="shared" si="55"/>
        <v>2035.4694591449356</v>
      </c>
    </row>
    <row r="137" spans="1:15" x14ac:dyDescent="0.25">
      <c r="A137" s="17" t="s">
        <v>21</v>
      </c>
      <c r="B137" s="72" t="str">
        <f t="shared" si="50"/>
        <v>Q1/2016</v>
      </c>
      <c r="C137" s="73">
        <f t="shared" si="58"/>
        <v>42370</v>
      </c>
      <c r="D137" s="73">
        <f t="shared" si="59"/>
        <v>42460</v>
      </c>
      <c r="E137" s="72">
        <f t="shared" si="56"/>
        <v>91</v>
      </c>
      <c r="F137" s="74">
        <f>VLOOKUP(D137,'FERC Interest Rate'!$A:$B,2,TRUE)</f>
        <v>3.2500000000000001E-2</v>
      </c>
      <c r="G137" s="75">
        <f t="shared" si="57"/>
        <v>2035.4694591449356</v>
      </c>
      <c r="H137" s="75">
        <f t="shared" si="51"/>
        <v>16.447816736123354</v>
      </c>
      <c r="I137" s="180">
        <v>0</v>
      </c>
      <c r="J137" s="76">
        <v>0</v>
      </c>
      <c r="K137" s="116">
        <f t="shared" si="52"/>
        <v>0</v>
      </c>
      <c r="L137" s="76">
        <v>0</v>
      </c>
      <c r="M137" s="117">
        <f t="shared" si="53"/>
        <v>0</v>
      </c>
      <c r="N137" s="8">
        <f t="shared" si="54"/>
        <v>2051.9172758810591</v>
      </c>
      <c r="O137" s="75">
        <f t="shared" si="55"/>
        <v>2051.9172758810591</v>
      </c>
    </row>
    <row r="138" spans="1:15" x14ac:dyDescent="0.25">
      <c r="A138" s="17" t="s">
        <v>21</v>
      </c>
      <c r="B138" s="72" t="str">
        <f t="shared" si="50"/>
        <v>Q2/2016</v>
      </c>
      <c r="C138" s="73">
        <f t="shared" si="58"/>
        <v>42461</v>
      </c>
      <c r="D138" s="73">
        <f t="shared" si="59"/>
        <v>42551</v>
      </c>
      <c r="E138" s="72">
        <f t="shared" si="56"/>
        <v>91</v>
      </c>
      <c r="F138" s="74">
        <f>VLOOKUP(D138,'FERC Interest Rate'!$A:$B,2,TRUE)</f>
        <v>3.4599999999999999E-2</v>
      </c>
      <c r="G138" s="75">
        <f t="shared" si="57"/>
        <v>2051.9172758810591</v>
      </c>
      <c r="H138" s="75">
        <f t="shared" si="51"/>
        <v>17.652094903931971</v>
      </c>
      <c r="I138" s="180">
        <v>0</v>
      </c>
      <c r="J138" s="76">
        <v>0</v>
      </c>
      <c r="K138" s="116">
        <f t="shared" si="52"/>
        <v>0</v>
      </c>
      <c r="L138" s="76">
        <v>0</v>
      </c>
      <c r="M138" s="117">
        <f t="shared" si="53"/>
        <v>0</v>
      </c>
      <c r="N138" s="8">
        <f t="shared" si="54"/>
        <v>2069.569370784991</v>
      </c>
      <c r="O138" s="75">
        <f t="shared" si="55"/>
        <v>2069.569370784991</v>
      </c>
    </row>
    <row r="139" spans="1:15" x14ac:dyDescent="0.25">
      <c r="A139" s="17" t="s">
        <v>21</v>
      </c>
      <c r="B139" s="72" t="str">
        <f t="shared" si="50"/>
        <v>Q3/2016</v>
      </c>
      <c r="C139" s="73">
        <f t="shared" si="58"/>
        <v>42552</v>
      </c>
      <c r="D139" s="73">
        <f t="shared" si="59"/>
        <v>42643</v>
      </c>
      <c r="E139" s="72">
        <f t="shared" si="56"/>
        <v>92</v>
      </c>
      <c r="F139" s="74">
        <f>VLOOKUP(D139,'FERC Interest Rate'!$A:$B,2,TRUE)</f>
        <v>3.5000000000000003E-2</v>
      </c>
      <c r="G139" s="75">
        <f t="shared" si="57"/>
        <v>2069.569370784991</v>
      </c>
      <c r="H139" s="75">
        <f t="shared" si="51"/>
        <v>18.207686814010032</v>
      </c>
      <c r="I139" s="180">
        <v>0</v>
      </c>
      <c r="J139" s="76">
        <v>0</v>
      </c>
      <c r="K139" s="116">
        <f t="shared" si="52"/>
        <v>0</v>
      </c>
      <c r="L139" s="76">
        <v>0</v>
      </c>
      <c r="M139" s="117">
        <f t="shared" si="53"/>
        <v>0</v>
      </c>
      <c r="N139" s="8">
        <f t="shared" si="54"/>
        <v>2087.7770575990012</v>
      </c>
      <c r="O139" s="75">
        <f t="shared" si="55"/>
        <v>2087.7770575990012</v>
      </c>
    </row>
    <row r="140" spans="1:15" x14ac:dyDescent="0.25">
      <c r="A140" s="17" t="s">
        <v>21</v>
      </c>
      <c r="B140" s="72" t="str">
        <f>+IF(MONTH(C140)&lt;4,"Q1",IF(MONTH(C140)&lt;7,"Q2",IF(MONTH(C140)&lt;10,"Q3","Q4")))&amp;"/"&amp;YEAR(C140)</f>
        <v>Q4/2016</v>
      </c>
      <c r="C140" s="73">
        <f t="shared" si="58"/>
        <v>42644</v>
      </c>
      <c r="D140" s="73">
        <f t="shared" si="59"/>
        <v>42735</v>
      </c>
      <c r="E140" s="72">
        <f t="shared" si="56"/>
        <v>92</v>
      </c>
      <c r="F140" s="74">
        <f>VLOOKUP(D140,'FERC Interest Rate'!$A:$B,2,TRUE)</f>
        <v>3.5000000000000003E-2</v>
      </c>
      <c r="G140" s="75">
        <f t="shared" si="57"/>
        <v>2087.7770575990012</v>
      </c>
      <c r="H140" s="75">
        <f t="shared" si="51"/>
        <v>18.367874659750775</v>
      </c>
      <c r="I140" s="99">
        <v>0</v>
      </c>
      <c r="J140" s="76">
        <v>0</v>
      </c>
      <c r="K140" s="116">
        <f t="shared" si="52"/>
        <v>0</v>
      </c>
      <c r="L140" s="76">
        <v>0</v>
      </c>
      <c r="M140" s="117">
        <f t="shared" si="53"/>
        <v>0</v>
      </c>
      <c r="N140" s="8">
        <f t="shared" si="54"/>
        <v>2106.1449322587519</v>
      </c>
      <c r="O140" s="75">
        <f t="shared" si="55"/>
        <v>2106.1449322587519</v>
      </c>
    </row>
    <row r="141" spans="1:15" x14ac:dyDescent="0.25">
      <c r="A141" s="78" t="s">
        <v>52</v>
      </c>
      <c r="B141" s="72" t="str">
        <f>+IF(MONTH(C141)&lt;4,"Q1",IF(MONTH(C141)&lt;7,"Q2",IF(MONTH(C141)&lt;10,"Q3","Q4")))&amp;"/"&amp;YEAR(C141)</f>
        <v>Q1/2017</v>
      </c>
      <c r="C141" s="73">
        <f t="shared" si="58"/>
        <v>42736</v>
      </c>
      <c r="D141" s="73">
        <f t="shared" si="59"/>
        <v>42825</v>
      </c>
      <c r="E141" s="72">
        <f t="shared" si="56"/>
        <v>90</v>
      </c>
      <c r="F141" s="74">
        <f>VLOOKUP(D141,'FERC Interest Rate'!$A:$B,2,TRUE)</f>
        <v>3.5000000000000003E-2</v>
      </c>
      <c r="G141" s="75">
        <f t="shared" si="57"/>
        <v>2106.1449322587519</v>
      </c>
      <c r="H141" s="75">
        <f t="shared" si="51"/>
        <v>18.176319278397447</v>
      </c>
      <c r="I141" s="99">
        <f>SUM($H$133:$H$158)/20</f>
        <v>7.4310625768574479</v>
      </c>
      <c r="J141" s="76">
        <v>0</v>
      </c>
      <c r="K141" s="116">
        <f t="shared" si="52"/>
        <v>7.4310625768574479</v>
      </c>
      <c r="L141" s="76">
        <f t="shared" ref="L141:L160" si="60">VLOOKUP($L$131,A$1:F$29,5,FALSE)/20</f>
        <v>98.784999999999997</v>
      </c>
      <c r="M141" s="117">
        <f t="shared" si="53"/>
        <v>106.21606257685744</v>
      </c>
      <c r="N141" s="8">
        <f t="shared" si="54"/>
        <v>2124.3212515371492</v>
      </c>
      <c r="O141" s="75">
        <f t="shared" si="55"/>
        <v>2018.1051889602918</v>
      </c>
    </row>
    <row r="142" spans="1:15" x14ac:dyDescent="0.25">
      <c r="A142" s="78" t="s">
        <v>53</v>
      </c>
      <c r="B142" s="72" t="str">
        <f t="shared" ref="B142:B158" si="61">+IF(MONTH(C142)&lt;4,"Q1",IF(MONTH(C142)&lt;7,"Q2",IF(MONTH(C142)&lt;10,"Q3","Q4")))&amp;"/"&amp;YEAR(C142)</f>
        <v>Q2/2017</v>
      </c>
      <c r="C142" s="73">
        <f t="shared" si="58"/>
        <v>42826</v>
      </c>
      <c r="D142" s="73">
        <f t="shared" si="59"/>
        <v>42916</v>
      </c>
      <c r="E142" s="72">
        <f t="shared" si="56"/>
        <v>91</v>
      </c>
      <c r="F142" s="74">
        <f>VLOOKUP(D142,'FERC Interest Rate'!$A:$B,2,TRUE)</f>
        <v>3.7100000000000001E-2</v>
      </c>
      <c r="G142" s="75">
        <f t="shared" si="57"/>
        <v>2018.1051889602918</v>
      </c>
      <c r="H142" s="75">
        <v>0</v>
      </c>
      <c r="I142" s="99">
        <f t="shared" ref="I142:I160" si="62">SUM($H$133:$H$158)/20</f>
        <v>7.4310625768574479</v>
      </c>
      <c r="J142" s="76">
        <f t="shared" ref="J142:J158" si="63">G142*F142*(E142/(DATE(YEAR(D142),12,31)-DATE(YEAR(D142),1,1)+1))</f>
        <v>18.666643639585867</v>
      </c>
      <c r="K142" s="116">
        <f t="shared" si="52"/>
        <v>26.097706216443314</v>
      </c>
      <c r="L142" s="76">
        <f t="shared" si="60"/>
        <v>98.784999999999997</v>
      </c>
      <c r="M142" s="117">
        <f t="shared" si="53"/>
        <v>124.88270621644331</v>
      </c>
      <c r="N142" s="8">
        <f t="shared" si="54"/>
        <v>2036.7718325998776</v>
      </c>
      <c r="O142" s="75">
        <f t="shared" si="55"/>
        <v>1911.8891263834344</v>
      </c>
    </row>
    <row r="143" spans="1:15" x14ac:dyDescent="0.25">
      <c r="A143" s="78" t="s">
        <v>54</v>
      </c>
      <c r="B143" s="72" t="str">
        <f t="shared" si="61"/>
        <v>Q3/2017</v>
      </c>
      <c r="C143" s="73">
        <f t="shared" si="58"/>
        <v>42917</v>
      </c>
      <c r="D143" s="73">
        <f t="shared" si="59"/>
        <v>43008</v>
      </c>
      <c r="E143" s="72">
        <f t="shared" si="56"/>
        <v>92</v>
      </c>
      <c r="F143" s="74">
        <f>VLOOKUP(D143,'FERC Interest Rate'!$A:$B,2,TRUE)</f>
        <v>3.9600000000000003E-2</v>
      </c>
      <c r="G143" s="75">
        <f t="shared" si="57"/>
        <v>1911.8891263834344</v>
      </c>
      <c r="H143" s="75">
        <v>0</v>
      </c>
      <c r="I143" s="99">
        <f t="shared" si="62"/>
        <v>7.4310625768574479</v>
      </c>
      <c r="J143" s="76">
        <f t="shared" si="63"/>
        <v>19.083272507507203</v>
      </c>
      <c r="K143" s="116">
        <f t="shared" si="52"/>
        <v>26.514335084364653</v>
      </c>
      <c r="L143" s="76">
        <f t="shared" si="60"/>
        <v>98.784999999999997</v>
      </c>
      <c r="M143" s="117">
        <f t="shared" si="53"/>
        <v>125.29933508436466</v>
      </c>
      <c r="N143" s="8">
        <f t="shared" si="54"/>
        <v>1930.9723988909416</v>
      </c>
      <c r="O143" s="75">
        <f t="shared" si="55"/>
        <v>1805.6730638065769</v>
      </c>
    </row>
    <row r="144" spans="1:15" x14ac:dyDescent="0.25">
      <c r="A144" s="78" t="s">
        <v>55</v>
      </c>
      <c r="B144" s="72" t="str">
        <f t="shared" si="61"/>
        <v>Q4/2017</v>
      </c>
      <c r="C144" s="73">
        <f t="shared" si="58"/>
        <v>43009</v>
      </c>
      <c r="D144" s="73">
        <f t="shared" si="59"/>
        <v>43100</v>
      </c>
      <c r="E144" s="72">
        <f t="shared" si="56"/>
        <v>92</v>
      </c>
      <c r="F144" s="74">
        <f>VLOOKUP(D144,'FERC Interest Rate'!$A:$B,2,TRUE)</f>
        <v>4.2099999999999999E-2</v>
      </c>
      <c r="G144" s="75">
        <f t="shared" si="57"/>
        <v>1805.6730638065769</v>
      </c>
      <c r="H144" s="75">
        <v>0</v>
      </c>
      <c r="I144" s="99">
        <f t="shared" si="62"/>
        <v>7.4310625768574479</v>
      </c>
      <c r="J144" s="76">
        <f t="shared" si="63"/>
        <v>19.160912084207219</v>
      </c>
      <c r="K144" s="116">
        <f t="shared" si="52"/>
        <v>26.591974661064668</v>
      </c>
      <c r="L144" s="76">
        <f t="shared" si="60"/>
        <v>98.784999999999997</v>
      </c>
      <c r="M144" s="117">
        <f t="shared" si="53"/>
        <v>125.37697466106466</v>
      </c>
      <c r="N144" s="8">
        <f t="shared" si="54"/>
        <v>1824.8339758907841</v>
      </c>
      <c r="O144" s="75">
        <f t="shared" si="55"/>
        <v>1699.4570012297195</v>
      </c>
    </row>
    <row r="145" spans="1:15" x14ac:dyDescent="0.25">
      <c r="A145" s="78" t="s">
        <v>56</v>
      </c>
      <c r="B145" s="72" t="str">
        <f t="shared" si="61"/>
        <v>Q1/2018</v>
      </c>
      <c r="C145" s="73">
        <f t="shared" si="58"/>
        <v>43101</v>
      </c>
      <c r="D145" s="73">
        <f t="shared" si="59"/>
        <v>43190</v>
      </c>
      <c r="E145" s="72">
        <f t="shared" si="56"/>
        <v>90</v>
      </c>
      <c r="F145" s="74">
        <f>VLOOKUP(D145,'FERC Interest Rate'!$A:$B,2,TRUE)</f>
        <v>4.2500000000000003E-2</v>
      </c>
      <c r="G145" s="75">
        <f t="shared" si="57"/>
        <v>1699.4570012297195</v>
      </c>
      <c r="H145" s="75">
        <v>0</v>
      </c>
      <c r="I145" s="99">
        <f t="shared" si="62"/>
        <v>7.4310625768574479</v>
      </c>
      <c r="J145" s="76">
        <f t="shared" si="63"/>
        <v>17.809378163571715</v>
      </c>
      <c r="K145" s="116">
        <f t="shared" si="52"/>
        <v>25.240440740429165</v>
      </c>
      <c r="L145" s="76">
        <f t="shared" si="60"/>
        <v>98.784999999999997</v>
      </c>
      <c r="M145" s="117">
        <f t="shared" si="53"/>
        <v>124.02544074042916</v>
      </c>
      <c r="N145" s="8">
        <f t="shared" si="54"/>
        <v>1717.2663793932911</v>
      </c>
      <c r="O145" s="75">
        <f t="shared" si="55"/>
        <v>1593.240938652862</v>
      </c>
    </row>
    <row r="146" spans="1:15" x14ac:dyDescent="0.25">
      <c r="A146" s="78" t="s">
        <v>57</v>
      </c>
      <c r="B146" s="72" t="str">
        <f t="shared" si="61"/>
        <v>Q2/2018</v>
      </c>
      <c r="C146" s="73">
        <f t="shared" si="58"/>
        <v>43191</v>
      </c>
      <c r="D146" s="73">
        <f t="shared" si="59"/>
        <v>43281</v>
      </c>
      <c r="E146" s="72">
        <f t="shared" si="56"/>
        <v>91</v>
      </c>
      <c r="F146" s="74">
        <f>VLOOKUP(D146,'FERC Interest Rate'!$A:$B,2,TRUE)</f>
        <v>4.4699999999999997E-2</v>
      </c>
      <c r="G146" s="75">
        <f t="shared" si="57"/>
        <v>1593.240938652862</v>
      </c>
      <c r="H146" s="75">
        <v>0</v>
      </c>
      <c r="I146" s="99">
        <f t="shared" si="62"/>
        <v>7.4310625768574479</v>
      </c>
      <c r="J146" s="76">
        <f t="shared" si="63"/>
        <v>17.755688126460949</v>
      </c>
      <c r="K146" s="116">
        <f t="shared" si="52"/>
        <v>25.186750703318395</v>
      </c>
      <c r="L146" s="76">
        <f t="shared" si="60"/>
        <v>98.784999999999997</v>
      </c>
      <c r="M146" s="117">
        <f t="shared" si="53"/>
        <v>123.97175070331839</v>
      </c>
      <c r="N146" s="8">
        <f t="shared" si="54"/>
        <v>1610.9966267793229</v>
      </c>
      <c r="O146" s="75">
        <f t="shared" si="55"/>
        <v>1487.0248760760046</v>
      </c>
    </row>
    <row r="147" spans="1:15" x14ac:dyDescent="0.25">
      <c r="A147" s="78" t="s">
        <v>58</v>
      </c>
      <c r="B147" s="72" t="str">
        <f t="shared" si="61"/>
        <v>Q3/2018</v>
      </c>
      <c r="C147" s="73">
        <f t="shared" si="58"/>
        <v>43282</v>
      </c>
      <c r="D147" s="73">
        <f t="shared" si="59"/>
        <v>43373</v>
      </c>
      <c r="E147" s="72">
        <f t="shared" si="56"/>
        <v>92</v>
      </c>
      <c r="F147" s="74">
        <f>VLOOKUP(D147,'FERC Interest Rate'!$A:$B,2,TRUE)</f>
        <v>4.6899999999999997E-2</v>
      </c>
      <c r="G147" s="75">
        <f t="shared" si="57"/>
        <v>1487.0248760760046</v>
      </c>
      <c r="H147" s="75">
        <v>0</v>
      </c>
      <c r="I147" s="99">
        <f t="shared" si="62"/>
        <v>7.4310625768574479</v>
      </c>
      <c r="J147" s="76">
        <f t="shared" si="63"/>
        <v>17.578671055596562</v>
      </c>
      <c r="K147" s="116">
        <f t="shared" si="52"/>
        <v>25.009733632454008</v>
      </c>
      <c r="L147" s="76">
        <f t="shared" si="60"/>
        <v>98.784999999999997</v>
      </c>
      <c r="M147" s="117">
        <f t="shared" si="53"/>
        <v>123.79473363245401</v>
      </c>
      <c r="N147" s="8">
        <f t="shared" si="54"/>
        <v>1504.6035471316011</v>
      </c>
      <c r="O147" s="75">
        <f t="shared" si="55"/>
        <v>1380.8088134991472</v>
      </c>
    </row>
    <row r="148" spans="1:15" x14ac:dyDescent="0.25">
      <c r="A148" s="78" t="s">
        <v>59</v>
      </c>
      <c r="B148" s="72" t="str">
        <f t="shared" si="61"/>
        <v>Q4/2018</v>
      </c>
      <c r="C148" s="73">
        <f t="shared" si="58"/>
        <v>43374</v>
      </c>
      <c r="D148" s="73">
        <f t="shared" si="59"/>
        <v>43465</v>
      </c>
      <c r="E148" s="72">
        <f t="shared" si="56"/>
        <v>92</v>
      </c>
      <c r="F148" s="74">
        <f>VLOOKUP(D148,'FERC Interest Rate'!$A:$B,2,TRUE)</f>
        <v>4.9599999999999998E-2</v>
      </c>
      <c r="G148" s="75">
        <f t="shared" si="57"/>
        <v>1380.8088134991472</v>
      </c>
      <c r="H148" s="75">
        <v>0</v>
      </c>
      <c r="I148" s="99">
        <f t="shared" si="62"/>
        <v>7.4310625768574479</v>
      </c>
      <c r="J148" s="76">
        <f t="shared" si="63"/>
        <v>17.262758295230981</v>
      </c>
      <c r="K148" s="116">
        <f t="shared" si="52"/>
        <v>24.69382087208843</v>
      </c>
      <c r="L148" s="76">
        <f t="shared" si="60"/>
        <v>98.784999999999997</v>
      </c>
      <c r="M148" s="117">
        <f t="shared" si="53"/>
        <v>123.47882087208842</v>
      </c>
      <c r="N148" s="8">
        <f t="shared" si="54"/>
        <v>1398.0715717943781</v>
      </c>
      <c r="O148" s="75">
        <f t="shared" si="55"/>
        <v>1274.5927509222897</v>
      </c>
    </row>
    <row r="149" spans="1:15" x14ac:dyDescent="0.25">
      <c r="A149" s="78" t="s">
        <v>60</v>
      </c>
      <c r="B149" s="72" t="str">
        <f t="shared" si="61"/>
        <v>Q1/2019</v>
      </c>
      <c r="C149" s="73">
        <f t="shared" si="58"/>
        <v>43466</v>
      </c>
      <c r="D149" s="73">
        <f t="shared" si="59"/>
        <v>43555</v>
      </c>
      <c r="E149" s="72">
        <f t="shared" si="56"/>
        <v>90</v>
      </c>
      <c r="F149" s="74">
        <f>VLOOKUP(D149,'FERC Interest Rate'!$A:$B,2,TRUE)</f>
        <v>5.1799999999999999E-2</v>
      </c>
      <c r="G149" s="75">
        <f t="shared" si="57"/>
        <v>1274.5927509222897</v>
      </c>
      <c r="H149" s="75">
        <v>0</v>
      </c>
      <c r="I149" s="99">
        <f t="shared" si="62"/>
        <v>7.4310625768574479</v>
      </c>
      <c r="J149" s="76">
        <f t="shared" si="63"/>
        <v>16.279866862464971</v>
      </c>
      <c r="K149" s="116">
        <f t="shared" si="52"/>
        <v>23.71092943932242</v>
      </c>
      <c r="L149" s="76">
        <f t="shared" si="60"/>
        <v>98.784999999999997</v>
      </c>
      <c r="M149" s="117">
        <f t="shared" si="53"/>
        <v>122.49592943932242</v>
      </c>
      <c r="N149" s="8">
        <f t="shared" si="54"/>
        <v>1290.8726177847548</v>
      </c>
      <c r="O149" s="75">
        <f t="shared" si="55"/>
        <v>1168.3766883454323</v>
      </c>
    </row>
    <row r="150" spans="1:15" x14ac:dyDescent="0.25">
      <c r="A150" s="78" t="s">
        <v>61</v>
      </c>
      <c r="B150" s="72" t="str">
        <f t="shared" si="61"/>
        <v>Q2/2019</v>
      </c>
      <c r="C150" s="73">
        <f t="shared" si="58"/>
        <v>43556</v>
      </c>
      <c r="D150" s="73">
        <f t="shared" si="59"/>
        <v>43646</v>
      </c>
      <c r="E150" s="72">
        <f t="shared" si="56"/>
        <v>91</v>
      </c>
      <c r="F150" s="74">
        <f>VLOOKUP(D150,'FERC Interest Rate'!$A:$B,2,TRUE)</f>
        <v>5.45E-2</v>
      </c>
      <c r="G150" s="75">
        <f t="shared" si="57"/>
        <v>1168.3766883454323</v>
      </c>
      <c r="H150" s="75">
        <v>0</v>
      </c>
      <c r="I150" s="99">
        <f t="shared" si="62"/>
        <v>7.4310625768574479</v>
      </c>
      <c r="J150" s="76">
        <f t="shared" si="63"/>
        <v>15.87551831739499</v>
      </c>
      <c r="K150" s="116">
        <f t="shared" si="52"/>
        <v>23.306580894252438</v>
      </c>
      <c r="L150" s="76">
        <f t="shared" si="60"/>
        <v>98.784999999999997</v>
      </c>
      <c r="M150" s="117">
        <f t="shared" si="53"/>
        <v>122.09158089425243</v>
      </c>
      <c r="N150" s="8">
        <f t="shared" si="54"/>
        <v>1184.2522066628273</v>
      </c>
      <c r="O150" s="75">
        <f t="shared" si="55"/>
        <v>1062.1606257685748</v>
      </c>
    </row>
    <row r="151" spans="1:15" x14ac:dyDescent="0.25">
      <c r="A151" s="78" t="s">
        <v>62</v>
      </c>
      <c r="B151" s="72" t="str">
        <f t="shared" si="61"/>
        <v>Q3/2019</v>
      </c>
      <c r="C151" s="73">
        <f t="shared" si="58"/>
        <v>43647</v>
      </c>
      <c r="D151" s="73">
        <f t="shared" si="59"/>
        <v>43738</v>
      </c>
      <c r="E151" s="72">
        <f t="shared" si="56"/>
        <v>92</v>
      </c>
      <c r="F151" s="74">
        <f>VLOOKUP(D151,'FERC Interest Rate'!$A:$B,2,TRUE)</f>
        <v>5.5E-2</v>
      </c>
      <c r="G151" s="75">
        <f t="shared" si="57"/>
        <v>1062.1606257685748</v>
      </c>
      <c r="H151" s="75">
        <v>0</v>
      </c>
      <c r="I151" s="99">
        <f t="shared" si="62"/>
        <v>7.4310625768574479</v>
      </c>
      <c r="J151" s="76">
        <f t="shared" si="63"/>
        <v>14.724747305175313</v>
      </c>
      <c r="K151" s="116">
        <f t="shared" si="52"/>
        <v>22.155809882032763</v>
      </c>
      <c r="L151" s="76">
        <f t="shared" si="60"/>
        <v>98.784999999999997</v>
      </c>
      <c r="M151" s="117">
        <f t="shared" si="53"/>
        <v>120.94080988203277</v>
      </c>
      <c r="N151" s="8">
        <f t="shared" si="54"/>
        <v>1076.8853730737501</v>
      </c>
      <c r="O151" s="75">
        <f t="shared" si="55"/>
        <v>955.94456319171741</v>
      </c>
    </row>
    <row r="152" spans="1:15" x14ac:dyDescent="0.25">
      <c r="A152" s="78" t="s">
        <v>63</v>
      </c>
      <c r="B152" s="72" t="str">
        <f t="shared" si="61"/>
        <v>Q4/2019</v>
      </c>
      <c r="C152" s="73">
        <f t="shared" si="58"/>
        <v>43739</v>
      </c>
      <c r="D152" s="73">
        <f t="shared" si="59"/>
        <v>43830</v>
      </c>
      <c r="E152" s="72">
        <f t="shared" si="56"/>
        <v>92</v>
      </c>
      <c r="F152" s="74">
        <f>VLOOKUP(D152,'FERC Interest Rate'!$A:$B,2,TRUE)</f>
        <v>5.4199999999999998E-2</v>
      </c>
      <c r="G152" s="75">
        <f t="shared" si="57"/>
        <v>955.94456319171741</v>
      </c>
      <c r="H152" s="75">
        <v>0</v>
      </c>
      <c r="I152" s="99">
        <f t="shared" si="62"/>
        <v>7.4310625768574479</v>
      </c>
      <c r="J152" s="76">
        <f t="shared" si="63"/>
        <v>13.059512246299123</v>
      </c>
      <c r="K152" s="116">
        <f t="shared" si="52"/>
        <v>20.490574823156571</v>
      </c>
      <c r="L152" s="76">
        <f t="shared" si="60"/>
        <v>98.784999999999997</v>
      </c>
      <c r="M152" s="117">
        <f t="shared" si="53"/>
        <v>119.27557482315657</v>
      </c>
      <c r="N152" s="8">
        <f t="shared" si="54"/>
        <v>969.00407543801657</v>
      </c>
      <c r="O152" s="75">
        <f t="shared" si="55"/>
        <v>849.72850061485997</v>
      </c>
    </row>
    <row r="153" spans="1:15" x14ac:dyDescent="0.25">
      <c r="A153" s="78" t="s">
        <v>64</v>
      </c>
      <c r="B153" s="72" t="str">
        <f t="shared" si="61"/>
        <v>Q1/2020</v>
      </c>
      <c r="C153" s="73">
        <f t="shared" si="58"/>
        <v>43831</v>
      </c>
      <c r="D153" s="73">
        <f t="shared" si="59"/>
        <v>43921</v>
      </c>
      <c r="E153" s="72">
        <f t="shared" si="56"/>
        <v>91</v>
      </c>
      <c r="F153" s="74">
        <f>VLOOKUP(D153,'FERC Interest Rate'!$A:$B,2,TRUE)</f>
        <v>4.9599999999999998E-2</v>
      </c>
      <c r="G153" s="75">
        <f t="shared" si="57"/>
        <v>849.72850061485997</v>
      </c>
      <c r="H153" s="75">
        <v>0</v>
      </c>
      <c r="I153" s="99">
        <f t="shared" si="62"/>
        <v>7.4310625768574479</v>
      </c>
      <c r="J153" s="76">
        <f t="shared" si="63"/>
        <v>10.479056175888612</v>
      </c>
      <c r="K153" s="116">
        <f t="shared" si="52"/>
        <v>17.910118752746058</v>
      </c>
      <c r="L153" s="76">
        <f t="shared" si="60"/>
        <v>98.784999999999997</v>
      </c>
      <c r="M153" s="117">
        <f t="shared" si="53"/>
        <v>116.69511875274605</v>
      </c>
      <c r="N153" s="8">
        <f t="shared" si="54"/>
        <v>860.20755679074853</v>
      </c>
      <c r="O153" s="75">
        <f t="shared" si="55"/>
        <v>743.51243803800253</v>
      </c>
    </row>
    <row r="154" spans="1:15" x14ac:dyDescent="0.25">
      <c r="A154" s="78" t="s">
        <v>65</v>
      </c>
      <c r="B154" s="72" t="str">
        <f t="shared" si="61"/>
        <v>Q2/2020</v>
      </c>
      <c r="C154" s="73">
        <f t="shared" si="58"/>
        <v>43922</v>
      </c>
      <c r="D154" s="73">
        <f t="shared" si="59"/>
        <v>44012</v>
      </c>
      <c r="E154" s="72">
        <f t="shared" si="56"/>
        <v>91</v>
      </c>
      <c r="F154" s="74">
        <f>VLOOKUP(D154,'FERC Interest Rate'!$A:$B,2,TRUE)</f>
        <v>4.7503500000000004E-2</v>
      </c>
      <c r="G154" s="75">
        <f t="shared" si="57"/>
        <v>743.51243803800253</v>
      </c>
      <c r="H154" s="75">
        <v>0</v>
      </c>
      <c r="I154" s="99">
        <f t="shared" si="62"/>
        <v>7.4310625768574479</v>
      </c>
      <c r="J154" s="76">
        <f t="shared" si="63"/>
        <v>8.7816101697562328</v>
      </c>
      <c r="K154" s="116">
        <f t="shared" si="52"/>
        <v>16.212672746613681</v>
      </c>
      <c r="L154" s="76">
        <f t="shared" si="60"/>
        <v>98.784999999999997</v>
      </c>
      <c r="M154" s="117">
        <f t="shared" si="53"/>
        <v>114.99767274661367</v>
      </c>
      <c r="N154" s="8">
        <f t="shared" si="54"/>
        <v>752.29404820775881</v>
      </c>
      <c r="O154" s="75">
        <f t="shared" si="55"/>
        <v>637.29637546114509</v>
      </c>
    </row>
    <row r="155" spans="1:15" x14ac:dyDescent="0.25">
      <c r="A155" s="78" t="s">
        <v>66</v>
      </c>
      <c r="B155" s="72" t="str">
        <f t="shared" si="61"/>
        <v>Q3/2020</v>
      </c>
      <c r="C155" s="73">
        <f t="shared" si="58"/>
        <v>44013</v>
      </c>
      <c r="D155" s="73">
        <f t="shared" si="59"/>
        <v>44104</v>
      </c>
      <c r="E155" s="72">
        <f t="shared" si="56"/>
        <v>92</v>
      </c>
      <c r="F155" s="74">
        <f>VLOOKUP(D155,'FERC Interest Rate'!$A:$B,2,TRUE)</f>
        <v>4.7507929999999997E-2</v>
      </c>
      <c r="G155" s="75">
        <f t="shared" si="57"/>
        <v>637.29637546114509</v>
      </c>
      <c r="H155" s="75">
        <v>0</v>
      </c>
      <c r="I155" s="99">
        <f t="shared" si="62"/>
        <v>7.4310625768574479</v>
      </c>
      <c r="J155" s="76">
        <f t="shared" si="63"/>
        <v>7.6105194172373913</v>
      </c>
      <c r="K155" s="116">
        <f t="shared" si="52"/>
        <v>15.041581994094839</v>
      </c>
      <c r="L155" s="76">
        <f t="shared" si="60"/>
        <v>98.784999999999997</v>
      </c>
      <c r="M155" s="117">
        <f t="shared" si="53"/>
        <v>113.82658199409484</v>
      </c>
      <c r="N155" s="8">
        <f t="shared" si="54"/>
        <v>644.90689487838245</v>
      </c>
      <c r="O155" s="75">
        <f t="shared" si="55"/>
        <v>531.08031288428765</v>
      </c>
    </row>
    <row r="156" spans="1:15" x14ac:dyDescent="0.25">
      <c r="A156" s="78" t="s">
        <v>67</v>
      </c>
      <c r="B156" s="72" t="str">
        <f t="shared" si="61"/>
        <v>Q4/2020</v>
      </c>
      <c r="C156" s="73">
        <f t="shared" si="58"/>
        <v>44105</v>
      </c>
      <c r="D156" s="73">
        <f t="shared" si="59"/>
        <v>44196</v>
      </c>
      <c r="E156" s="72">
        <f t="shared" si="56"/>
        <v>92</v>
      </c>
      <c r="F156" s="74">
        <f>VLOOKUP(D156,'FERC Interest Rate'!$A:$B,2,TRUE)</f>
        <v>4.7922320000000004E-2</v>
      </c>
      <c r="G156" s="75">
        <f t="shared" si="57"/>
        <v>531.08031288428765</v>
      </c>
      <c r="H156" s="75">
        <v>0</v>
      </c>
      <c r="I156" s="99">
        <f t="shared" si="62"/>
        <v>7.4310625768574479</v>
      </c>
      <c r="J156" s="76">
        <f t="shared" si="63"/>
        <v>6.3974187551261421</v>
      </c>
      <c r="K156" s="116">
        <f t="shared" si="52"/>
        <v>13.828481331983589</v>
      </c>
      <c r="L156" s="76">
        <f t="shared" si="60"/>
        <v>98.784999999999997</v>
      </c>
      <c r="M156" s="117">
        <f t="shared" si="53"/>
        <v>112.61348133198359</v>
      </c>
      <c r="N156" s="8">
        <f t="shared" si="54"/>
        <v>537.47773163941383</v>
      </c>
      <c r="O156" s="75">
        <f t="shared" si="55"/>
        <v>424.86425030743021</v>
      </c>
    </row>
    <row r="157" spans="1:15" x14ac:dyDescent="0.25">
      <c r="A157" s="78" t="s">
        <v>68</v>
      </c>
      <c r="B157" s="72" t="str">
        <f t="shared" si="61"/>
        <v>Q1/2021</v>
      </c>
      <c r="C157" s="73">
        <f t="shared" si="58"/>
        <v>44197</v>
      </c>
      <c r="D157" s="73">
        <f t="shared" si="59"/>
        <v>44286</v>
      </c>
      <c r="E157" s="72">
        <f t="shared" si="56"/>
        <v>90</v>
      </c>
      <c r="F157" s="74">
        <f>VLOOKUP(D157,'FERC Interest Rate'!$A:$B,2,TRUE)</f>
        <v>5.0023470000000007E-2</v>
      </c>
      <c r="G157" s="75">
        <f t="shared" si="57"/>
        <v>424.86425030743021</v>
      </c>
      <c r="H157" s="75">
        <v>0</v>
      </c>
      <c r="I157" s="99">
        <f t="shared" si="62"/>
        <v>7.4310625768574479</v>
      </c>
      <c r="J157" s="76">
        <f t="shared" si="63"/>
        <v>5.2405111428475628</v>
      </c>
      <c r="K157" s="116">
        <f t="shared" si="52"/>
        <v>12.671573719705011</v>
      </c>
      <c r="L157" s="76">
        <f t="shared" si="60"/>
        <v>98.784999999999997</v>
      </c>
      <c r="M157" s="117">
        <f t="shared" si="53"/>
        <v>111.45657371970501</v>
      </c>
      <c r="N157" s="8">
        <f t="shared" si="54"/>
        <v>430.10476145027775</v>
      </c>
      <c r="O157" s="75">
        <f t="shared" si="55"/>
        <v>318.64818773057277</v>
      </c>
    </row>
    <row r="158" spans="1:15" x14ac:dyDescent="0.25">
      <c r="A158" s="78" t="s">
        <v>69</v>
      </c>
      <c r="B158" s="72" t="str">
        <f t="shared" si="61"/>
        <v>Q2/2021</v>
      </c>
      <c r="C158" s="73">
        <f t="shared" si="58"/>
        <v>44287</v>
      </c>
      <c r="D158" s="73">
        <f t="shared" si="59"/>
        <v>44377</v>
      </c>
      <c r="E158" s="72">
        <f t="shared" si="56"/>
        <v>91</v>
      </c>
      <c r="F158" s="74">
        <f>VLOOKUP(D158,'FERC Interest Rate'!$A:$B,2,TRUE)</f>
        <v>5.0403730000000001E-2</v>
      </c>
      <c r="G158" s="75">
        <f t="shared" si="57"/>
        <v>318.64818773057277</v>
      </c>
      <c r="H158" s="75">
        <v>0</v>
      </c>
      <c r="I158" s="99">
        <f t="shared" si="62"/>
        <v>7.4310625768574479</v>
      </c>
      <c r="J158" s="76">
        <f t="shared" si="63"/>
        <v>4.0042635807174261</v>
      </c>
      <c r="K158" s="116">
        <f t="shared" si="52"/>
        <v>11.435326157574874</v>
      </c>
      <c r="L158" s="76">
        <f t="shared" si="60"/>
        <v>98.784999999999997</v>
      </c>
      <c r="M158" s="117">
        <f t="shared" si="53"/>
        <v>110.22032615757487</v>
      </c>
      <c r="N158" s="8">
        <f t="shared" si="54"/>
        <v>322.65245131129018</v>
      </c>
      <c r="O158" s="75">
        <f t="shared" si="55"/>
        <v>212.43212515371533</v>
      </c>
    </row>
    <row r="159" spans="1:15" x14ac:dyDescent="0.25">
      <c r="A159" s="78" t="s">
        <v>70</v>
      </c>
      <c r="B159" s="72" t="str">
        <f>+IF(MONTH(C159)&lt;4,"Q1",IF(MONTH(C159)&lt;7,"Q2",IF(MONTH(C159)&lt;10,"Q3","Q4")))&amp;"/"&amp;YEAR(C159)</f>
        <v>Q3/2021</v>
      </c>
      <c r="C159" s="73">
        <f>D158+1</f>
        <v>44378</v>
      </c>
      <c r="D159" s="73">
        <f t="shared" si="59"/>
        <v>44469</v>
      </c>
      <c r="E159" s="72">
        <f>D159-C159+1</f>
        <v>92</v>
      </c>
      <c r="F159" s="74">
        <f>VLOOKUP(D159,'FERC Interest Rate'!$A:$B,2,TRUE)</f>
        <v>5.2520850000000001E-2</v>
      </c>
      <c r="G159" s="75">
        <f>O158</f>
        <v>212.43212515371533</v>
      </c>
      <c r="H159" s="75">
        <v>0</v>
      </c>
      <c r="I159" s="99">
        <f t="shared" si="62"/>
        <v>7.4310625768574479</v>
      </c>
      <c r="J159" s="76">
        <f>G159*F159*(E159/(DATE(YEAR(D159),12,31)-DATE(YEAR(D159),1,1)+1))</f>
        <v>2.8122045254655204</v>
      </c>
      <c r="K159" s="116">
        <f>+SUM(I159:J159)</f>
        <v>10.243267102322967</v>
      </c>
      <c r="L159" s="76">
        <f t="shared" si="60"/>
        <v>98.784999999999997</v>
      </c>
      <c r="M159" s="117">
        <f>+SUM(K159:L159)</f>
        <v>109.02826710232296</v>
      </c>
      <c r="N159" s="8">
        <f>+G159+H159+J159</f>
        <v>215.24432967918085</v>
      </c>
      <c r="O159" s="75">
        <f>G159+H159-L159-I159</f>
        <v>106.21606257685789</v>
      </c>
    </row>
    <row r="160" spans="1:15" x14ac:dyDescent="0.25">
      <c r="A160" s="78" t="s">
        <v>71</v>
      </c>
      <c r="B160" s="72" t="str">
        <f>+IF(MONTH(C160)&lt;4,"Q1",IF(MONTH(C160)&lt;7,"Q2",IF(MONTH(C160)&lt;10,"Q3","Q4")))&amp;"/"&amp;YEAR(C160)</f>
        <v>Q4/2021</v>
      </c>
      <c r="C160" s="73">
        <f>D159+1</f>
        <v>44470</v>
      </c>
      <c r="D160" s="73">
        <f t="shared" si="59"/>
        <v>44561</v>
      </c>
      <c r="E160" s="72">
        <f>D160-C160+1</f>
        <v>92</v>
      </c>
      <c r="F160" s="74">
        <f>VLOOKUP(D160,'FERC Interest Rate'!$A:$B,2,TRUE)</f>
        <v>5.2766440000000005E-2</v>
      </c>
      <c r="G160" s="75">
        <f>O159</f>
        <v>106.21606257685789</v>
      </c>
      <c r="H160" s="75">
        <v>0</v>
      </c>
      <c r="I160" s="99">
        <f t="shared" si="62"/>
        <v>7.4310625768574479</v>
      </c>
      <c r="J160" s="76">
        <f>G160*F160*(E160/(DATE(YEAR(D160),12,31)-DATE(YEAR(D160),1,1)+1))</f>
        <v>1.4126772639885417</v>
      </c>
      <c r="K160" s="116">
        <f>+SUM(I160:J160)</f>
        <v>8.8437398408459895</v>
      </c>
      <c r="L160" s="76">
        <f t="shared" si="60"/>
        <v>98.784999999999997</v>
      </c>
      <c r="M160" s="117">
        <f>+SUM(K160:L160)</f>
        <v>107.62873984084598</v>
      </c>
      <c r="N160" s="8">
        <f>+G160+H160+J160</f>
        <v>107.62873984084644</v>
      </c>
      <c r="O160" s="75">
        <f>G160+H160-L160-I160</f>
        <v>4.4941828036826337E-13</v>
      </c>
    </row>
    <row r="161" spans="1:15" x14ac:dyDescent="0.25">
      <c r="A161" s="78"/>
      <c r="B161" s="72"/>
      <c r="C161" s="73"/>
      <c r="D161" s="73"/>
      <c r="E161" s="72"/>
      <c r="F161" s="74"/>
      <c r="G161" s="75"/>
      <c r="H161" s="75"/>
      <c r="I161" s="99"/>
      <c r="J161" s="76"/>
      <c r="K161" s="116"/>
      <c r="L161" s="76"/>
      <c r="M161" s="117"/>
      <c r="N161" s="8"/>
      <c r="O161" s="75"/>
    </row>
    <row r="162" spans="1:15" ht="13.5" thickBot="1" x14ac:dyDescent="0.35">
      <c r="A162" s="142"/>
      <c r="B162" s="143"/>
      <c r="C162" s="144"/>
      <c r="D162" s="144"/>
      <c r="E162" s="145"/>
      <c r="F162" s="143"/>
      <c r="G162" s="124">
        <f>SUM(G133:G161)</f>
        <v>38515.518395410159</v>
      </c>
      <c r="H162" s="124">
        <f>SUM(H133:H161)</f>
        <v>148.62125153714896</v>
      </c>
      <c r="I162" s="125">
        <f>SUM(I133:I161)</f>
        <v>148.62125153714891</v>
      </c>
      <c r="J162" s="124">
        <f t="shared" ref="J162:O162" si="64">SUM(J133:J161)</f>
        <v>233.99522963452236</v>
      </c>
      <c r="K162" s="124">
        <f t="shared" si="64"/>
        <v>382.61648117167135</v>
      </c>
      <c r="L162" s="124">
        <f t="shared" si="64"/>
        <v>1975.7000000000005</v>
      </c>
      <c r="M162" s="126">
        <f t="shared" si="64"/>
        <v>2358.3164811716711</v>
      </c>
      <c r="N162" s="124">
        <f t="shared" si="64"/>
        <v>38898.134876581826</v>
      </c>
      <c r="O162" s="124">
        <f t="shared" si="64"/>
        <v>36539.818395410162</v>
      </c>
    </row>
    <row r="163" spans="1:15" ht="14" thickTop="1" thickBot="1" x14ac:dyDescent="0.35">
      <c r="A163" s="181"/>
      <c r="B163" s="205"/>
      <c r="C163" s="327"/>
      <c r="D163" s="327"/>
      <c r="E163" s="207"/>
      <c r="F163" s="205"/>
      <c r="G163" s="330"/>
      <c r="H163" s="330"/>
      <c r="I163" s="329"/>
      <c r="J163" s="330"/>
      <c r="K163" s="330"/>
      <c r="L163" s="330"/>
      <c r="M163" s="331"/>
      <c r="N163" s="330"/>
      <c r="O163" s="330"/>
    </row>
    <row r="164" spans="1:15" ht="13.5" thickTop="1" x14ac:dyDescent="0.3">
      <c r="B164" s="103"/>
      <c r="C164" s="103"/>
      <c r="D164" s="103"/>
      <c r="E164" s="103"/>
      <c r="F164" s="103"/>
      <c r="G164" s="103"/>
      <c r="H164" s="103"/>
      <c r="I164" s="201"/>
      <c r="J164" s="348" t="s">
        <v>14</v>
      </c>
      <c r="K164" s="348"/>
      <c r="L164" s="141" t="s">
        <v>55</v>
      </c>
      <c r="M164" s="202"/>
      <c r="O164" s="103"/>
    </row>
    <row r="165" spans="1:15" ht="39" x14ac:dyDescent="0.3">
      <c r="A165" s="77" t="s">
        <v>51</v>
      </c>
      <c r="B165" s="77" t="s">
        <v>3</v>
      </c>
      <c r="C165" s="77" t="s">
        <v>4</v>
      </c>
      <c r="D165" s="77" t="s">
        <v>5</v>
      </c>
      <c r="E165" s="77" t="s">
        <v>6</v>
      </c>
      <c r="F165" s="77" t="s">
        <v>7</v>
      </c>
      <c r="G165" s="77" t="s">
        <v>92</v>
      </c>
      <c r="H165" s="77" t="s">
        <v>93</v>
      </c>
      <c r="I165" s="94" t="s">
        <v>94</v>
      </c>
      <c r="J165" s="95" t="s">
        <v>95</v>
      </c>
      <c r="K165" s="95" t="s">
        <v>96</v>
      </c>
      <c r="L165" s="95" t="s">
        <v>97</v>
      </c>
      <c r="M165" s="96" t="s">
        <v>98</v>
      </c>
      <c r="N165" s="77" t="s">
        <v>99</v>
      </c>
      <c r="O165" s="77" t="s">
        <v>100</v>
      </c>
    </row>
    <row r="166" spans="1:15" x14ac:dyDescent="0.25">
      <c r="A166" s="17" t="s">
        <v>21</v>
      </c>
      <c r="B166" s="72" t="str">
        <f t="shared" ref="B166:B171" si="65">+IF(MONTH(C166)&lt;4,"Q1",IF(MONTH(C166)&lt;7,"Q2",IF(MONTH(C166)&lt;10,"Q3","Q4")))&amp;"/"&amp;YEAR(C166)</f>
        <v>Q2/2015</v>
      </c>
      <c r="C166" s="73">
        <f>VLOOKUP(L164,A$1:F$29,2,FALSE)</f>
        <v>42124</v>
      </c>
      <c r="D166" s="73">
        <f>DATE(YEAR(C166),IF(MONTH(C166)&lt;=3,3,IF(MONTH(C166)&lt;=6,6,IF(MONTH(C166)&lt;=9,9,12))),IF(OR(MONTH(C166)&lt;=3,MONTH(C166)&gt;=10),31,30))</f>
        <v>42185</v>
      </c>
      <c r="E166" s="72">
        <f>D166-C166+1</f>
        <v>62</v>
      </c>
      <c r="F166" s="74">
        <f>VLOOKUP(D166,'FERC Interest Rate'!$A:$B,2,TRUE)</f>
        <v>3.2500000000000001E-2</v>
      </c>
      <c r="G166" s="75">
        <f>VLOOKUP(L164,$A$1:$F$36,5,FALSE)</f>
        <v>2872.64</v>
      </c>
      <c r="H166" s="75">
        <f t="shared" ref="H166:H173" si="66">G166*F166*(E166/(DATE(YEAR(D166),12,31)-DATE(YEAR(D166),1,1)+1))</f>
        <v>15.858546849315069</v>
      </c>
      <c r="I166" s="180">
        <v>0</v>
      </c>
      <c r="J166" s="76">
        <v>0</v>
      </c>
      <c r="K166" s="116">
        <f t="shared" ref="K166:K190" si="67">+SUM(I166:J166)</f>
        <v>0</v>
      </c>
      <c r="L166" s="76">
        <v>0</v>
      </c>
      <c r="M166" s="117">
        <f t="shared" ref="M166:M190" si="68">+SUM(K166:L166)</f>
        <v>0</v>
      </c>
      <c r="N166" s="8">
        <f t="shared" ref="N166:N190" si="69">+G166+H166+J166</f>
        <v>2888.4985468493151</v>
      </c>
      <c r="O166" s="75">
        <f t="shared" ref="O166:O190" si="70">G166+H166-L166-I166</f>
        <v>2888.4985468493151</v>
      </c>
    </row>
    <row r="167" spans="1:15" x14ac:dyDescent="0.25">
      <c r="A167" s="17" t="s">
        <v>21</v>
      </c>
      <c r="B167" s="72" t="str">
        <f t="shared" si="65"/>
        <v>Q3/2015</v>
      </c>
      <c r="C167" s="73">
        <f>D166+1</f>
        <v>42186</v>
      </c>
      <c r="D167" s="73">
        <f>EOMONTH(D166,3)</f>
        <v>42277</v>
      </c>
      <c r="E167" s="72">
        <f t="shared" ref="E167:E190" si="71">D167-C167+1</f>
        <v>92</v>
      </c>
      <c r="F167" s="74">
        <f>VLOOKUP(D167,'FERC Interest Rate'!$A:$B,2,TRUE)</f>
        <v>3.2500000000000001E-2</v>
      </c>
      <c r="G167" s="75">
        <f t="shared" ref="G167:G190" si="72">O166</f>
        <v>2888.4985468493151</v>
      </c>
      <c r="H167" s="75">
        <f t="shared" si="66"/>
        <v>23.66194700021768</v>
      </c>
      <c r="I167" s="180">
        <v>0</v>
      </c>
      <c r="J167" s="76">
        <v>0</v>
      </c>
      <c r="K167" s="116">
        <f t="shared" si="67"/>
        <v>0</v>
      </c>
      <c r="L167" s="76">
        <v>0</v>
      </c>
      <c r="M167" s="117">
        <f t="shared" si="68"/>
        <v>0</v>
      </c>
      <c r="N167" s="8">
        <f t="shared" si="69"/>
        <v>2912.1604938495329</v>
      </c>
      <c r="O167" s="75">
        <f t="shared" si="70"/>
        <v>2912.1604938495329</v>
      </c>
    </row>
    <row r="168" spans="1:15" x14ac:dyDescent="0.25">
      <c r="A168" s="17" t="s">
        <v>21</v>
      </c>
      <c r="B168" s="72" t="str">
        <f t="shared" si="65"/>
        <v>Q4/2015</v>
      </c>
      <c r="C168" s="73">
        <f t="shared" ref="C168:C190" si="73">D167+1</f>
        <v>42278</v>
      </c>
      <c r="D168" s="73">
        <f t="shared" ref="D168:D192" si="74">EOMONTH(D167,3)</f>
        <v>42369</v>
      </c>
      <c r="E168" s="72">
        <f t="shared" si="71"/>
        <v>92</v>
      </c>
      <c r="F168" s="74">
        <f>VLOOKUP(D168,'FERC Interest Rate'!$A:$B,2,TRUE)</f>
        <v>3.2500000000000001E-2</v>
      </c>
      <c r="G168" s="75">
        <f t="shared" si="72"/>
        <v>2912.1604938495329</v>
      </c>
      <c r="H168" s="75">
        <f t="shared" si="66"/>
        <v>23.855780483863299</v>
      </c>
      <c r="I168" s="180">
        <v>0</v>
      </c>
      <c r="J168" s="76">
        <v>0</v>
      </c>
      <c r="K168" s="116">
        <f t="shared" si="67"/>
        <v>0</v>
      </c>
      <c r="L168" s="76">
        <v>0</v>
      </c>
      <c r="M168" s="117">
        <f t="shared" si="68"/>
        <v>0</v>
      </c>
      <c r="N168" s="8">
        <f t="shared" si="69"/>
        <v>2936.0162743333963</v>
      </c>
      <c r="O168" s="75">
        <f t="shared" si="70"/>
        <v>2936.0162743333963</v>
      </c>
    </row>
    <row r="169" spans="1:15" x14ac:dyDescent="0.25">
      <c r="A169" s="17" t="s">
        <v>21</v>
      </c>
      <c r="B169" s="72" t="str">
        <f t="shared" si="65"/>
        <v>Q1/2016</v>
      </c>
      <c r="C169" s="73">
        <f t="shared" si="73"/>
        <v>42370</v>
      </c>
      <c r="D169" s="73">
        <f t="shared" si="74"/>
        <v>42460</v>
      </c>
      <c r="E169" s="72">
        <f t="shared" si="71"/>
        <v>91</v>
      </c>
      <c r="F169" s="74">
        <f>VLOOKUP(D169,'FERC Interest Rate'!$A:$B,2,TRUE)</f>
        <v>3.2500000000000001E-2</v>
      </c>
      <c r="G169" s="75">
        <f t="shared" si="72"/>
        <v>2936.0162743333963</v>
      </c>
      <c r="H169" s="75">
        <f t="shared" si="66"/>
        <v>23.724776315139398</v>
      </c>
      <c r="I169" s="180">
        <v>0</v>
      </c>
      <c r="J169" s="76">
        <v>0</v>
      </c>
      <c r="K169" s="116">
        <f t="shared" si="67"/>
        <v>0</v>
      </c>
      <c r="L169" s="76">
        <v>0</v>
      </c>
      <c r="M169" s="117">
        <f t="shared" si="68"/>
        <v>0</v>
      </c>
      <c r="N169" s="8">
        <f t="shared" si="69"/>
        <v>2959.7410506485357</v>
      </c>
      <c r="O169" s="75">
        <f t="shared" si="70"/>
        <v>2959.7410506485357</v>
      </c>
    </row>
    <row r="170" spans="1:15" x14ac:dyDescent="0.25">
      <c r="A170" s="17" t="s">
        <v>21</v>
      </c>
      <c r="B170" s="72" t="str">
        <f t="shared" si="65"/>
        <v>Q2/2016</v>
      </c>
      <c r="C170" s="73">
        <f t="shared" si="73"/>
        <v>42461</v>
      </c>
      <c r="D170" s="73">
        <f t="shared" si="74"/>
        <v>42551</v>
      </c>
      <c r="E170" s="72">
        <f t="shared" si="71"/>
        <v>91</v>
      </c>
      <c r="F170" s="74">
        <f>VLOOKUP(D170,'FERC Interest Rate'!$A:$B,2,TRUE)</f>
        <v>3.4599999999999999E-2</v>
      </c>
      <c r="G170" s="75">
        <f t="shared" si="72"/>
        <v>2959.7410506485357</v>
      </c>
      <c r="H170" s="75">
        <f t="shared" si="66"/>
        <v>25.461859759759509</v>
      </c>
      <c r="I170" s="180">
        <v>0</v>
      </c>
      <c r="J170" s="76">
        <v>0</v>
      </c>
      <c r="K170" s="116">
        <f t="shared" si="67"/>
        <v>0</v>
      </c>
      <c r="L170" s="76">
        <v>0</v>
      </c>
      <c r="M170" s="117">
        <f t="shared" si="68"/>
        <v>0</v>
      </c>
      <c r="N170" s="8">
        <f t="shared" si="69"/>
        <v>2985.2029104082953</v>
      </c>
      <c r="O170" s="75">
        <f t="shared" si="70"/>
        <v>2985.2029104082953</v>
      </c>
    </row>
    <row r="171" spans="1:15" x14ac:dyDescent="0.25">
      <c r="A171" s="17" t="s">
        <v>21</v>
      </c>
      <c r="B171" s="72" t="str">
        <f t="shared" si="65"/>
        <v>Q3/2016</v>
      </c>
      <c r="C171" s="73">
        <f t="shared" si="73"/>
        <v>42552</v>
      </c>
      <c r="D171" s="73">
        <f t="shared" si="74"/>
        <v>42643</v>
      </c>
      <c r="E171" s="72">
        <f t="shared" si="71"/>
        <v>92</v>
      </c>
      <c r="F171" s="74">
        <f>VLOOKUP(D171,'FERC Interest Rate'!$A:$B,2,TRUE)</f>
        <v>3.5000000000000003E-2</v>
      </c>
      <c r="G171" s="75">
        <f t="shared" si="72"/>
        <v>2985.2029104082953</v>
      </c>
      <c r="H171" s="75">
        <f t="shared" si="66"/>
        <v>26.263260577909048</v>
      </c>
      <c r="I171" s="180">
        <v>0</v>
      </c>
      <c r="J171" s="76">
        <v>0</v>
      </c>
      <c r="K171" s="116">
        <f t="shared" si="67"/>
        <v>0</v>
      </c>
      <c r="L171" s="76">
        <v>0</v>
      </c>
      <c r="M171" s="117">
        <f t="shared" si="68"/>
        <v>0</v>
      </c>
      <c r="N171" s="8">
        <f t="shared" si="69"/>
        <v>3011.4661709862044</v>
      </c>
      <c r="O171" s="75">
        <f t="shared" si="70"/>
        <v>3011.4661709862044</v>
      </c>
    </row>
    <row r="172" spans="1:15" x14ac:dyDescent="0.25">
      <c r="A172" s="17" t="s">
        <v>21</v>
      </c>
      <c r="B172" s="72" t="str">
        <f>+IF(MONTH(C172)&lt;4,"Q1",IF(MONTH(C172)&lt;7,"Q2",IF(MONTH(C172)&lt;10,"Q3","Q4")))&amp;"/"&amp;YEAR(C172)</f>
        <v>Q4/2016</v>
      </c>
      <c r="C172" s="73">
        <f t="shared" si="73"/>
        <v>42644</v>
      </c>
      <c r="D172" s="73">
        <f t="shared" si="74"/>
        <v>42735</v>
      </c>
      <c r="E172" s="72">
        <f t="shared" si="71"/>
        <v>92</v>
      </c>
      <c r="F172" s="74">
        <f>VLOOKUP(D172,'FERC Interest Rate'!$A:$B,2,TRUE)</f>
        <v>3.5000000000000003E-2</v>
      </c>
      <c r="G172" s="75">
        <f t="shared" si="72"/>
        <v>3011.4661709862044</v>
      </c>
      <c r="H172" s="75">
        <f t="shared" si="66"/>
        <v>26.494319864960598</v>
      </c>
      <c r="I172" s="180">
        <v>0</v>
      </c>
      <c r="J172" s="76">
        <v>0</v>
      </c>
      <c r="K172" s="116">
        <f t="shared" si="67"/>
        <v>0</v>
      </c>
      <c r="L172" s="76">
        <v>0</v>
      </c>
      <c r="M172" s="117">
        <f t="shared" si="68"/>
        <v>0</v>
      </c>
      <c r="N172" s="8">
        <f t="shared" si="69"/>
        <v>3037.9604908511651</v>
      </c>
      <c r="O172" s="75">
        <f t="shared" si="70"/>
        <v>3037.9604908511651</v>
      </c>
    </row>
    <row r="173" spans="1:15" x14ac:dyDescent="0.25">
      <c r="A173" s="78" t="s">
        <v>52</v>
      </c>
      <c r="B173" s="72" t="str">
        <f>+IF(MONTH(C173)&lt;4,"Q1",IF(MONTH(C173)&lt;7,"Q2",IF(MONTH(C173)&lt;10,"Q3","Q4")))&amp;"/"&amp;YEAR(C173)</f>
        <v>Q1/2017</v>
      </c>
      <c r="C173" s="73">
        <f t="shared" si="73"/>
        <v>42736</v>
      </c>
      <c r="D173" s="73">
        <f t="shared" si="74"/>
        <v>42825</v>
      </c>
      <c r="E173" s="72">
        <f t="shared" si="71"/>
        <v>90</v>
      </c>
      <c r="F173" s="74">
        <f>VLOOKUP(D173,'FERC Interest Rate'!$A:$B,2,TRUE)</f>
        <v>3.5000000000000003E-2</v>
      </c>
      <c r="G173" s="75">
        <f t="shared" si="72"/>
        <v>3037.9604908511651</v>
      </c>
      <c r="H173" s="75">
        <f t="shared" si="66"/>
        <v>26.218015195016903</v>
      </c>
      <c r="I173" s="180">
        <f>(SUM($H$166:$H$190)/20)</f>
        <v>9.5769253023090748</v>
      </c>
      <c r="J173" s="76">
        <v>0</v>
      </c>
      <c r="K173" s="116">
        <f t="shared" si="67"/>
        <v>9.5769253023090748</v>
      </c>
      <c r="L173" s="76">
        <f t="shared" ref="L173:L192" si="75">VLOOKUP($L$164,A$1:F$29,5,FALSE)/20</f>
        <v>143.63200000000001</v>
      </c>
      <c r="M173" s="117">
        <f t="shared" si="68"/>
        <v>153.20892530230907</v>
      </c>
      <c r="N173" s="8">
        <f t="shared" si="69"/>
        <v>3064.1785060461821</v>
      </c>
      <c r="O173" s="75">
        <f t="shared" si="70"/>
        <v>2910.9695807438729</v>
      </c>
    </row>
    <row r="174" spans="1:15" x14ac:dyDescent="0.25">
      <c r="A174" s="78" t="s">
        <v>53</v>
      </c>
      <c r="B174" s="72" t="str">
        <f t="shared" ref="B174:B190" si="76">+IF(MONTH(C174)&lt;4,"Q1",IF(MONTH(C174)&lt;7,"Q2",IF(MONTH(C174)&lt;10,"Q3","Q4")))&amp;"/"&amp;YEAR(C174)</f>
        <v>Q2/2017</v>
      </c>
      <c r="C174" s="73">
        <f t="shared" si="73"/>
        <v>42826</v>
      </c>
      <c r="D174" s="73">
        <f t="shared" si="74"/>
        <v>42916</v>
      </c>
      <c r="E174" s="72">
        <f t="shared" si="71"/>
        <v>91</v>
      </c>
      <c r="F174" s="74">
        <f>VLOOKUP(D174,'FERC Interest Rate'!$A:$B,2,TRUE)</f>
        <v>3.7100000000000001E-2</v>
      </c>
      <c r="G174" s="75">
        <f t="shared" si="72"/>
        <v>2910.9695807438729</v>
      </c>
      <c r="H174" s="75">
        <v>0</v>
      </c>
      <c r="I174" s="180">
        <f t="shared" ref="I174:I192" si="77">(SUM($H$166:$H$190)/20)</f>
        <v>9.5769253023090748</v>
      </c>
      <c r="J174" s="76">
        <f t="shared" ref="J174:J190" si="78">G174*F174*(E174/(DATE(YEAR(D174),12,31)-DATE(YEAR(D174),1,1)+1))</f>
        <v>26.925272333012028</v>
      </c>
      <c r="K174" s="116">
        <f t="shared" si="67"/>
        <v>36.502197635321103</v>
      </c>
      <c r="L174" s="76">
        <f t="shared" si="75"/>
        <v>143.63200000000001</v>
      </c>
      <c r="M174" s="117">
        <f t="shared" si="68"/>
        <v>180.1341976353211</v>
      </c>
      <c r="N174" s="8">
        <f t="shared" si="69"/>
        <v>2937.8948530768848</v>
      </c>
      <c r="O174" s="75">
        <f t="shared" si="70"/>
        <v>2757.7606554415638</v>
      </c>
    </row>
    <row r="175" spans="1:15" x14ac:dyDescent="0.25">
      <c r="A175" s="78" t="s">
        <v>54</v>
      </c>
      <c r="B175" s="72" t="str">
        <f t="shared" si="76"/>
        <v>Q3/2017</v>
      </c>
      <c r="C175" s="73">
        <f t="shared" si="73"/>
        <v>42917</v>
      </c>
      <c r="D175" s="73">
        <f t="shared" si="74"/>
        <v>43008</v>
      </c>
      <c r="E175" s="72">
        <f t="shared" si="71"/>
        <v>92</v>
      </c>
      <c r="F175" s="74">
        <f>VLOOKUP(D175,'FERC Interest Rate'!$A:$B,2,TRUE)</f>
        <v>3.9600000000000003E-2</v>
      </c>
      <c r="G175" s="75">
        <f t="shared" si="72"/>
        <v>2757.7606554415638</v>
      </c>
      <c r="H175" s="75">
        <v>0</v>
      </c>
      <c r="I175" s="99">
        <f t="shared" si="77"/>
        <v>9.5769253023090748</v>
      </c>
      <c r="J175" s="76">
        <f t="shared" si="78"/>
        <v>27.526229095629333</v>
      </c>
      <c r="K175" s="116">
        <f t="shared" si="67"/>
        <v>37.103154397938411</v>
      </c>
      <c r="L175" s="76">
        <f t="shared" si="75"/>
        <v>143.63200000000001</v>
      </c>
      <c r="M175" s="117">
        <f t="shared" si="68"/>
        <v>180.7351543979384</v>
      </c>
      <c r="N175" s="8">
        <f t="shared" si="69"/>
        <v>2785.2868845371931</v>
      </c>
      <c r="O175" s="75">
        <f t="shared" si="70"/>
        <v>2604.5517301392547</v>
      </c>
    </row>
    <row r="176" spans="1:15" x14ac:dyDescent="0.25">
      <c r="A176" s="78" t="s">
        <v>55</v>
      </c>
      <c r="B176" s="72" t="str">
        <f t="shared" si="76"/>
        <v>Q4/2017</v>
      </c>
      <c r="C176" s="73">
        <f t="shared" si="73"/>
        <v>43009</v>
      </c>
      <c r="D176" s="73">
        <f t="shared" si="74"/>
        <v>43100</v>
      </c>
      <c r="E176" s="72">
        <f t="shared" si="71"/>
        <v>92</v>
      </c>
      <c r="F176" s="74">
        <f>VLOOKUP(D176,'FERC Interest Rate'!$A:$B,2,TRUE)</f>
        <v>4.2099999999999999E-2</v>
      </c>
      <c r="G176" s="75">
        <f t="shared" si="72"/>
        <v>2604.5517301392547</v>
      </c>
      <c r="H176" s="75">
        <v>0</v>
      </c>
      <c r="I176" s="99">
        <f t="shared" si="77"/>
        <v>9.5769253023090748</v>
      </c>
      <c r="J176" s="76">
        <f t="shared" si="78"/>
        <v>27.638218523768117</v>
      </c>
      <c r="K176" s="116">
        <f t="shared" si="67"/>
        <v>37.215143826077195</v>
      </c>
      <c r="L176" s="76">
        <f t="shared" si="75"/>
        <v>143.63200000000001</v>
      </c>
      <c r="M176" s="117">
        <f t="shared" si="68"/>
        <v>180.8471438260772</v>
      </c>
      <c r="N176" s="8">
        <f t="shared" si="69"/>
        <v>2632.1899486630227</v>
      </c>
      <c r="O176" s="75">
        <f t="shared" si="70"/>
        <v>2451.3428048369456</v>
      </c>
    </row>
    <row r="177" spans="1:15" x14ac:dyDescent="0.25">
      <c r="A177" s="78" t="s">
        <v>56</v>
      </c>
      <c r="B177" s="72" t="str">
        <f t="shared" si="76"/>
        <v>Q1/2018</v>
      </c>
      <c r="C177" s="73">
        <f t="shared" si="73"/>
        <v>43101</v>
      </c>
      <c r="D177" s="73">
        <f t="shared" si="74"/>
        <v>43190</v>
      </c>
      <c r="E177" s="72">
        <f t="shared" si="71"/>
        <v>90</v>
      </c>
      <c r="F177" s="74">
        <f>VLOOKUP(D177,'FERC Interest Rate'!$A:$B,2,TRUE)</f>
        <v>4.2500000000000003E-2</v>
      </c>
      <c r="G177" s="75">
        <f t="shared" si="72"/>
        <v>2451.3428048369456</v>
      </c>
      <c r="H177" s="75">
        <v>0</v>
      </c>
      <c r="I177" s="99">
        <f t="shared" si="77"/>
        <v>9.5769253023090748</v>
      </c>
      <c r="J177" s="76">
        <f t="shared" si="78"/>
        <v>25.68872939315429</v>
      </c>
      <c r="K177" s="116">
        <f t="shared" si="67"/>
        <v>35.265654695463368</v>
      </c>
      <c r="L177" s="76">
        <f t="shared" si="75"/>
        <v>143.63200000000001</v>
      </c>
      <c r="M177" s="117">
        <f t="shared" si="68"/>
        <v>178.89765469546336</v>
      </c>
      <c r="N177" s="8">
        <f t="shared" si="69"/>
        <v>2477.0315342301001</v>
      </c>
      <c r="O177" s="75">
        <f t="shared" si="70"/>
        <v>2298.1338795346364</v>
      </c>
    </row>
    <row r="178" spans="1:15" x14ac:dyDescent="0.25">
      <c r="A178" s="78" t="s">
        <v>57</v>
      </c>
      <c r="B178" s="72" t="str">
        <f t="shared" si="76"/>
        <v>Q2/2018</v>
      </c>
      <c r="C178" s="73">
        <f t="shared" si="73"/>
        <v>43191</v>
      </c>
      <c r="D178" s="73">
        <f t="shared" si="74"/>
        <v>43281</v>
      </c>
      <c r="E178" s="72">
        <f t="shared" si="71"/>
        <v>91</v>
      </c>
      <c r="F178" s="74">
        <f>VLOOKUP(D178,'FERC Interest Rate'!$A:$B,2,TRUE)</f>
        <v>4.4699999999999997E-2</v>
      </c>
      <c r="G178" s="75">
        <f t="shared" si="72"/>
        <v>2298.1338795346364</v>
      </c>
      <c r="H178" s="75">
        <v>0</v>
      </c>
      <c r="I178" s="99">
        <f t="shared" si="77"/>
        <v>9.5769253023090748</v>
      </c>
      <c r="J178" s="76">
        <f t="shared" si="78"/>
        <v>25.611285429542576</v>
      </c>
      <c r="K178" s="116">
        <f t="shared" si="67"/>
        <v>35.188210731851655</v>
      </c>
      <c r="L178" s="76">
        <f t="shared" si="75"/>
        <v>143.63200000000001</v>
      </c>
      <c r="M178" s="117">
        <f t="shared" si="68"/>
        <v>178.82021073185166</v>
      </c>
      <c r="N178" s="8">
        <f t="shared" si="69"/>
        <v>2323.7451649641789</v>
      </c>
      <c r="O178" s="75">
        <f t="shared" si="70"/>
        <v>2144.9249542323273</v>
      </c>
    </row>
    <row r="179" spans="1:15" x14ac:dyDescent="0.25">
      <c r="A179" s="78" t="s">
        <v>58</v>
      </c>
      <c r="B179" s="72" t="str">
        <f t="shared" si="76"/>
        <v>Q3/2018</v>
      </c>
      <c r="C179" s="73">
        <f t="shared" si="73"/>
        <v>43282</v>
      </c>
      <c r="D179" s="73">
        <f t="shared" si="74"/>
        <v>43373</v>
      </c>
      <c r="E179" s="72">
        <f t="shared" si="71"/>
        <v>92</v>
      </c>
      <c r="F179" s="74">
        <f>VLOOKUP(D179,'FERC Interest Rate'!$A:$B,2,TRUE)</f>
        <v>4.6899999999999997E-2</v>
      </c>
      <c r="G179" s="75">
        <f t="shared" si="72"/>
        <v>2144.9249542323273</v>
      </c>
      <c r="H179" s="75">
        <v>0</v>
      </c>
      <c r="I179" s="99">
        <f t="shared" si="77"/>
        <v>9.5769253023090748</v>
      </c>
      <c r="J179" s="76">
        <f t="shared" si="78"/>
        <v>25.355951212388074</v>
      </c>
      <c r="K179" s="116">
        <f t="shared" si="67"/>
        <v>34.932876514697149</v>
      </c>
      <c r="L179" s="76">
        <f t="shared" si="75"/>
        <v>143.63200000000001</v>
      </c>
      <c r="M179" s="117">
        <f t="shared" si="68"/>
        <v>178.56487651469715</v>
      </c>
      <c r="N179" s="8">
        <f t="shared" si="69"/>
        <v>2170.2809054447152</v>
      </c>
      <c r="O179" s="75">
        <f t="shared" si="70"/>
        <v>1991.7160289300182</v>
      </c>
    </row>
    <row r="180" spans="1:15" x14ac:dyDescent="0.25">
      <c r="A180" s="78" t="s">
        <v>59</v>
      </c>
      <c r="B180" s="72" t="str">
        <f t="shared" si="76"/>
        <v>Q4/2018</v>
      </c>
      <c r="C180" s="73">
        <f t="shared" si="73"/>
        <v>43374</v>
      </c>
      <c r="D180" s="73">
        <f t="shared" si="74"/>
        <v>43465</v>
      </c>
      <c r="E180" s="72">
        <f t="shared" si="71"/>
        <v>92</v>
      </c>
      <c r="F180" s="74">
        <f>VLOOKUP(D180,'FERC Interest Rate'!$A:$B,2,TRUE)</f>
        <v>4.9599999999999998E-2</v>
      </c>
      <c r="G180" s="75">
        <f t="shared" si="72"/>
        <v>1991.7160289300182</v>
      </c>
      <c r="H180" s="75">
        <v>0</v>
      </c>
      <c r="I180" s="99">
        <f t="shared" si="77"/>
        <v>9.5769253023090748</v>
      </c>
      <c r="J180" s="76">
        <f t="shared" si="78"/>
        <v>24.900270090995779</v>
      </c>
      <c r="K180" s="116">
        <f t="shared" si="67"/>
        <v>34.477195393304854</v>
      </c>
      <c r="L180" s="76">
        <f t="shared" si="75"/>
        <v>143.63200000000001</v>
      </c>
      <c r="M180" s="117">
        <f t="shared" si="68"/>
        <v>178.10919539330484</v>
      </c>
      <c r="N180" s="8">
        <f t="shared" si="69"/>
        <v>2016.6162990210139</v>
      </c>
      <c r="O180" s="75">
        <f t="shared" si="70"/>
        <v>1838.5071036277091</v>
      </c>
    </row>
    <row r="181" spans="1:15" x14ac:dyDescent="0.25">
      <c r="A181" s="78" t="s">
        <v>60</v>
      </c>
      <c r="B181" s="72" t="str">
        <f t="shared" si="76"/>
        <v>Q1/2019</v>
      </c>
      <c r="C181" s="73">
        <f t="shared" si="73"/>
        <v>43466</v>
      </c>
      <c r="D181" s="73">
        <f t="shared" si="74"/>
        <v>43555</v>
      </c>
      <c r="E181" s="72">
        <f t="shared" si="71"/>
        <v>90</v>
      </c>
      <c r="F181" s="74">
        <f>VLOOKUP(D181,'FERC Interest Rate'!$A:$B,2,TRUE)</f>
        <v>5.1799999999999999E-2</v>
      </c>
      <c r="G181" s="75">
        <f t="shared" si="72"/>
        <v>1838.5071036277091</v>
      </c>
      <c r="H181" s="75">
        <v>0</v>
      </c>
      <c r="I181" s="99">
        <f t="shared" si="77"/>
        <v>9.5769253023090748</v>
      </c>
      <c r="J181" s="76">
        <f t="shared" si="78"/>
        <v>23.482520868801039</v>
      </c>
      <c r="K181" s="116">
        <f t="shared" si="67"/>
        <v>33.05944617111011</v>
      </c>
      <c r="L181" s="76">
        <f t="shared" si="75"/>
        <v>143.63200000000001</v>
      </c>
      <c r="M181" s="117">
        <f t="shared" si="68"/>
        <v>176.6914461711101</v>
      </c>
      <c r="N181" s="8">
        <f t="shared" si="69"/>
        <v>1861.98962449651</v>
      </c>
      <c r="O181" s="75">
        <f t="shared" si="70"/>
        <v>1685.2981783253999</v>
      </c>
    </row>
    <row r="182" spans="1:15" x14ac:dyDescent="0.25">
      <c r="A182" s="78" t="s">
        <v>61</v>
      </c>
      <c r="B182" s="72" t="str">
        <f t="shared" si="76"/>
        <v>Q2/2019</v>
      </c>
      <c r="C182" s="73">
        <f t="shared" si="73"/>
        <v>43556</v>
      </c>
      <c r="D182" s="73">
        <f t="shared" si="74"/>
        <v>43646</v>
      </c>
      <c r="E182" s="72">
        <f t="shared" si="71"/>
        <v>91</v>
      </c>
      <c r="F182" s="74">
        <f>VLOOKUP(D182,'FERC Interest Rate'!$A:$B,2,TRUE)</f>
        <v>5.45E-2</v>
      </c>
      <c r="G182" s="75">
        <f t="shared" si="72"/>
        <v>1685.2981783253999</v>
      </c>
      <c r="H182" s="75">
        <v>0</v>
      </c>
      <c r="I182" s="99">
        <f t="shared" si="77"/>
        <v>9.5769253023090748</v>
      </c>
      <c r="J182" s="76">
        <f t="shared" si="78"/>
        <v>22.899277576451563</v>
      </c>
      <c r="K182" s="116">
        <f t="shared" si="67"/>
        <v>32.476202878760638</v>
      </c>
      <c r="L182" s="76">
        <f t="shared" si="75"/>
        <v>143.63200000000001</v>
      </c>
      <c r="M182" s="117">
        <f t="shared" si="68"/>
        <v>176.10820287876064</v>
      </c>
      <c r="N182" s="8">
        <f t="shared" si="69"/>
        <v>1708.1974559018515</v>
      </c>
      <c r="O182" s="75">
        <f t="shared" si="70"/>
        <v>1532.0892530230908</v>
      </c>
    </row>
    <row r="183" spans="1:15" x14ac:dyDescent="0.25">
      <c r="A183" s="78" t="s">
        <v>62</v>
      </c>
      <c r="B183" s="72" t="str">
        <f t="shared" si="76"/>
        <v>Q3/2019</v>
      </c>
      <c r="C183" s="73">
        <f t="shared" si="73"/>
        <v>43647</v>
      </c>
      <c r="D183" s="73">
        <f t="shared" si="74"/>
        <v>43738</v>
      </c>
      <c r="E183" s="72">
        <f t="shared" si="71"/>
        <v>92</v>
      </c>
      <c r="F183" s="74">
        <f>VLOOKUP(D183,'FERC Interest Rate'!$A:$B,2,TRUE)</f>
        <v>5.5E-2</v>
      </c>
      <c r="G183" s="75">
        <f t="shared" si="72"/>
        <v>1532.0892530230908</v>
      </c>
      <c r="H183" s="75">
        <v>0</v>
      </c>
      <c r="I183" s="99">
        <f t="shared" si="77"/>
        <v>9.5769253023090748</v>
      </c>
      <c r="J183" s="76">
        <f t="shared" si="78"/>
        <v>21.239374302183123</v>
      </c>
      <c r="K183" s="116">
        <f t="shared" si="67"/>
        <v>30.816299604492198</v>
      </c>
      <c r="L183" s="76">
        <f t="shared" si="75"/>
        <v>143.63200000000001</v>
      </c>
      <c r="M183" s="117">
        <f t="shared" si="68"/>
        <v>174.44829960449221</v>
      </c>
      <c r="N183" s="8">
        <f t="shared" si="69"/>
        <v>1553.3286273252738</v>
      </c>
      <c r="O183" s="75">
        <f t="shared" si="70"/>
        <v>1378.8803277207817</v>
      </c>
    </row>
    <row r="184" spans="1:15" x14ac:dyDescent="0.25">
      <c r="A184" s="78" t="s">
        <v>63</v>
      </c>
      <c r="B184" s="72" t="str">
        <f t="shared" si="76"/>
        <v>Q4/2019</v>
      </c>
      <c r="C184" s="73">
        <f t="shared" si="73"/>
        <v>43739</v>
      </c>
      <c r="D184" s="73">
        <f t="shared" si="74"/>
        <v>43830</v>
      </c>
      <c r="E184" s="72">
        <f t="shared" si="71"/>
        <v>92</v>
      </c>
      <c r="F184" s="74">
        <f>VLOOKUP(D184,'FERC Interest Rate'!$A:$B,2,TRUE)</f>
        <v>5.4199999999999998E-2</v>
      </c>
      <c r="G184" s="75">
        <f t="shared" si="72"/>
        <v>1378.8803277207817</v>
      </c>
      <c r="H184" s="75">
        <v>0</v>
      </c>
      <c r="I184" s="99">
        <f t="shared" si="77"/>
        <v>9.5769253023090748</v>
      </c>
      <c r="J184" s="76">
        <f t="shared" si="78"/>
        <v>18.837394153827137</v>
      </c>
      <c r="K184" s="116">
        <f t="shared" si="67"/>
        <v>28.414319456136212</v>
      </c>
      <c r="L184" s="76">
        <f t="shared" si="75"/>
        <v>143.63200000000001</v>
      </c>
      <c r="M184" s="117">
        <f t="shared" si="68"/>
        <v>172.04631945613622</v>
      </c>
      <c r="N184" s="8">
        <f t="shared" si="69"/>
        <v>1397.7177218746087</v>
      </c>
      <c r="O184" s="75">
        <f t="shared" si="70"/>
        <v>1225.6714024184726</v>
      </c>
    </row>
    <row r="185" spans="1:15" x14ac:dyDescent="0.25">
      <c r="A185" s="78" t="s">
        <v>64</v>
      </c>
      <c r="B185" s="72" t="str">
        <f t="shared" si="76"/>
        <v>Q1/2020</v>
      </c>
      <c r="C185" s="73">
        <f t="shared" si="73"/>
        <v>43831</v>
      </c>
      <c r="D185" s="73">
        <f t="shared" si="74"/>
        <v>43921</v>
      </c>
      <c r="E185" s="72">
        <f t="shared" si="71"/>
        <v>91</v>
      </c>
      <c r="F185" s="74">
        <f>VLOOKUP(D185,'FERC Interest Rate'!$A:$B,2,TRUE)</f>
        <v>4.9599999999999998E-2</v>
      </c>
      <c r="G185" s="75">
        <f t="shared" si="72"/>
        <v>1225.6714024184726</v>
      </c>
      <c r="H185" s="75">
        <v>0</v>
      </c>
      <c r="I185" s="99">
        <f t="shared" si="77"/>
        <v>9.5769253023090748</v>
      </c>
      <c r="J185" s="76">
        <f t="shared" si="78"/>
        <v>15.115274431573818</v>
      </c>
      <c r="K185" s="116">
        <f t="shared" si="67"/>
        <v>24.692199733882894</v>
      </c>
      <c r="L185" s="76">
        <f t="shared" si="75"/>
        <v>143.63200000000001</v>
      </c>
      <c r="M185" s="117">
        <f t="shared" si="68"/>
        <v>168.32419973388289</v>
      </c>
      <c r="N185" s="8">
        <f t="shared" si="69"/>
        <v>1240.7866768500464</v>
      </c>
      <c r="O185" s="75">
        <f t="shared" si="70"/>
        <v>1072.4624771161634</v>
      </c>
    </row>
    <row r="186" spans="1:15" x14ac:dyDescent="0.25">
      <c r="A186" s="78" t="s">
        <v>65</v>
      </c>
      <c r="B186" s="72" t="str">
        <f t="shared" si="76"/>
        <v>Q2/2020</v>
      </c>
      <c r="C186" s="73">
        <f t="shared" si="73"/>
        <v>43922</v>
      </c>
      <c r="D186" s="73">
        <f t="shared" si="74"/>
        <v>44012</v>
      </c>
      <c r="E186" s="72">
        <f t="shared" si="71"/>
        <v>91</v>
      </c>
      <c r="F186" s="74">
        <f>VLOOKUP(D186,'FERC Interest Rate'!$A:$B,2,TRUE)</f>
        <v>4.7503500000000004E-2</v>
      </c>
      <c r="G186" s="75">
        <f t="shared" si="72"/>
        <v>1072.4624771161634</v>
      </c>
      <c r="H186" s="75">
        <v>0</v>
      </c>
      <c r="I186" s="99">
        <f t="shared" si="77"/>
        <v>9.5769253023090748</v>
      </c>
      <c r="J186" s="76">
        <f t="shared" si="78"/>
        <v>12.666832340528902</v>
      </c>
      <c r="K186" s="116">
        <f t="shared" si="67"/>
        <v>22.243757642837977</v>
      </c>
      <c r="L186" s="76">
        <f t="shared" si="75"/>
        <v>143.63200000000001</v>
      </c>
      <c r="M186" s="117">
        <f t="shared" si="68"/>
        <v>165.87575764283798</v>
      </c>
      <c r="N186" s="8">
        <f t="shared" si="69"/>
        <v>1085.1293094566922</v>
      </c>
      <c r="O186" s="75">
        <f t="shared" si="70"/>
        <v>919.2535518138543</v>
      </c>
    </row>
    <row r="187" spans="1:15" x14ac:dyDescent="0.25">
      <c r="A187" s="78" t="s">
        <v>66</v>
      </c>
      <c r="B187" s="72" t="str">
        <f t="shared" si="76"/>
        <v>Q3/2020</v>
      </c>
      <c r="C187" s="73">
        <f t="shared" si="73"/>
        <v>44013</v>
      </c>
      <c r="D187" s="73">
        <f t="shared" si="74"/>
        <v>44104</v>
      </c>
      <c r="E187" s="72">
        <f t="shared" si="71"/>
        <v>92</v>
      </c>
      <c r="F187" s="74">
        <f>VLOOKUP(D187,'FERC Interest Rate'!$A:$B,2,TRUE)</f>
        <v>4.7507929999999997E-2</v>
      </c>
      <c r="G187" s="75">
        <f t="shared" si="72"/>
        <v>919.2535518138543</v>
      </c>
      <c r="H187" s="75">
        <v>0</v>
      </c>
      <c r="I187" s="99">
        <f t="shared" si="77"/>
        <v>9.5769253023090748</v>
      </c>
      <c r="J187" s="76">
        <f t="shared" si="78"/>
        <v>10.977619322534984</v>
      </c>
      <c r="K187" s="116">
        <f t="shared" si="67"/>
        <v>20.554544624844059</v>
      </c>
      <c r="L187" s="76">
        <f t="shared" si="75"/>
        <v>143.63200000000001</v>
      </c>
      <c r="M187" s="117">
        <f t="shared" si="68"/>
        <v>164.18654462484406</v>
      </c>
      <c r="N187" s="8">
        <f t="shared" si="69"/>
        <v>930.23117113638932</v>
      </c>
      <c r="O187" s="75">
        <f t="shared" si="70"/>
        <v>766.04462651154518</v>
      </c>
    </row>
    <row r="188" spans="1:15" x14ac:dyDescent="0.25">
      <c r="A188" s="78" t="s">
        <v>67</v>
      </c>
      <c r="B188" s="72" t="str">
        <f t="shared" si="76"/>
        <v>Q4/2020</v>
      </c>
      <c r="C188" s="73">
        <f t="shared" si="73"/>
        <v>44105</v>
      </c>
      <c r="D188" s="73">
        <f t="shared" si="74"/>
        <v>44196</v>
      </c>
      <c r="E188" s="72">
        <f t="shared" si="71"/>
        <v>92</v>
      </c>
      <c r="F188" s="74">
        <f>VLOOKUP(D188,'FERC Interest Rate'!$A:$B,2,TRUE)</f>
        <v>4.7922320000000004E-2</v>
      </c>
      <c r="G188" s="75">
        <f t="shared" si="72"/>
        <v>766.04462651154518</v>
      </c>
      <c r="H188" s="75">
        <v>0</v>
      </c>
      <c r="I188" s="99">
        <f t="shared" si="77"/>
        <v>9.5769253023090748</v>
      </c>
      <c r="J188" s="76">
        <f t="shared" si="78"/>
        <v>9.2278100731938295</v>
      </c>
      <c r="K188" s="116">
        <f t="shared" si="67"/>
        <v>18.804735375502904</v>
      </c>
      <c r="L188" s="76">
        <f t="shared" si="75"/>
        <v>143.63200000000001</v>
      </c>
      <c r="M188" s="117">
        <f t="shared" si="68"/>
        <v>162.43673537550291</v>
      </c>
      <c r="N188" s="8">
        <f t="shared" si="69"/>
        <v>775.27243658473901</v>
      </c>
      <c r="O188" s="75">
        <f t="shared" si="70"/>
        <v>612.83570120923605</v>
      </c>
    </row>
    <row r="189" spans="1:15" x14ac:dyDescent="0.25">
      <c r="A189" s="78" t="s">
        <v>68</v>
      </c>
      <c r="B189" s="72" t="str">
        <f t="shared" si="76"/>
        <v>Q1/2021</v>
      </c>
      <c r="C189" s="73">
        <f t="shared" si="73"/>
        <v>44197</v>
      </c>
      <c r="D189" s="73">
        <f t="shared" si="74"/>
        <v>44286</v>
      </c>
      <c r="E189" s="72">
        <f t="shared" si="71"/>
        <v>90</v>
      </c>
      <c r="F189" s="74">
        <f>VLOOKUP(D189,'FERC Interest Rate'!$A:$B,2,TRUE)</f>
        <v>5.0023470000000007E-2</v>
      </c>
      <c r="G189" s="75">
        <f t="shared" si="72"/>
        <v>612.83570120923605</v>
      </c>
      <c r="H189" s="75">
        <v>0</v>
      </c>
      <c r="I189" s="99">
        <f t="shared" si="77"/>
        <v>9.5769253023090748</v>
      </c>
      <c r="J189" s="76">
        <f t="shared" si="78"/>
        <v>7.5590552008033614</v>
      </c>
      <c r="K189" s="116">
        <f t="shared" si="67"/>
        <v>17.135980503112435</v>
      </c>
      <c r="L189" s="76">
        <f t="shared" si="75"/>
        <v>143.63200000000001</v>
      </c>
      <c r="M189" s="117">
        <f t="shared" si="68"/>
        <v>160.76798050311243</v>
      </c>
      <c r="N189" s="8">
        <f t="shared" si="69"/>
        <v>620.39475641003946</v>
      </c>
      <c r="O189" s="75">
        <f t="shared" si="70"/>
        <v>459.62677590692698</v>
      </c>
    </row>
    <row r="190" spans="1:15" x14ac:dyDescent="0.25">
      <c r="A190" s="78" t="s">
        <v>69</v>
      </c>
      <c r="B190" s="72" t="str">
        <f t="shared" si="76"/>
        <v>Q2/2021</v>
      </c>
      <c r="C190" s="73">
        <f t="shared" si="73"/>
        <v>44287</v>
      </c>
      <c r="D190" s="73">
        <f t="shared" si="74"/>
        <v>44377</v>
      </c>
      <c r="E190" s="72">
        <f t="shared" si="71"/>
        <v>91</v>
      </c>
      <c r="F190" s="74">
        <f>VLOOKUP(D190,'FERC Interest Rate'!$A:$B,2,TRUE)</f>
        <v>5.0403730000000001E-2</v>
      </c>
      <c r="G190" s="75">
        <f t="shared" si="72"/>
        <v>459.62677590692698</v>
      </c>
      <c r="H190" s="75">
        <v>0</v>
      </c>
      <c r="I190" s="99">
        <f t="shared" si="77"/>
        <v>9.5769253023090748</v>
      </c>
      <c r="J190" s="76">
        <f t="shared" si="78"/>
        <v>5.775858235989249</v>
      </c>
      <c r="K190" s="116">
        <f t="shared" si="67"/>
        <v>15.352783538298324</v>
      </c>
      <c r="L190" s="76">
        <f t="shared" si="75"/>
        <v>143.63200000000001</v>
      </c>
      <c r="M190" s="117">
        <f t="shared" si="68"/>
        <v>158.98478353829833</v>
      </c>
      <c r="N190" s="8">
        <f t="shared" si="69"/>
        <v>465.40263414291621</v>
      </c>
      <c r="O190" s="75">
        <f t="shared" si="70"/>
        <v>306.41785060461791</v>
      </c>
    </row>
    <row r="191" spans="1:15" x14ac:dyDescent="0.25">
      <c r="A191" s="78" t="s">
        <v>70</v>
      </c>
      <c r="B191" s="72" t="str">
        <f>+IF(MONTH(C191)&lt;4,"Q1",IF(MONTH(C191)&lt;7,"Q2",IF(MONTH(C191)&lt;10,"Q3","Q4")))&amp;"/"&amp;YEAR(C191)</f>
        <v>Q3/2021</v>
      </c>
      <c r="C191" s="73">
        <f>D190+1</f>
        <v>44378</v>
      </c>
      <c r="D191" s="73">
        <f t="shared" si="74"/>
        <v>44469</v>
      </c>
      <c r="E191" s="72">
        <f>D191-C191+1</f>
        <v>92</v>
      </c>
      <c r="F191" s="74">
        <f>VLOOKUP(D191,'FERC Interest Rate'!$A:$B,2,TRUE)</f>
        <v>5.2520850000000001E-2</v>
      </c>
      <c r="G191" s="75">
        <f>O190</f>
        <v>306.41785060461791</v>
      </c>
      <c r="H191" s="75">
        <v>0</v>
      </c>
      <c r="I191" s="99">
        <f t="shared" si="77"/>
        <v>9.5769253023090748</v>
      </c>
      <c r="J191" s="76">
        <f>G191*F191*(E191/(DATE(YEAR(D191),12,31)-DATE(YEAR(D191),1,1)+1))</f>
        <v>4.056399970250232</v>
      </c>
      <c r="K191" s="116">
        <f>+SUM(I191:J191)</f>
        <v>13.633325272559308</v>
      </c>
      <c r="L191" s="76">
        <f t="shared" si="75"/>
        <v>143.63200000000001</v>
      </c>
      <c r="M191" s="117">
        <f>+SUM(K191:L191)</f>
        <v>157.26532527255932</v>
      </c>
      <c r="N191" s="8">
        <f>+G191+H191+J191</f>
        <v>310.47425057486817</v>
      </c>
      <c r="O191" s="75">
        <f>G191+H191-L191-I191</f>
        <v>153.20892530230884</v>
      </c>
    </row>
    <row r="192" spans="1:15" x14ac:dyDescent="0.25">
      <c r="A192" s="78" t="s">
        <v>71</v>
      </c>
      <c r="B192" s="72" t="str">
        <f>+IF(MONTH(C192)&lt;4,"Q1",IF(MONTH(C192)&lt;7,"Q2",IF(MONTH(C192)&lt;10,"Q3","Q4")))&amp;"/"&amp;YEAR(C192)</f>
        <v>Q4/2021</v>
      </c>
      <c r="C192" s="73">
        <f>D191+1</f>
        <v>44470</v>
      </c>
      <c r="D192" s="73">
        <f t="shared" si="74"/>
        <v>44561</v>
      </c>
      <c r="E192" s="72">
        <f>D192-C192+1</f>
        <v>92</v>
      </c>
      <c r="F192" s="74">
        <f>VLOOKUP(D192,'FERC Interest Rate'!$A:$B,2,TRUE)</f>
        <v>5.2766440000000005E-2</v>
      </c>
      <c r="G192" s="75">
        <f>O191</f>
        <v>153.20892530230884</v>
      </c>
      <c r="H192" s="75">
        <v>0</v>
      </c>
      <c r="I192" s="99">
        <f t="shared" si="77"/>
        <v>9.5769253023090748</v>
      </c>
      <c r="J192" s="76">
        <f>G192*F192*(E192/(DATE(YEAR(D192),12,31)-DATE(YEAR(D192),1,1)+1))</f>
        <v>2.0376839450067017</v>
      </c>
      <c r="K192" s="116">
        <f>+SUM(I192:J192)</f>
        <v>11.614609247315776</v>
      </c>
      <c r="L192" s="76">
        <f t="shared" si="75"/>
        <v>143.63200000000001</v>
      </c>
      <c r="M192" s="117">
        <f>+SUM(K192:L192)</f>
        <v>155.24660924731577</v>
      </c>
      <c r="N192" s="8">
        <f>+G192+H192+J192</f>
        <v>155.24660924731555</v>
      </c>
      <c r="O192" s="75">
        <f>G192+H192-L192-I192</f>
        <v>-2.3803181647963356E-13</v>
      </c>
    </row>
    <row r="193" spans="1:15" x14ac:dyDescent="0.25">
      <c r="A193" s="78"/>
      <c r="B193" s="72"/>
      <c r="C193" s="73"/>
      <c r="D193" s="73"/>
      <c r="E193" s="72"/>
      <c r="F193" s="74"/>
      <c r="G193" s="75"/>
      <c r="H193" s="75"/>
      <c r="I193" s="99"/>
      <c r="J193" s="76"/>
      <c r="K193" s="116"/>
      <c r="L193" s="76"/>
      <c r="M193" s="117"/>
      <c r="N193" s="8"/>
      <c r="O193" s="75"/>
    </row>
    <row r="194" spans="1:15" ht="13.5" thickBot="1" x14ac:dyDescent="0.35">
      <c r="A194" s="142"/>
      <c r="B194" s="143"/>
      <c r="C194" s="144"/>
      <c r="D194" s="144"/>
      <c r="E194" s="145"/>
      <c r="F194" s="143"/>
      <c r="G194" s="124">
        <f t="shared" ref="G194:O194" si="79">SUM(G166:G193)</f>
        <v>52713.381745365172</v>
      </c>
      <c r="H194" s="124">
        <f t="shared" si="79"/>
        <v>191.53850604618151</v>
      </c>
      <c r="I194" s="125">
        <f t="shared" si="79"/>
        <v>191.53850604618145</v>
      </c>
      <c r="J194" s="124">
        <f t="shared" si="79"/>
        <v>337.52105649963408</v>
      </c>
      <c r="K194" s="124">
        <f t="shared" si="79"/>
        <v>529.05956254581565</v>
      </c>
      <c r="L194" s="124">
        <f t="shared" si="79"/>
        <v>2872.6400000000008</v>
      </c>
      <c r="M194" s="126">
        <f t="shared" si="79"/>
        <v>3401.6995625458158</v>
      </c>
      <c r="N194" s="124">
        <f t="shared" si="79"/>
        <v>53242.441307910973</v>
      </c>
      <c r="O194" s="124">
        <f t="shared" si="79"/>
        <v>49840.741745365172</v>
      </c>
    </row>
    <row r="195" spans="1:15" ht="14" thickTop="1" thickBot="1" x14ac:dyDescent="0.35">
      <c r="A195" s="181"/>
      <c r="B195" s="205"/>
      <c r="C195" s="327"/>
      <c r="D195" s="327"/>
      <c r="E195" s="207"/>
      <c r="F195" s="205"/>
      <c r="G195" s="330"/>
      <c r="H195" s="330"/>
      <c r="I195" s="329"/>
      <c r="J195" s="330"/>
      <c r="K195" s="330"/>
      <c r="L195" s="330"/>
      <c r="M195" s="331"/>
      <c r="N195" s="330"/>
      <c r="O195" s="330"/>
    </row>
    <row r="196" spans="1:15" ht="13.5" thickTop="1" x14ac:dyDescent="0.3">
      <c r="B196" s="103"/>
      <c r="C196" s="103"/>
      <c r="D196" s="103"/>
      <c r="E196" s="103"/>
      <c r="F196" s="103"/>
      <c r="G196" s="103"/>
      <c r="H196" s="103"/>
      <c r="I196" s="201"/>
      <c r="J196" s="348" t="s">
        <v>14</v>
      </c>
      <c r="K196" s="348"/>
      <c r="L196" s="141" t="s">
        <v>56</v>
      </c>
      <c r="M196" s="202"/>
      <c r="O196" s="103"/>
    </row>
    <row r="197" spans="1:15" ht="39" x14ac:dyDescent="0.3">
      <c r="A197" s="77" t="s">
        <v>51</v>
      </c>
      <c r="B197" s="77" t="s">
        <v>3</v>
      </c>
      <c r="C197" s="77" t="s">
        <v>4</v>
      </c>
      <c r="D197" s="77" t="s">
        <v>5</v>
      </c>
      <c r="E197" s="77" t="s">
        <v>6</v>
      </c>
      <c r="F197" s="77" t="s">
        <v>7</v>
      </c>
      <c r="G197" s="77" t="s">
        <v>92</v>
      </c>
      <c r="H197" s="77" t="s">
        <v>93</v>
      </c>
      <c r="I197" s="94" t="s">
        <v>94</v>
      </c>
      <c r="J197" s="95" t="s">
        <v>95</v>
      </c>
      <c r="K197" s="95" t="s">
        <v>96</v>
      </c>
      <c r="L197" s="95" t="s">
        <v>97</v>
      </c>
      <c r="M197" s="96" t="s">
        <v>98</v>
      </c>
      <c r="N197" s="77" t="s">
        <v>99</v>
      </c>
      <c r="O197" s="77" t="s">
        <v>100</v>
      </c>
    </row>
    <row r="198" spans="1:15" x14ac:dyDescent="0.25">
      <c r="A198" s="17" t="s">
        <v>21</v>
      </c>
      <c r="B198" s="72" t="str">
        <f t="shared" ref="B198:B204" si="80">+IF(MONTH(C198)&lt;4,"Q1",IF(MONTH(C198)&lt;7,"Q2",IF(MONTH(C198)&lt;10,"Q3","Q4")))&amp;"/"&amp;YEAR(C198)</f>
        <v>Q3/2015</v>
      </c>
      <c r="C198" s="73">
        <f>VLOOKUP(L196,A$1:F$29,2,FALSE)</f>
        <v>42216</v>
      </c>
      <c r="D198" s="73">
        <f>DATE(YEAR(C198),IF(MONTH(C198)&lt;=3,3,IF(MONTH(C198)&lt;=6,6,IF(MONTH(C198)&lt;=9,9,12))),IF(OR(MONTH(C198)&lt;=3,MONTH(C198)&gt;=10),31,30))</f>
        <v>42277</v>
      </c>
      <c r="E198" s="72">
        <f>D198-C198+1</f>
        <v>62</v>
      </c>
      <c r="F198" s="74">
        <f>VLOOKUP(D198,'FERC Interest Rate'!$A:$B,2,TRUE)</f>
        <v>3.2500000000000001E-2</v>
      </c>
      <c r="G198" s="75">
        <f>VLOOKUP(L196,$A$1:$F$29,5,FALSE)</f>
        <v>3176.08</v>
      </c>
      <c r="H198" s="75">
        <f t="shared" ref="H198:H204" si="81">G198*F198*(E198/(DATE(YEAR(D198),12,31)-DATE(YEAR(D198),1,1)+1))</f>
        <v>17.533701917808219</v>
      </c>
      <c r="I198" s="180">
        <v>0</v>
      </c>
      <c r="J198" s="76">
        <v>0</v>
      </c>
      <c r="K198" s="116">
        <f t="shared" ref="K198:K223" si="82">+SUM(I198:J198)</f>
        <v>0</v>
      </c>
      <c r="L198" s="76">
        <v>0</v>
      </c>
      <c r="M198" s="117">
        <f t="shared" ref="M198:M223" si="83">+SUM(K198:L198)</f>
        <v>0</v>
      </c>
      <c r="N198" s="8">
        <f t="shared" ref="N198:N223" si="84">+G198+H198+J198</f>
        <v>3193.6137019178082</v>
      </c>
      <c r="O198" s="75">
        <f t="shared" ref="O198:O223" si="85">G198+H198-L198-I198</f>
        <v>3193.6137019178082</v>
      </c>
    </row>
    <row r="199" spans="1:15" x14ac:dyDescent="0.25">
      <c r="A199" s="17" t="s">
        <v>21</v>
      </c>
      <c r="B199" s="72" t="str">
        <f t="shared" si="80"/>
        <v>Q4/2015</v>
      </c>
      <c r="C199" s="73">
        <f>D198+1</f>
        <v>42278</v>
      </c>
      <c r="D199" s="73">
        <f>EOMONTH(D198,3)</f>
        <v>42369</v>
      </c>
      <c r="E199" s="72">
        <f t="shared" ref="E199:E223" si="86">D199-C199+1</f>
        <v>92</v>
      </c>
      <c r="F199" s="74">
        <f>VLOOKUP(D199,'FERC Interest Rate'!$A:$B,2,TRUE)</f>
        <v>3.2500000000000001E-2</v>
      </c>
      <c r="G199" s="75">
        <f t="shared" ref="G199:G223" si="87">O198</f>
        <v>3193.6137019178082</v>
      </c>
      <c r="H199" s="75">
        <f t="shared" si="81"/>
        <v>26.161383475984238</v>
      </c>
      <c r="I199" s="180">
        <v>0</v>
      </c>
      <c r="J199" s="76">
        <v>0</v>
      </c>
      <c r="K199" s="116">
        <f t="shared" si="82"/>
        <v>0</v>
      </c>
      <c r="L199" s="76">
        <v>0</v>
      </c>
      <c r="M199" s="117">
        <f t="shared" si="83"/>
        <v>0</v>
      </c>
      <c r="N199" s="8">
        <f t="shared" si="84"/>
        <v>3219.7750853937923</v>
      </c>
      <c r="O199" s="75">
        <f t="shared" si="85"/>
        <v>3219.7750853937923</v>
      </c>
    </row>
    <row r="200" spans="1:15" x14ac:dyDescent="0.25">
      <c r="A200" s="17" t="s">
        <v>21</v>
      </c>
      <c r="B200" s="72" t="str">
        <f t="shared" si="80"/>
        <v>Q1/2016</v>
      </c>
      <c r="C200" s="73">
        <f t="shared" ref="C200:C223" si="88">D199+1</f>
        <v>42370</v>
      </c>
      <c r="D200" s="73">
        <f t="shared" ref="D200:D223" si="89">EOMONTH(D199,3)</f>
        <v>42460</v>
      </c>
      <c r="E200" s="72">
        <f t="shared" si="86"/>
        <v>91</v>
      </c>
      <c r="F200" s="74">
        <f>VLOOKUP(D200,'FERC Interest Rate'!$A:$B,2,TRUE)</f>
        <v>3.2500000000000001E-2</v>
      </c>
      <c r="G200" s="75">
        <f t="shared" si="87"/>
        <v>3219.7750853937923</v>
      </c>
      <c r="H200" s="75">
        <f t="shared" si="81"/>
        <v>26.017718073912953</v>
      </c>
      <c r="I200" s="180">
        <v>0</v>
      </c>
      <c r="J200" s="76">
        <v>0</v>
      </c>
      <c r="K200" s="116">
        <f t="shared" si="82"/>
        <v>0</v>
      </c>
      <c r="L200" s="76">
        <v>0</v>
      </c>
      <c r="M200" s="117">
        <f t="shared" si="83"/>
        <v>0</v>
      </c>
      <c r="N200" s="8">
        <f t="shared" si="84"/>
        <v>3245.7928034677052</v>
      </c>
      <c r="O200" s="75">
        <f t="shared" si="85"/>
        <v>3245.7928034677052</v>
      </c>
    </row>
    <row r="201" spans="1:15" x14ac:dyDescent="0.25">
      <c r="A201" s="17" t="s">
        <v>21</v>
      </c>
      <c r="B201" s="72" t="str">
        <f t="shared" si="80"/>
        <v>Q2/2016</v>
      </c>
      <c r="C201" s="73">
        <f t="shared" si="88"/>
        <v>42461</v>
      </c>
      <c r="D201" s="73">
        <f t="shared" si="89"/>
        <v>42551</v>
      </c>
      <c r="E201" s="72">
        <f t="shared" si="86"/>
        <v>91</v>
      </c>
      <c r="F201" s="74">
        <f>VLOOKUP(D201,'FERC Interest Rate'!$A:$B,2,TRUE)</f>
        <v>3.4599999999999999E-2</v>
      </c>
      <c r="G201" s="75">
        <f t="shared" si="87"/>
        <v>3245.7928034677052</v>
      </c>
      <c r="H201" s="75">
        <f t="shared" si="81"/>
        <v>27.922686396170537</v>
      </c>
      <c r="I201" s="180">
        <v>0</v>
      </c>
      <c r="J201" s="76">
        <v>0</v>
      </c>
      <c r="K201" s="116">
        <f t="shared" si="82"/>
        <v>0</v>
      </c>
      <c r="L201" s="76">
        <v>0</v>
      </c>
      <c r="M201" s="117">
        <f t="shared" si="83"/>
        <v>0</v>
      </c>
      <c r="N201" s="8">
        <f t="shared" si="84"/>
        <v>3273.7154898638755</v>
      </c>
      <c r="O201" s="75">
        <f t="shared" si="85"/>
        <v>3273.7154898638755</v>
      </c>
    </row>
    <row r="202" spans="1:15" x14ac:dyDescent="0.25">
      <c r="A202" s="17" t="s">
        <v>21</v>
      </c>
      <c r="B202" s="72" t="str">
        <f t="shared" si="80"/>
        <v>Q3/2016</v>
      </c>
      <c r="C202" s="73">
        <f t="shared" si="88"/>
        <v>42552</v>
      </c>
      <c r="D202" s="73">
        <f t="shared" si="89"/>
        <v>42643</v>
      </c>
      <c r="E202" s="72">
        <f t="shared" si="86"/>
        <v>92</v>
      </c>
      <c r="F202" s="74">
        <f>VLOOKUP(D202,'FERC Interest Rate'!$A:$B,2,TRUE)</f>
        <v>3.5000000000000003E-2</v>
      </c>
      <c r="G202" s="75">
        <f t="shared" si="87"/>
        <v>3273.7154898638755</v>
      </c>
      <c r="H202" s="75">
        <f t="shared" si="81"/>
        <v>28.80154064852918</v>
      </c>
      <c r="I202" s="180">
        <v>0</v>
      </c>
      <c r="J202" s="76">
        <v>0</v>
      </c>
      <c r="K202" s="116">
        <f t="shared" si="82"/>
        <v>0</v>
      </c>
      <c r="L202" s="76">
        <v>0</v>
      </c>
      <c r="M202" s="117">
        <f t="shared" si="83"/>
        <v>0</v>
      </c>
      <c r="N202" s="8">
        <f t="shared" si="84"/>
        <v>3302.5170305124047</v>
      </c>
      <c r="O202" s="75">
        <f t="shared" si="85"/>
        <v>3302.5170305124047</v>
      </c>
    </row>
    <row r="203" spans="1:15" x14ac:dyDescent="0.25">
      <c r="A203" s="17" t="s">
        <v>21</v>
      </c>
      <c r="B203" s="72" t="str">
        <f t="shared" si="80"/>
        <v>Q4/2016</v>
      </c>
      <c r="C203" s="73">
        <f t="shared" si="88"/>
        <v>42644</v>
      </c>
      <c r="D203" s="73">
        <f t="shared" si="89"/>
        <v>42735</v>
      </c>
      <c r="E203" s="72">
        <f t="shared" si="86"/>
        <v>92</v>
      </c>
      <c r="F203" s="74">
        <f>VLOOKUP(D203,'FERC Interest Rate'!$A:$B,2,TRUE)</f>
        <v>3.5000000000000003E-2</v>
      </c>
      <c r="G203" s="75">
        <f t="shared" si="87"/>
        <v>3302.5170305124047</v>
      </c>
      <c r="H203" s="75">
        <f t="shared" si="81"/>
        <v>29.054931252049027</v>
      </c>
      <c r="I203" s="180">
        <v>0</v>
      </c>
      <c r="J203" s="76">
        <v>0</v>
      </c>
      <c r="K203" s="116">
        <f t="shared" si="82"/>
        <v>0</v>
      </c>
      <c r="L203" s="76">
        <v>0</v>
      </c>
      <c r="M203" s="117">
        <f t="shared" si="83"/>
        <v>0</v>
      </c>
      <c r="N203" s="8">
        <f t="shared" si="84"/>
        <v>3331.5719617644536</v>
      </c>
      <c r="O203" s="75">
        <f t="shared" si="85"/>
        <v>3331.5719617644536</v>
      </c>
    </row>
    <row r="204" spans="1:15" x14ac:dyDescent="0.25">
      <c r="A204" s="78" t="s">
        <v>52</v>
      </c>
      <c r="B204" s="72" t="str">
        <f t="shared" si="80"/>
        <v>Q1/2017</v>
      </c>
      <c r="C204" s="73">
        <f t="shared" si="88"/>
        <v>42736</v>
      </c>
      <c r="D204" s="73">
        <f t="shared" si="89"/>
        <v>42825</v>
      </c>
      <c r="E204" s="72">
        <f t="shared" si="86"/>
        <v>90</v>
      </c>
      <c r="F204" s="74">
        <f>VLOOKUP(D204,'FERC Interest Rate'!$A:$B,2,TRUE)</f>
        <v>3.5000000000000003E-2</v>
      </c>
      <c r="G204" s="75">
        <f t="shared" si="87"/>
        <v>3331.5719617644536</v>
      </c>
      <c r="H204" s="75">
        <f t="shared" si="81"/>
        <v>28.751922409748026</v>
      </c>
      <c r="I204" s="180">
        <f t="shared" ref="I204:I223" si="90">SUM($H$198:$H$224)/20</f>
        <v>9.212194208710109</v>
      </c>
      <c r="J204" s="76">
        <v>0</v>
      </c>
      <c r="K204" s="116">
        <f t="shared" si="82"/>
        <v>9.212194208710109</v>
      </c>
      <c r="L204" s="76">
        <f t="shared" ref="L204:L223" si="91">VLOOKUP($L$196,A$1:F$29,5,FALSE)/20</f>
        <v>158.804</v>
      </c>
      <c r="M204" s="117">
        <f t="shared" si="83"/>
        <v>168.01619420871012</v>
      </c>
      <c r="N204" s="8">
        <f t="shared" si="84"/>
        <v>3360.3238841742018</v>
      </c>
      <c r="O204" s="75">
        <f t="shared" si="85"/>
        <v>3192.3076899654916</v>
      </c>
    </row>
    <row r="205" spans="1:15" x14ac:dyDescent="0.25">
      <c r="A205" s="78" t="s">
        <v>53</v>
      </c>
      <c r="B205" s="72" t="str">
        <f>+IF(MONTH(C205)&lt;4,"Q1",IF(MONTH(C205)&lt;7,"Q2",IF(MONTH(C205)&lt;10,"Q3","Q4")))&amp;"/"&amp;YEAR(C205)</f>
        <v>Q2/2017</v>
      </c>
      <c r="C205" s="73">
        <f t="shared" si="88"/>
        <v>42826</v>
      </c>
      <c r="D205" s="73">
        <f t="shared" si="89"/>
        <v>42916</v>
      </c>
      <c r="E205" s="72">
        <f t="shared" si="86"/>
        <v>91</v>
      </c>
      <c r="F205" s="74">
        <f>VLOOKUP(D205,'FERC Interest Rate'!$A:$B,2,TRUE)</f>
        <v>3.7100000000000001E-2</v>
      </c>
      <c r="G205" s="75">
        <f t="shared" si="87"/>
        <v>3192.3076899654916</v>
      </c>
      <c r="H205" s="75">
        <v>0</v>
      </c>
      <c r="I205" s="99">
        <f t="shared" si="90"/>
        <v>9.212194208710109</v>
      </c>
      <c r="J205" s="76">
        <f t="shared" ref="J205:J223" si="92">G205*F205*(E205/(DATE(YEAR(D205),12,31)-DATE(YEAR(D205),1,1)+1))</f>
        <v>29.527534224910951</v>
      </c>
      <c r="K205" s="116">
        <f t="shared" si="82"/>
        <v>38.73972843362106</v>
      </c>
      <c r="L205" s="76">
        <f t="shared" si="91"/>
        <v>158.804</v>
      </c>
      <c r="M205" s="117">
        <f t="shared" si="83"/>
        <v>197.54372843362106</v>
      </c>
      <c r="N205" s="8">
        <f t="shared" si="84"/>
        <v>3221.8352241904026</v>
      </c>
      <c r="O205" s="75">
        <f t="shared" si="85"/>
        <v>3024.2914957567814</v>
      </c>
    </row>
    <row r="206" spans="1:15" x14ac:dyDescent="0.25">
      <c r="A206" s="78" t="s">
        <v>54</v>
      </c>
      <c r="B206" s="72" t="str">
        <f>+IF(MONTH(C206)&lt;4,"Q1",IF(MONTH(C206)&lt;7,"Q2",IF(MONTH(C206)&lt;10,"Q3","Q4")))&amp;"/"&amp;YEAR(C206)</f>
        <v>Q3/2017</v>
      </c>
      <c r="C206" s="73">
        <f t="shared" si="88"/>
        <v>42917</v>
      </c>
      <c r="D206" s="73">
        <f t="shared" si="89"/>
        <v>43008</v>
      </c>
      <c r="E206" s="72">
        <f t="shared" si="86"/>
        <v>92</v>
      </c>
      <c r="F206" s="74">
        <f>VLOOKUP(D206,'FERC Interest Rate'!$A:$B,2,TRUE)</f>
        <v>3.9600000000000003E-2</v>
      </c>
      <c r="G206" s="75">
        <f t="shared" si="87"/>
        <v>3024.2914957567814</v>
      </c>
      <c r="H206" s="75">
        <v>0</v>
      </c>
      <c r="I206" s="99">
        <f t="shared" si="90"/>
        <v>9.212194208710109</v>
      </c>
      <c r="J206" s="76">
        <f t="shared" si="92"/>
        <v>30.186571992715365</v>
      </c>
      <c r="K206" s="116">
        <f t="shared" si="82"/>
        <v>39.398766201425474</v>
      </c>
      <c r="L206" s="76">
        <f t="shared" si="91"/>
        <v>158.804</v>
      </c>
      <c r="M206" s="117">
        <f t="shared" si="83"/>
        <v>198.20276620142548</v>
      </c>
      <c r="N206" s="8">
        <f t="shared" si="84"/>
        <v>3054.4780677494969</v>
      </c>
      <c r="O206" s="75">
        <f t="shared" si="85"/>
        <v>2856.2753015480712</v>
      </c>
    </row>
    <row r="207" spans="1:15" x14ac:dyDescent="0.25">
      <c r="A207" s="78" t="s">
        <v>55</v>
      </c>
      <c r="B207" s="72" t="str">
        <f t="shared" ref="B207:B223" si="93">+IF(MONTH(C207)&lt;4,"Q1",IF(MONTH(C207)&lt;7,"Q2",IF(MONTH(C207)&lt;10,"Q3","Q4")))&amp;"/"&amp;YEAR(C207)</f>
        <v>Q4/2017</v>
      </c>
      <c r="C207" s="73">
        <f t="shared" si="88"/>
        <v>43009</v>
      </c>
      <c r="D207" s="73">
        <f t="shared" si="89"/>
        <v>43100</v>
      </c>
      <c r="E207" s="72">
        <f t="shared" si="86"/>
        <v>92</v>
      </c>
      <c r="F207" s="74">
        <f>VLOOKUP(D207,'FERC Interest Rate'!$A:$B,2,TRUE)</f>
        <v>4.2099999999999999E-2</v>
      </c>
      <c r="G207" s="75">
        <f t="shared" si="87"/>
        <v>2856.2753015480712</v>
      </c>
      <c r="H207" s="75">
        <v>0</v>
      </c>
      <c r="I207" s="99">
        <f t="shared" si="90"/>
        <v>9.212194208710109</v>
      </c>
      <c r="J207" s="76">
        <f t="shared" si="92"/>
        <v>30.309384925906823</v>
      </c>
      <c r="K207" s="116">
        <f t="shared" si="82"/>
        <v>39.521579134616928</v>
      </c>
      <c r="L207" s="76">
        <f t="shared" si="91"/>
        <v>158.804</v>
      </c>
      <c r="M207" s="117">
        <f t="shared" si="83"/>
        <v>198.32557913461693</v>
      </c>
      <c r="N207" s="8">
        <f t="shared" si="84"/>
        <v>2886.5846864739779</v>
      </c>
      <c r="O207" s="75">
        <f t="shared" si="85"/>
        <v>2688.259107339361</v>
      </c>
    </row>
    <row r="208" spans="1:15" x14ac:dyDescent="0.25">
      <c r="A208" s="78" t="s">
        <v>56</v>
      </c>
      <c r="B208" s="72" t="str">
        <f t="shared" si="93"/>
        <v>Q1/2018</v>
      </c>
      <c r="C208" s="73">
        <f t="shared" si="88"/>
        <v>43101</v>
      </c>
      <c r="D208" s="73">
        <f t="shared" si="89"/>
        <v>43190</v>
      </c>
      <c r="E208" s="72">
        <f t="shared" si="86"/>
        <v>90</v>
      </c>
      <c r="F208" s="74">
        <f>VLOOKUP(D208,'FERC Interest Rate'!$A:$B,2,TRUE)</f>
        <v>4.2500000000000003E-2</v>
      </c>
      <c r="G208" s="75">
        <f t="shared" si="87"/>
        <v>2688.259107339361</v>
      </c>
      <c r="H208" s="75">
        <v>0</v>
      </c>
      <c r="I208" s="99">
        <f t="shared" si="90"/>
        <v>9.212194208710109</v>
      </c>
      <c r="J208" s="76">
        <f t="shared" si="92"/>
        <v>28.171482426227552</v>
      </c>
      <c r="K208" s="116">
        <f t="shared" si="82"/>
        <v>37.383676634937657</v>
      </c>
      <c r="L208" s="76">
        <f t="shared" si="91"/>
        <v>158.804</v>
      </c>
      <c r="M208" s="117">
        <f t="shared" si="83"/>
        <v>196.18767663493765</v>
      </c>
      <c r="N208" s="8">
        <f t="shared" si="84"/>
        <v>2716.4305897655886</v>
      </c>
      <c r="O208" s="75">
        <f t="shared" si="85"/>
        <v>2520.2429131306508</v>
      </c>
    </row>
    <row r="209" spans="1:15" x14ac:dyDescent="0.25">
      <c r="A209" s="78" t="s">
        <v>57</v>
      </c>
      <c r="B209" s="72" t="str">
        <f t="shared" si="93"/>
        <v>Q2/2018</v>
      </c>
      <c r="C209" s="73">
        <f t="shared" si="88"/>
        <v>43191</v>
      </c>
      <c r="D209" s="73">
        <f t="shared" si="89"/>
        <v>43281</v>
      </c>
      <c r="E209" s="72">
        <f t="shared" si="86"/>
        <v>91</v>
      </c>
      <c r="F209" s="74">
        <f>VLOOKUP(D209,'FERC Interest Rate'!$A:$B,2,TRUE)</f>
        <v>4.4699999999999997E-2</v>
      </c>
      <c r="G209" s="75">
        <f t="shared" si="87"/>
        <v>2520.2429131306508</v>
      </c>
      <c r="H209" s="75">
        <v>0</v>
      </c>
      <c r="I209" s="99">
        <f t="shared" si="90"/>
        <v>9.212194208710109</v>
      </c>
      <c r="J209" s="76">
        <f t="shared" si="92"/>
        <v>28.086553692442596</v>
      </c>
      <c r="K209" s="116">
        <f t="shared" si="82"/>
        <v>37.298747901152709</v>
      </c>
      <c r="L209" s="76">
        <f t="shared" si="91"/>
        <v>158.804</v>
      </c>
      <c r="M209" s="117">
        <f t="shared" si="83"/>
        <v>196.10274790115272</v>
      </c>
      <c r="N209" s="8">
        <f t="shared" si="84"/>
        <v>2548.3294668230933</v>
      </c>
      <c r="O209" s="75">
        <f t="shared" si="85"/>
        <v>2352.2267189219406</v>
      </c>
    </row>
    <row r="210" spans="1:15" x14ac:dyDescent="0.25">
      <c r="A210" s="78" t="s">
        <v>58</v>
      </c>
      <c r="B210" s="72" t="str">
        <f t="shared" si="93"/>
        <v>Q3/2018</v>
      </c>
      <c r="C210" s="73">
        <f t="shared" si="88"/>
        <v>43282</v>
      </c>
      <c r="D210" s="73">
        <f t="shared" si="89"/>
        <v>43373</v>
      </c>
      <c r="E210" s="72">
        <f t="shared" si="86"/>
        <v>92</v>
      </c>
      <c r="F210" s="74">
        <f>VLOOKUP(D210,'FERC Interest Rate'!$A:$B,2,TRUE)</f>
        <v>4.6899999999999997E-2</v>
      </c>
      <c r="G210" s="75">
        <f t="shared" si="87"/>
        <v>2352.2267189219406</v>
      </c>
      <c r="H210" s="75">
        <v>0</v>
      </c>
      <c r="I210" s="99">
        <f t="shared" si="90"/>
        <v>9.212194208710109</v>
      </c>
      <c r="J210" s="76">
        <f t="shared" si="92"/>
        <v>27.806542046039421</v>
      </c>
      <c r="K210" s="116">
        <f t="shared" si="82"/>
        <v>37.018736254749527</v>
      </c>
      <c r="L210" s="76">
        <f t="shared" si="91"/>
        <v>158.804</v>
      </c>
      <c r="M210" s="117">
        <f t="shared" si="83"/>
        <v>195.82273625474954</v>
      </c>
      <c r="N210" s="8">
        <f t="shared" si="84"/>
        <v>2380.0332609679799</v>
      </c>
      <c r="O210" s="75">
        <f t="shared" si="85"/>
        <v>2184.2105247132304</v>
      </c>
    </row>
    <row r="211" spans="1:15" x14ac:dyDescent="0.25">
      <c r="A211" s="78" t="s">
        <v>59</v>
      </c>
      <c r="B211" s="72" t="str">
        <f t="shared" si="93"/>
        <v>Q4/2018</v>
      </c>
      <c r="C211" s="73">
        <f t="shared" si="88"/>
        <v>43374</v>
      </c>
      <c r="D211" s="73">
        <f t="shared" si="89"/>
        <v>43465</v>
      </c>
      <c r="E211" s="72">
        <f t="shared" si="86"/>
        <v>92</v>
      </c>
      <c r="F211" s="74">
        <f>VLOOKUP(D211,'FERC Interest Rate'!$A:$B,2,TRUE)</f>
        <v>4.9599999999999998E-2</v>
      </c>
      <c r="G211" s="75">
        <f t="shared" si="87"/>
        <v>2184.2105247132304</v>
      </c>
      <c r="H211" s="75">
        <v>0</v>
      </c>
      <c r="I211" s="99">
        <f t="shared" si="90"/>
        <v>9.212194208710109</v>
      </c>
      <c r="J211" s="76">
        <f t="shared" si="92"/>
        <v>27.30682045581209</v>
      </c>
      <c r="K211" s="116">
        <f t="shared" si="82"/>
        <v>36.519014664522203</v>
      </c>
      <c r="L211" s="76">
        <f t="shared" si="91"/>
        <v>158.804</v>
      </c>
      <c r="M211" s="117">
        <f t="shared" si="83"/>
        <v>195.32301466452219</v>
      </c>
      <c r="N211" s="8">
        <f t="shared" si="84"/>
        <v>2211.5173451690425</v>
      </c>
      <c r="O211" s="75">
        <f t="shared" si="85"/>
        <v>2016.1943305045202</v>
      </c>
    </row>
    <row r="212" spans="1:15" x14ac:dyDescent="0.25">
      <c r="A212" s="78" t="s">
        <v>60</v>
      </c>
      <c r="B212" s="72" t="str">
        <f t="shared" si="93"/>
        <v>Q1/2019</v>
      </c>
      <c r="C212" s="73">
        <f t="shared" si="88"/>
        <v>43466</v>
      </c>
      <c r="D212" s="73">
        <f t="shared" si="89"/>
        <v>43555</v>
      </c>
      <c r="E212" s="72">
        <f t="shared" si="86"/>
        <v>90</v>
      </c>
      <c r="F212" s="74">
        <f>VLOOKUP(D212,'FERC Interest Rate'!$A:$B,2,TRUE)</f>
        <v>5.1799999999999999E-2</v>
      </c>
      <c r="G212" s="75">
        <f t="shared" si="87"/>
        <v>2016.1943305045202</v>
      </c>
      <c r="H212" s="75">
        <v>0</v>
      </c>
      <c r="I212" s="99">
        <f t="shared" si="90"/>
        <v>9.212194208710109</v>
      </c>
      <c r="J212" s="76">
        <f t="shared" si="92"/>
        <v>25.752049229622116</v>
      </c>
      <c r="K212" s="116">
        <f t="shared" si="82"/>
        <v>34.964243438332225</v>
      </c>
      <c r="L212" s="76">
        <f t="shared" si="91"/>
        <v>158.804</v>
      </c>
      <c r="M212" s="117">
        <f t="shared" si="83"/>
        <v>193.76824343833223</v>
      </c>
      <c r="N212" s="8">
        <f t="shared" si="84"/>
        <v>2041.9463797341423</v>
      </c>
      <c r="O212" s="75">
        <f t="shared" si="85"/>
        <v>1848.17813629581</v>
      </c>
    </row>
    <row r="213" spans="1:15" x14ac:dyDescent="0.25">
      <c r="A213" s="78" t="s">
        <v>61</v>
      </c>
      <c r="B213" s="72" t="str">
        <f t="shared" si="93"/>
        <v>Q2/2019</v>
      </c>
      <c r="C213" s="73">
        <f t="shared" si="88"/>
        <v>43556</v>
      </c>
      <c r="D213" s="73">
        <f t="shared" si="89"/>
        <v>43646</v>
      </c>
      <c r="E213" s="72">
        <f t="shared" si="86"/>
        <v>91</v>
      </c>
      <c r="F213" s="74">
        <f>VLOOKUP(D213,'FERC Interest Rate'!$A:$B,2,TRUE)</f>
        <v>5.45E-2</v>
      </c>
      <c r="G213" s="75">
        <f t="shared" si="87"/>
        <v>1848.17813629581</v>
      </c>
      <c r="H213" s="75">
        <v>0</v>
      </c>
      <c r="I213" s="99">
        <f t="shared" si="90"/>
        <v>9.212194208710109</v>
      </c>
      <c r="J213" s="76">
        <f t="shared" si="92"/>
        <v>25.112436895778274</v>
      </c>
      <c r="K213" s="116">
        <f t="shared" si="82"/>
        <v>34.324631104488383</v>
      </c>
      <c r="L213" s="76">
        <f t="shared" si="91"/>
        <v>158.804</v>
      </c>
      <c r="M213" s="117">
        <f t="shared" si="83"/>
        <v>193.12863110448839</v>
      </c>
      <c r="N213" s="8">
        <f t="shared" si="84"/>
        <v>1873.2905731915882</v>
      </c>
      <c r="O213" s="75">
        <f t="shared" si="85"/>
        <v>1680.1619420870998</v>
      </c>
    </row>
    <row r="214" spans="1:15" x14ac:dyDescent="0.25">
      <c r="A214" s="78" t="s">
        <v>62</v>
      </c>
      <c r="B214" s="72" t="str">
        <f t="shared" si="93"/>
        <v>Q3/2019</v>
      </c>
      <c r="C214" s="73">
        <f t="shared" si="88"/>
        <v>43647</v>
      </c>
      <c r="D214" s="73">
        <f t="shared" si="89"/>
        <v>43738</v>
      </c>
      <c r="E214" s="72">
        <f t="shared" si="86"/>
        <v>92</v>
      </c>
      <c r="F214" s="74">
        <f>VLOOKUP(D214,'FERC Interest Rate'!$A:$B,2,TRUE)</f>
        <v>5.5E-2</v>
      </c>
      <c r="G214" s="75">
        <f t="shared" si="87"/>
        <v>1680.1619420870998</v>
      </c>
      <c r="H214" s="75">
        <v>0</v>
      </c>
      <c r="I214" s="99">
        <f t="shared" si="90"/>
        <v>9.212194208710109</v>
      </c>
      <c r="J214" s="76">
        <f t="shared" si="92"/>
        <v>23.292108019070479</v>
      </c>
      <c r="K214" s="116">
        <f t="shared" si="82"/>
        <v>32.504302227780585</v>
      </c>
      <c r="L214" s="76">
        <f t="shared" si="91"/>
        <v>158.804</v>
      </c>
      <c r="M214" s="117">
        <f t="shared" si="83"/>
        <v>191.30830222778059</v>
      </c>
      <c r="N214" s="8">
        <f t="shared" si="84"/>
        <v>1703.4540501061701</v>
      </c>
      <c r="O214" s="75">
        <f t="shared" si="85"/>
        <v>1512.1457478783896</v>
      </c>
    </row>
    <row r="215" spans="1:15" x14ac:dyDescent="0.25">
      <c r="A215" s="78" t="s">
        <v>63</v>
      </c>
      <c r="B215" s="72" t="str">
        <f t="shared" si="93"/>
        <v>Q4/2019</v>
      </c>
      <c r="C215" s="73">
        <f t="shared" si="88"/>
        <v>43739</v>
      </c>
      <c r="D215" s="73">
        <f t="shared" si="89"/>
        <v>43830</v>
      </c>
      <c r="E215" s="72">
        <f t="shared" si="86"/>
        <v>92</v>
      </c>
      <c r="F215" s="74">
        <f>VLOOKUP(D215,'FERC Interest Rate'!$A:$B,2,TRUE)</f>
        <v>5.4199999999999998E-2</v>
      </c>
      <c r="G215" s="75">
        <f t="shared" si="87"/>
        <v>1512.1457478783896</v>
      </c>
      <c r="H215" s="75">
        <v>0</v>
      </c>
      <c r="I215" s="99">
        <f t="shared" si="90"/>
        <v>9.212194208710109</v>
      </c>
      <c r="J215" s="76">
        <f t="shared" si="92"/>
        <v>20.657982348550142</v>
      </c>
      <c r="K215" s="116">
        <f t="shared" si="82"/>
        <v>29.870176557260251</v>
      </c>
      <c r="L215" s="76">
        <f t="shared" si="91"/>
        <v>158.804</v>
      </c>
      <c r="M215" s="117">
        <f t="shared" si="83"/>
        <v>188.67417655726024</v>
      </c>
      <c r="N215" s="8">
        <f t="shared" si="84"/>
        <v>1532.8037302269397</v>
      </c>
      <c r="O215" s="75">
        <f t="shared" si="85"/>
        <v>1344.1295536696794</v>
      </c>
    </row>
    <row r="216" spans="1:15" x14ac:dyDescent="0.25">
      <c r="A216" s="78" t="s">
        <v>64</v>
      </c>
      <c r="B216" s="72" t="str">
        <f t="shared" si="93"/>
        <v>Q1/2020</v>
      </c>
      <c r="C216" s="73">
        <f t="shared" si="88"/>
        <v>43831</v>
      </c>
      <c r="D216" s="73">
        <f t="shared" si="89"/>
        <v>43921</v>
      </c>
      <c r="E216" s="72">
        <f t="shared" si="86"/>
        <v>91</v>
      </c>
      <c r="F216" s="74">
        <f>VLOOKUP(D216,'FERC Interest Rate'!$A:$B,2,TRUE)</f>
        <v>4.9599999999999998E-2</v>
      </c>
      <c r="G216" s="75">
        <f t="shared" si="87"/>
        <v>1344.1295536696794</v>
      </c>
      <c r="H216" s="75">
        <v>0</v>
      </c>
      <c r="I216" s="99">
        <f t="shared" si="90"/>
        <v>9.212194208710109</v>
      </c>
      <c r="J216" s="76">
        <f t="shared" si="92"/>
        <v>16.576128834544985</v>
      </c>
      <c r="K216" s="116">
        <f t="shared" si="82"/>
        <v>25.788323043255094</v>
      </c>
      <c r="L216" s="76">
        <f t="shared" si="91"/>
        <v>158.804</v>
      </c>
      <c r="M216" s="117">
        <f t="shared" si="83"/>
        <v>184.59232304325511</v>
      </c>
      <c r="N216" s="8">
        <f t="shared" si="84"/>
        <v>1360.7056825042243</v>
      </c>
      <c r="O216" s="75">
        <f t="shared" si="85"/>
        <v>1176.1133594609691</v>
      </c>
    </row>
    <row r="217" spans="1:15" x14ac:dyDescent="0.25">
      <c r="A217" s="78" t="s">
        <v>65</v>
      </c>
      <c r="B217" s="72" t="str">
        <f t="shared" si="93"/>
        <v>Q2/2020</v>
      </c>
      <c r="C217" s="73">
        <f t="shared" si="88"/>
        <v>43922</v>
      </c>
      <c r="D217" s="73">
        <f t="shared" si="89"/>
        <v>44012</v>
      </c>
      <c r="E217" s="72">
        <f t="shared" si="86"/>
        <v>91</v>
      </c>
      <c r="F217" s="74">
        <f>VLOOKUP(D217,'FERC Interest Rate'!$A:$B,2,TRUE)</f>
        <v>4.7503500000000004E-2</v>
      </c>
      <c r="G217" s="75">
        <f t="shared" si="87"/>
        <v>1176.1133594609691</v>
      </c>
      <c r="H217" s="75">
        <v>0</v>
      </c>
      <c r="I217" s="99">
        <f t="shared" si="90"/>
        <v>9.212194208710109</v>
      </c>
      <c r="J217" s="76">
        <f t="shared" si="92"/>
        <v>13.891050787909911</v>
      </c>
      <c r="K217" s="116">
        <f t="shared" si="82"/>
        <v>23.10324499662002</v>
      </c>
      <c r="L217" s="76">
        <f t="shared" si="91"/>
        <v>158.804</v>
      </c>
      <c r="M217" s="117">
        <f t="shared" si="83"/>
        <v>181.90724499662002</v>
      </c>
      <c r="N217" s="8">
        <f t="shared" si="84"/>
        <v>1190.0044102488791</v>
      </c>
      <c r="O217" s="75">
        <f t="shared" si="85"/>
        <v>1008.0971652522591</v>
      </c>
    </row>
    <row r="218" spans="1:15" x14ac:dyDescent="0.25">
      <c r="A218" s="78" t="s">
        <v>66</v>
      </c>
      <c r="B218" s="72" t="str">
        <f t="shared" si="93"/>
        <v>Q3/2020</v>
      </c>
      <c r="C218" s="73">
        <f t="shared" si="88"/>
        <v>44013</v>
      </c>
      <c r="D218" s="73">
        <f t="shared" si="89"/>
        <v>44104</v>
      </c>
      <c r="E218" s="72">
        <f t="shared" si="86"/>
        <v>92</v>
      </c>
      <c r="F218" s="74">
        <f>VLOOKUP(D218,'FERC Interest Rate'!$A:$B,2,TRUE)</f>
        <v>4.7507929999999997E-2</v>
      </c>
      <c r="G218" s="75">
        <f t="shared" si="87"/>
        <v>1008.0971652522591</v>
      </c>
      <c r="H218" s="75">
        <v>0</v>
      </c>
      <c r="I218" s="99">
        <f t="shared" si="90"/>
        <v>9.212194208710109</v>
      </c>
      <c r="J218" s="76">
        <f t="shared" si="92"/>
        <v>12.03857945224113</v>
      </c>
      <c r="K218" s="116">
        <f t="shared" si="82"/>
        <v>21.250773660951239</v>
      </c>
      <c r="L218" s="76">
        <f t="shared" si="91"/>
        <v>158.804</v>
      </c>
      <c r="M218" s="117">
        <f t="shared" si="83"/>
        <v>180.05477366095124</v>
      </c>
      <c r="N218" s="8">
        <f t="shared" si="84"/>
        <v>1020.1357447045002</v>
      </c>
      <c r="O218" s="75">
        <f t="shared" si="85"/>
        <v>840.08097104354897</v>
      </c>
    </row>
    <row r="219" spans="1:15" x14ac:dyDescent="0.25">
      <c r="A219" s="78" t="s">
        <v>67</v>
      </c>
      <c r="B219" s="72" t="str">
        <f t="shared" si="93"/>
        <v>Q4/2020</v>
      </c>
      <c r="C219" s="73">
        <f t="shared" si="88"/>
        <v>44105</v>
      </c>
      <c r="D219" s="73">
        <f t="shared" si="89"/>
        <v>44196</v>
      </c>
      <c r="E219" s="72">
        <f t="shared" si="86"/>
        <v>92</v>
      </c>
      <c r="F219" s="74">
        <f>VLOOKUP(D219,'FERC Interest Rate'!$A:$B,2,TRUE)</f>
        <v>4.7922320000000004E-2</v>
      </c>
      <c r="G219" s="75">
        <f t="shared" si="87"/>
        <v>840.08097104354897</v>
      </c>
      <c r="H219" s="75">
        <v>0</v>
      </c>
      <c r="I219" s="99">
        <f t="shared" si="90"/>
        <v>9.212194208710109</v>
      </c>
      <c r="J219" s="76">
        <f t="shared" si="92"/>
        <v>10.119655407278392</v>
      </c>
      <c r="K219" s="116">
        <f t="shared" si="82"/>
        <v>19.331849615988503</v>
      </c>
      <c r="L219" s="76">
        <f t="shared" si="91"/>
        <v>158.804</v>
      </c>
      <c r="M219" s="117">
        <f t="shared" si="83"/>
        <v>178.13584961598849</v>
      </c>
      <c r="N219" s="8">
        <f t="shared" si="84"/>
        <v>850.20062645082737</v>
      </c>
      <c r="O219" s="75">
        <f t="shared" si="85"/>
        <v>672.06477683483888</v>
      </c>
    </row>
    <row r="220" spans="1:15" x14ac:dyDescent="0.25">
      <c r="A220" s="78" t="s">
        <v>68</v>
      </c>
      <c r="B220" s="72" t="str">
        <f t="shared" si="93"/>
        <v>Q1/2021</v>
      </c>
      <c r="C220" s="73">
        <f t="shared" si="88"/>
        <v>44197</v>
      </c>
      <c r="D220" s="73">
        <f t="shared" si="89"/>
        <v>44286</v>
      </c>
      <c r="E220" s="72">
        <f t="shared" si="86"/>
        <v>90</v>
      </c>
      <c r="F220" s="74">
        <f>VLOOKUP(D220,'FERC Interest Rate'!$A:$B,2,TRUE)</f>
        <v>5.0023470000000007E-2</v>
      </c>
      <c r="G220" s="75">
        <f t="shared" si="87"/>
        <v>672.06477683483888</v>
      </c>
      <c r="H220" s="75">
        <v>0</v>
      </c>
      <c r="I220" s="99">
        <f t="shared" si="90"/>
        <v>9.212194208710109</v>
      </c>
      <c r="J220" s="76">
        <f t="shared" si="92"/>
        <v>8.2896194470818738</v>
      </c>
      <c r="K220" s="116">
        <f t="shared" si="82"/>
        <v>17.501813655791985</v>
      </c>
      <c r="L220" s="76">
        <f t="shared" si="91"/>
        <v>158.804</v>
      </c>
      <c r="M220" s="117">
        <f t="shared" si="83"/>
        <v>176.30581365579198</v>
      </c>
      <c r="N220" s="8">
        <f t="shared" si="84"/>
        <v>680.3543962819208</v>
      </c>
      <c r="O220" s="75">
        <f t="shared" si="85"/>
        <v>504.04858262612879</v>
      </c>
    </row>
    <row r="221" spans="1:15" x14ac:dyDescent="0.25">
      <c r="A221" s="78" t="s">
        <v>69</v>
      </c>
      <c r="B221" s="72" t="str">
        <f t="shared" si="93"/>
        <v>Q2/2021</v>
      </c>
      <c r="C221" s="73">
        <f t="shared" si="88"/>
        <v>44287</v>
      </c>
      <c r="D221" s="73">
        <f t="shared" si="89"/>
        <v>44377</v>
      </c>
      <c r="E221" s="72">
        <f t="shared" si="86"/>
        <v>91</v>
      </c>
      <c r="F221" s="74">
        <f>VLOOKUP(D221,'FERC Interest Rate'!$A:$B,2,TRUE)</f>
        <v>5.0403730000000001E-2</v>
      </c>
      <c r="G221" s="75">
        <f t="shared" si="87"/>
        <v>504.04858262612879</v>
      </c>
      <c r="H221" s="75">
        <v>0</v>
      </c>
      <c r="I221" s="99">
        <f t="shared" si="90"/>
        <v>9.212194208710109</v>
      </c>
      <c r="J221" s="76">
        <f t="shared" si="92"/>
        <v>6.3340808453887067</v>
      </c>
      <c r="K221" s="116">
        <f t="shared" si="82"/>
        <v>15.546275054098816</v>
      </c>
      <c r="L221" s="76">
        <f t="shared" si="91"/>
        <v>158.804</v>
      </c>
      <c r="M221" s="117">
        <f t="shared" si="83"/>
        <v>174.35027505409883</v>
      </c>
      <c r="N221" s="8">
        <f t="shared" si="84"/>
        <v>510.3826634715175</v>
      </c>
      <c r="O221" s="75">
        <f t="shared" si="85"/>
        <v>336.0323884174187</v>
      </c>
    </row>
    <row r="222" spans="1:15" x14ac:dyDescent="0.25">
      <c r="A222" s="78" t="s">
        <v>70</v>
      </c>
      <c r="B222" s="72" t="str">
        <f t="shared" si="93"/>
        <v>Q3/2021</v>
      </c>
      <c r="C222" s="73">
        <f t="shared" si="88"/>
        <v>44378</v>
      </c>
      <c r="D222" s="73">
        <f t="shared" si="89"/>
        <v>44469</v>
      </c>
      <c r="E222" s="72">
        <f t="shared" si="86"/>
        <v>92</v>
      </c>
      <c r="F222" s="74">
        <f>VLOOKUP(D222,'FERC Interest Rate'!$A:$B,2,TRUE)</f>
        <v>5.2520850000000001E-2</v>
      </c>
      <c r="G222" s="75">
        <f t="shared" si="87"/>
        <v>336.0323884174187</v>
      </c>
      <c r="H222" s="75">
        <v>0</v>
      </c>
      <c r="I222" s="99">
        <f t="shared" si="90"/>
        <v>9.212194208710109</v>
      </c>
      <c r="J222" s="76">
        <f t="shared" si="92"/>
        <v>4.4484411325577939</v>
      </c>
      <c r="K222" s="116">
        <f t="shared" si="82"/>
        <v>13.660635341267902</v>
      </c>
      <c r="L222" s="76">
        <f t="shared" si="91"/>
        <v>158.804</v>
      </c>
      <c r="M222" s="117">
        <f t="shared" si="83"/>
        <v>172.46463534126789</v>
      </c>
      <c r="N222" s="8">
        <f t="shared" si="84"/>
        <v>340.48082954997648</v>
      </c>
      <c r="O222" s="75">
        <f t="shared" si="85"/>
        <v>168.01619420870858</v>
      </c>
    </row>
    <row r="223" spans="1:15" x14ac:dyDescent="0.25">
      <c r="A223" s="78" t="s">
        <v>71</v>
      </c>
      <c r="B223" s="72" t="str">
        <f t="shared" si="93"/>
        <v>Q4/2021</v>
      </c>
      <c r="C223" s="73">
        <f t="shared" si="88"/>
        <v>44470</v>
      </c>
      <c r="D223" s="73">
        <f t="shared" si="89"/>
        <v>44561</v>
      </c>
      <c r="E223" s="72">
        <f t="shared" si="86"/>
        <v>92</v>
      </c>
      <c r="F223" s="74">
        <f>VLOOKUP(D223,'FERC Interest Rate'!$A:$B,2,TRUE)</f>
        <v>5.2766440000000005E-2</v>
      </c>
      <c r="G223" s="75">
        <f t="shared" si="87"/>
        <v>168.01619420870858</v>
      </c>
      <c r="H223" s="75">
        <v>0</v>
      </c>
      <c r="I223" s="99">
        <f t="shared" si="90"/>
        <v>9.212194208710109</v>
      </c>
      <c r="J223" s="76">
        <f t="shared" si="92"/>
        <v>2.2346211277487114</v>
      </c>
      <c r="K223" s="116">
        <f t="shared" si="82"/>
        <v>11.446815336458821</v>
      </c>
      <c r="L223" s="76">
        <f t="shared" si="91"/>
        <v>158.804</v>
      </c>
      <c r="M223" s="117">
        <f t="shared" si="83"/>
        <v>170.25081533645883</v>
      </c>
      <c r="N223" s="8">
        <f t="shared" si="84"/>
        <v>170.25081533645729</v>
      </c>
      <c r="O223" s="75">
        <f t="shared" si="85"/>
        <v>-1.5276668818842154E-12</v>
      </c>
    </row>
    <row r="224" spans="1:15" x14ac:dyDescent="0.25">
      <c r="A224" s="78"/>
      <c r="B224" s="72"/>
      <c r="C224" s="73"/>
      <c r="D224" s="73"/>
      <c r="E224" s="72"/>
      <c r="F224" s="74"/>
      <c r="G224" s="75"/>
      <c r="H224" s="75"/>
      <c r="I224" s="99"/>
      <c r="J224" s="76"/>
      <c r="K224" s="116"/>
      <c r="L224" s="76"/>
      <c r="M224" s="117"/>
      <c r="N224" s="8"/>
      <c r="O224" s="75"/>
    </row>
    <row r="225" spans="1:15" ht="13.5" thickBot="1" x14ac:dyDescent="0.35">
      <c r="A225" s="142"/>
      <c r="B225" s="143"/>
      <c r="C225" s="144"/>
      <c r="D225" s="144"/>
      <c r="E225" s="145"/>
      <c r="F225" s="143"/>
      <c r="G225" s="124">
        <f t="shared" ref="G225:O225" si="94">SUM(G198:G223)</f>
        <v>54666.142972574933</v>
      </c>
      <c r="H225" s="124">
        <f t="shared" si="94"/>
        <v>184.24388417420218</v>
      </c>
      <c r="I225" s="125">
        <f t="shared" si="94"/>
        <v>184.24388417420226</v>
      </c>
      <c r="J225" s="124">
        <f t="shared" si="94"/>
        <v>370.14164329182739</v>
      </c>
      <c r="K225" s="124">
        <f t="shared" si="94"/>
        <v>554.38552746602966</v>
      </c>
      <c r="L225" s="124">
        <f t="shared" si="94"/>
        <v>3176.0800000000008</v>
      </c>
      <c r="M225" s="126">
        <f t="shared" si="94"/>
        <v>3730.465527466029</v>
      </c>
      <c r="N225" s="124">
        <f t="shared" si="94"/>
        <v>55220.528500040979</v>
      </c>
      <c r="O225" s="124">
        <f t="shared" si="94"/>
        <v>51490.062972574931</v>
      </c>
    </row>
    <row r="226" spans="1:15" ht="14" thickTop="1" thickBot="1" x14ac:dyDescent="0.35">
      <c r="A226" s="181"/>
      <c r="B226" s="205"/>
      <c r="C226" s="327"/>
      <c r="D226" s="327"/>
      <c r="E226" s="207"/>
      <c r="F226" s="205"/>
      <c r="G226" s="330"/>
      <c r="H226" s="330"/>
      <c r="I226" s="329"/>
      <c r="J226" s="330"/>
      <c r="K226" s="330"/>
      <c r="L226" s="330"/>
      <c r="M226" s="331"/>
      <c r="N226" s="330"/>
      <c r="O226" s="330"/>
    </row>
    <row r="227" spans="1:15" ht="13.5" thickTop="1" x14ac:dyDescent="0.3">
      <c r="B227" s="103"/>
      <c r="C227" s="103"/>
      <c r="D227" s="103"/>
      <c r="E227" s="103"/>
      <c r="F227" s="103"/>
      <c r="G227" s="103"/>
      <c r="H227" s="103"/>
      <c r="I227" s="201"/>
      <c r="J227" s="348" t="s">
        <v>14</v>
      </c>
      <c r="K227" s="348"/>
      <c r="L227" s="141" t="s">
        <v>57</v>
      </c>
      <c r="M227" s="202"/>
      <c r="O227" s="103"/>
    </row>
    <row r="228" spans="1:15" ht="39" x14ac:dyDescent="0.3">
      <c r="A228" s="77" t="s">
        <v>51</v>
      </c>
      <c r="B228" s="77" t="s">
        <v>3</v>
      </c>
      <c r="C228" s="77" t="s">
        <v>4</v>
      </c>
      <c r="D228" s="77" t="s">
        <v>5</v>
      </c>
      <c r="E228" s="77" t="s">
        <v>6</v>
      </c>
      <c r="F228" s="77" t="s">
        <v>7</v>
      </c>
      <c r="G228" s="77" t="s">
        <v>92</v>
      </c>
      <c r="H228" s="77" t="s">
        <v>93</v>
      </c>
      <c r="I228" s="94" t="s">
        <v>94</v>
      </c>
      <c r="J228" s="95" t="s">
        <v>95</v>
      </c>
      <c r="K228" s="95" t="s">
        <v>96</v>
      </c>
      <c r="L228" s="95" t="s">
        <v>97</v>
      </c>
      <c r="M228" s="96" t="s">
        <v>98</v>
      </c>
      <c r="N228" s="77" t="s">
        <v>99</v>
      </c>
      <c r="O228" s="77" t="s">
        <v>100</v>
      </c>
    </row>
    <row r="229" spans="1:15" x14ac:dyDescent="0.25">
      <c r="A229" s="17" t="s">
        <v>21</v>
      </c>
      <c r="B229" s="72" t="str">
        <f t="shared" ref="B229:B234" si="95">+IF(MONTH(C229)&lt;4,"Q1",IF(MONTH(C229)&lt;7,"Q2",IF(MONTH(C229)&lt;10,"Q3","Q4")))&amp;"/"&amp;YEAR(C229)</f>
        <v>Q4/2015</v>
      </c>
      <c r="C229" s="73">
        <f>VLOOKUP(L227,A$1:F$29,2,FALSE)</f>
        <v>42320</v>
      </c>
      <c r="D229" s="73">
        <f>DATE(YEAR(C229),IF(MONTH(C229)&lt;=3,3,IF(MONTH(C229)&lt;=6,6,IF(MONTH(C229)&lt;=9,9,12))),IF(OR(MONTH(C229)&lt;=3,MONTH(C229)&gt;=10),31,30))</f>
        <v>42369</v>
      </c>
      <c r="E229" s="72">
        <f>D229-C229+1</f>
        <v>50</v>
      </c>
      <c r="F229" s="74">
        <f>VLOOKUP(D229,'FERC Interest Rate'!$A:$B,2,TRUE)</f>
        <v>3.2500000000000001E-2</v>
      </c>
      <c r="G229" s="75">
        <f>VLOOKUP(L227,$A$1:$F$36,5,FALSE)</f>
        <v>1474.19</v>
      </c>
      <c r="H229" s="75">
        <f t="shared" ref="H229:H234" si="96">G229*F229*(E229/(DATE(YEAR(D229),12,31)-DATE(YEAR(D229),1,1)+1))</f>
        <v>6.5631746575342458</v>
      </c>
      <c r="I229" s="180">
        <v>0</v>
      </c>
      <c r="J229" s="76">
        <v>0</v>
      </c>
      <c r="K229" s="116">
        <f t="shared" ref="K229:K253" si="97">+SUM(I229:J229)</f>
        <v>0</v>
      </c>
      <c r="L229" s="76">
        <v>0</v>
      </c>
      <c r="M229" s="117">
        <f t="shared" ref="M229:M253" si="98">+SUM(K229:L229)</f>
        <v>0</v>
      </c>
      <c r="N229" s="8">
        <f t="shared" ref="N229:N253" si="99">+G229+H229+J229</f>
        <v>1480.7531746575344</v>
      </c>
      <c r="O229" s="75">
        <f t="shared" ref="O229:O253" si="100">G229+H229-L229-I229</f>
        <v>1480.7531746575344</v>
      </c>
    </row>
    <row r="230" spans="1:15" x14ac:dyDescent="0.25">
      <c r="A230" s="17" t="s">
        <v>21</v>
      </c>
      <c r="B230" s="72" t="str">
        <f t="shared" si="95"/>
        <v>Q1/2016</v>
      </c>
      <c r="C230" s="73">
        <f>D229+1</f>
        <v>42370</v>
      </c>
      <c r="D230" s="73">
        <f>EOMONTH(D229,3)</f>
        <v>42460</v>
      </c>
      <c r="E230" s="72">
        <f t="shared" ref="E230:E253" si="101">D230-C230+1</f>
        <v>91</v>
      </c>
      <c r="F230" s="74">
        <f>VLOOKUP(D230,'FERC Interest Rate'!$A:$B,2,TRUE)</f>
        <v>3.2500000000000001E-2</v>
      </c>
      <c r="G230" s="75">
        <f t="shared" ref="G230:G253" si="102">O229</f>
        <v>1480.7531746575344</v>
      </c>
      <c r="H230" s="75">
        <f t="shared" si="96"/>
        <v>11.965375721447153</v>
      </c>
      <c r="I230" s="180">
        <v>0</v>
      </c>
      <c r="J230" s="76">
        <v>0</v>
      </c>
      <c r="K230" s="116">
        <f t="shared" si="97"/>
        <v>0</v>
      </c>
      <c r="L230" s="76">
        <v>0</v>
      </c>
      <c r="M230" s="117">
        <f t="shared" si="98"/>
        <v>0</v>
      </c>
      <c r="N230" s="8">
        <f t="shared" si="99"/>
        <v>1492.7185503789815</v>
      </c>
      <c r="O230" s="75">
        <f t="shared" si="100"/>
        <v>1492.7185503789815</v>
      </c>
    </row>
    <row r="231" spans="1:15" x14ac:dyDescent="0.25">
      <c r="A231" s="17" t="s">
        <v>21</v>
      </c>
      <c r="B231" s="72" t="str">
        <f t="shared" si="95"/>
        <v>Q2/2016</v>
      </c>
      <c r="C231" s="73">
        <f t="shared" ref="C231:C253" si="103">D230+1</f>
        <v>42461</v>
      </c>
      <c r="D231" s="73">
        <f t="shared" ref="D231:D253" si="104">EOMONTH(D230,3)</f>
        <v>42551</v>
      </c>
      <c r="E231" s="72">
        <f t="shared" si="101"/>
        <v>91</v>
      </c>
      <c r="F231" s="74">
        <f>VLOOKUP(D231,'FERC Interest Rate'!$A:$B,2,TRUE)</f>
        <v>3.4599999999999999E-2</v>
      </c>
      <c r="G231" s="75">
        <f t="shared" si="102"/>
        <v>1492.7185503789815</v>
      </c>
      <c r="H231" s="75">
        <f t="shared" si="96"/>
        <v>12.841457999243882</v>
      </c>
      <c r="I231" s="180">
        <v>0</v>
      </c>
      <c r="J231" s="76">
        <v>0</v>
      </c>
      <c r="K231" s="116">
        <f t="shared" si="97"/>
        <v>0</v>
      </c>
      <c r="L231" s="76">
        <v>0</v>
      </c>
      <c r="M231" s="117">
        <f t="shared" si="98"/>
        <v>0</v>
      </c>
      <c r="N231" s="8">
        <f t="shared" si="99"/>
        <v>1505.5600083782253</v>
      </c>
      <c r="O231" s="75">
        <f t="shared" si="100"/>
        <v>1505.5600083782253</v>
      </c>
    </row>
    <row r="232" spans="1:15" x14ac:dyDescent="0.25">
      <c r="A232" s="17" t="s">
        <v>21</v>
      </c>
      <c r="B232" s="72" t="str">
        <f t="shared" si="95"/>
        <v>Q3/2016</v>
      </c>
      <c r="C232" s="73">
        <f t="shared" si="103"/>
        <v>42552</v>
      </c>
      <c r="D232" s="73">
        <f t="shared" si="104"/>
        <v>42643</v>
      </c>
      <c r="E232" s="72">
        <f t="shared" si="101"/>
        <v>92</v>
      </c>
      <c r="F232" s="74">
        <f>VLOOKUP(D232,'FERC Interest Rate'!$A:$B,2,TRUE)</f>
        <v>3.5000000000000003E-2</v>
      </c>
      <c r="G232" s="75">
        <f t="shared" si="102"/>
        <v>1505.5600083782253</v>
      </c>
      <c r="H232" s="75">
        <f t="shared" si="96"/>
        <v>13.245637232180016</v>
      </c>
      <c r="I232" s="180">
        <v>0</v>
      </c>
      <c r="J232" s="76">
        <v>0</v>
      </c>
      <c r="K232" s="116">
        <f t="shared" si="97"/>
        <v>0</v>
      </c>
      <c r="L232" s="76">
        <v>0</v>
      </c>
      <c r="M232" s="117">
        <f t="shared" si="98"/>
        <v>0</v>
      </c>
      <c r="N232" s="8">
        <f t="shared" si="99"/>
        <v>1518.8056456104055</v>
      </c>
      <c r="O232" s="75">
        <f t="shared" si="100"/>
        <v>1518.8056456104055</v>
      </c>
    </row>
    <row r="233" spans="1:15" x14ac:dyDescent="0.25">
      <c r="A233" s="17" t="s">
        <v>21</v>
      </c>
      <c r="B233" s="72" t="str">
        <f t="shared" si="95"/>
        <v>Q4/2016</v>
      </c>
      <c r="C233" s="73">
        <f t="shared" si="103"/>
        <v>42644</v>
      </c>
      <c r="D233" s="73">
        <f t="shared" si="104"/>
        <v>42735</v>
      </c>
      <c r="E233" s="72">
        <f t="shared" si="101"/>
        <v>92</v>
      </c>
      <c r="F233" s="74">
        <f>VLOOKUP(D233,'FERC Interest Rate'!$A:$B,2,TRUE)</f>
        <v>3.5000000000000003E-2</v>
      </c>
      <c r="G233" s="75">
        <f t="shared" si="102"/>
        <v>1518.8056456104055</v>
      </c>
      <c r="H233" s="75">
        <f t="shared" si="96"/>
        <v>13.362169887610673</v>
      </c>
      <c r="I233" s="180">
        <v>0</v>
      </c>
      <c r="J233" s="76">
        <v>0</v>
      </c>
      <c r="K233" s="116">
        <f t="shared" si="97"/>
        <v>0</v>
      </c>
      <c r="L233" s="76">
        <v>0</v>
      </c>
      <c r="M233" s="117">
        <f t="shared" si="98"/>
        <v>0</v>
      </c>
      <c r="N233" s="8">
        <f t="shared" si="99"/>
        <v>1532.1678154980161</v>
      </c>
      <c r="O233" s="75">
        <f t="shared" si="100"/>
        <v>1532.1678154980161</v>
      </c>
    </row>
    <row r="234" spans="1:15" x14ac:dyDescent="0.25">
      <c r="A234" s="78" t="s">
        <v>52</v>
      </c>
      <c r="B234" s="72" t="str">
        <f t="shared" si="95"/>
        <v>Q1/2017</v>
      </c>
      <c r="C234" s="73">
        <f t="shared" si="103"/>
        <v>42736</v>
      </c>
      <c r="D234" s="73">
        <f t="shared" si="104"/>
        <v>42825</v>
      </c>
      <c r="E234" s="72">
        <f t="shared" si="101"/>
        <v>90</v>
      </c>
      <c r="F234" s="74">
        <f>VLOOKUP(D234,'FERC Interest Rate'!$A:$B,2,TRUE)</f>
        <v>3.5000000000000003E-2</v>
      </c>
      <c r="G234" s="75">
        <f t="shared" si="102"/>
        <v>1532.1678154980161</v>
      </c>
      <c r="H234" s="75">
        <f t="shared" si="96"/>
        <v>13.222818133750003</v>
      </c>
      <c r="I234" s="180">
        <f>(SUM($H$229:$H$254)/20)</f>
        <v>3.5600316815882991</v>
      </c>
      <c r="J234" s="76">
        <v>0</v>
      </c>
      <c r="K234" s="116">
        <f t="shared" si="97"/>
        <v>3.5600316815882991</v>
      </c>
      <c r="L234" s="76">
        <f t="shared" ref="L234:L253" si="105">VLOOKUP($L$227,A$1:F$29,5,FALSE)/20</f>
        <v>73.709500000000006</v>
      </c>
      <c r="M234" s="117">
        <f t="shared" si="98"/>
        <v>77.269531681588305</v>
      </c>
      <c r="N234" s="8">
        <f t="shared" si="99"/>
        <v>1545.3906336317661</v>
      </c>
      <c r="O234" s="75">
        <f t="shared" si="100"/>
        <v>1468.1211019501779</v>
      </c>
    </row>
    <row r="235" spans="1:15" x14ac:dyDescent="0.25">
      <c r="A235" s="78" t="s">
        <v>53</v>
      </c>
      <c r="B235" s="72" t="str">
        <f>+IF(MONTH(C235)&lt;4,"Q1",IF(MONTH(C235)&lt;7,"Q2",IF(MONTH(C235)&lt;10,"Q3","Q4")))&amp;"/"&amp;YEAR(C235)</f>
        <v>Q2/2017</v>
      </c>
      <c r="C235" s="73">
        <f t="shared" si="103"/>
        <v>42826</v>
      </c>
      <c r="D235" s="73">
        <f t="shared" si="104"/>
        <v>42916</v>
      </c>
      <c r="E235" s="72">
        <f t="shared" si="101"/>
        <v>91</v>
      </c>
      <c r="F235" s="74">
        <f>VLOOKUP(D235,'FERC Interest Rate'!$A:$B,2,TRUE)</f>
        <v>3.7100000000000001E-2</v>
      </c>
      <c r="G235" s="75">
        <f t="shared" si="102"/>
        <v>1468.1211019501779</v>
      </c>
      <c r="H235" s="75">
        <v>0</v>
      </c>
      <c r="I235" s="180">
        <f t="shared" ref="I235:I253" si="106">(SUM($H$229:$H$254)/20)</f>
        <v>3.5600316815882991</v>
      </c>
      <c r="J235" s="76">
        <f t="shared" ref="J235:J253" si="107">G235*F235*(E235/(DATE(YEAR(D235),12,31)-DATE(YEAR(D235),1,1)+1))</f>
        <v>13.579516855599989</v>
      </c>
      <c r="K235" s="116">
        <f t="shared" si="97"/>
        <v>17.13954853718829</v>
      </c>
      <c r="L235" s="76">
        <f t="shared" si="105"/>
        <v>73.709500000000006</v>
      </c>
      <c r="M235" s="117">
        <f t="shared" si="98"/>
        <v>90.849048537188295</v>
      </c>
      <c r="N235" s="8">
        <f t="shared" si="99"/>
        <v>1481.7006188057778</v>
      </c>
      <c r="O235" s="75">
        <f t="shared" si="100"/>
        <v>1390.8515702685897</v>
      </c>
    </row>
    <row r="236" spans="1:15" x14ac:dyDescent="0.25">
      <c r="A236" s="78" t="s">
        <v>54</v>
      </c>
      <c r="B236" s="72" t="str">
        <f>+IF(MONTH(C236)&lt;4,"Q1",IF(MONTH(C236)&lt;7,"Q2",IF(MONTH(C236)&lt;10,"Q3","Q4")))&amp;"/"&amp;YEAR(C236)</f>
        <v>Q3/2017</v>
      </c>
      <c r="C236" s="73">
        <f t="shared" si="103"/>
        <v>42917</v>
      </c>
      <c r="D236" s="73">
        <f t="shared" si="104"/>
        <v>43008</v>
      </c>
      <c r="E236" s="72">
        <f t="shared" si="101"/>
        <v>92</v>
      </c>
      <c r="F236" s="74">
        <f>VLOOKUP(D236,'FERC Interest Rate'!$A:$B,2,TRUE)</f>
        <v>3.9600000000000003E-2</v>
      </c>
      <c r="G236" s="75">
        <f t="shared" si="102"/>
        <v>1390.8515702685897</v>
      </c>
      <c r="H236" s="75">
        <v>0</v>
      </c>
      <c r="I236" s="180">
        <f t="shared" si="106"/>
        <v>3.5600316815882991</v>
      </c>
      <c r="J236" s="76">
        <f t="shared" si="107"/>
        <v>13.882603947404183</v>
      </c>
      <c r="K236" s="116">
        <f t="shared" si="97"/>
        <v>17.442635628992484</v>
      </c>
      <c r="L236" s="76">
        <f t="shared" si="105"/>
        <v>73.709500000000006</v>
      </c>
      <c r="M236" s="117">
        <f t="shared" si="98"/>
        <v>91.152135628992482</v>
      </c>
      <c r="N236" s="8">
        <f t="shared" si="99"/>
        <v>1404.734174215994</v>
      </c>
      <c r="O236" s="75">
        <f t="shared" si="100"/>
        <v>1313.5820385870015</v>
      </c>
    </row>
    <row r="237" spans="1:15" x14ac:dyDescent="0.25">
      <c r="A237" s="78" t="s">
        <v>55</v>
      </c>
      <c r="B237" s="72" t="str">
        <f t="shared" ref="B237:B253" si="108">+IF(MONTH(C237)&lt;4,"Q1",IF(MONTH(C237)&lt;7,"Q2",IF(MONTH(C237)&lt;10,"Q3","Q4")))&amp;"/"&amp;YEAR(C237)</f>
        <v>Q4/2017</v>
      </c>
      <c r="C237" s="73">
        <f t="shared" si="103"/>
        <v>43009</v>
      </c>
      <c r="D237" s="73">
        <f t="shared" si="104"/>
        <v>43100</v>
      </c>
      <c r="E237" s="72">
        <f t="shared" si="101"/>
        <v>92</v>
      </c>
      <c r="F237" s="74">
        <f>VLOOKUP(D237,'FERC Interest Rate'!$A:$B,2,TRUE)</f>
        <v>4.2099999999999999E-2</v>
      </c>
      <c r="G237" s="75">
        <f t="shared" si="102"/>
        <v>1313.5820385870015</v>
      </c>
      <c r="H237" s="75">
        <v>0</v>
      </c>
      <c r="I237" s="180">
        <f t="shared" si="106"/>
        <v>3.5600316815882991</v>
      </c>
      <c r="J237" s="76">
        <f t="shared" si="107"/>
        <v>13.939084799603217</v>
      </c>
      <c r="K237" s="116">
        <f t="shared" si="97"/>
        <v>17.499116481191514</v>
      </c>
      <c r="L237" s="76">
        <f t="shared" si="105"/>
        <v>73.709500000000006</v>
      </c>
      <c r="M237" s="117">
        <f t="shared" si="98"/>
        <v>91.208616481191513</v>
      </c>
      <c r="N237" s="8">
        <f t="shared" si="99"/>
        <v>1327.5211233866048</v>
      </c>
      <c r="O237" s="75">
        <f t="shared" si="100"/>
        <v>1236.3125069054133</v>
      </c>
    </row>
    <row r="238" spans="1:15" x14ac:dyDescent="0.25">
      <c r="A238" s="78" t="s">
        <v>56</v>
      </c>
      <c r="B238" s="72" t="str">
        <f t="shared" si="108"/>
        <v>Q1/2018</v>
      </c>
      <c r="C238" s="73">
        <f t="shared" si="103"/>
        <v>43101</v>
      </c>
      <c r="D238" s="73">
        <f t="shared" si="104"/>
        <v>43190</v>
      </c>
      <c r="E238" s="72">
        <f t="shared" si="101"/>
        <v>90</v>
      </c>
      <c r="F238" s="74">
        <f>VLOOKUP(D238,'FERC Interest Rate'!$A:$B,2,TRUE)</f>
        <v>4.2500000000000003E-2</v>
      </c>
      <c r="G238" s="75">
        <f t="shared" si="102"/>
        <v>1236.3125069054133</v>
      </c>
      <c r="H238" s="75">
        <v>0</v>
      </c>
      <c r="I238" s="99">
        <f t="shared" si="106"/>
        <v>3.5600316815882991</v>
      </c>
      <c r="J238" s="76">
        <f t="shared" si="107"/>
        <v>12.955877640858098</v>
      </c>
      <c r="K238" s="116">
        <f t="shared" si="97"/>
        <v>16.515909322446397</v>
      </c>
      <c r="L238" s="76">
        <f t="shared" si="105"/>
        <v>73.709500000000006</v>
      </c>
      <c r="M238" s="117">
        <f t="shared" si="98"/>
        <v>90.22540932244641</v>
      </c>
      <c r="N238" s="8">
        <f t="shared" si="99"/>
        <v>1249.2683845462714</v>
      </c>
      <c r="O238" s="75">
        <f t="shared" si="100"/>
        <v>1159.0429752238251</v>
      </c>
    </row>
    <row r="239" spans="1:15" x14ac:dyDescent="0.25">
      <c r="A239" s="78" t="s">
        <v>57</v>
      </c>
      <c r="B239" s="72" t="str">
        <f t="shared" si="108"/>
        <v>Q2/2018</v>
      </c>
      <c r="C239" s="73">
        <f t="shared" si="103"/>
        <v>43191</v>
      </c>
      <c r="D239" s="73">
        <f t="shared" si="104"/>
        <v>43281</v>
      </c>
      <c r="E239" s="72">
        <f t="shared" si="101"/>
        <v>91</v>
      </c>
      <c r="F239" s="74">
        <f>VLOOKUP(D239,'FERC Interest Rate'!$A:$B,2,TRUE)</f>
        <v>4.4699999999999997E-2</v>
      </c>
      <c r="G239" s="75">
        <f t="shared" si="102"/>
        <v>1159.0429752238251</v>
      </c>
      <c r="H239" s="75">
        <v>0</v>
      </c>
      <c r="I239" s="99">
        <f t="shared" si="106"/>
        <v>3.5600316815882991</v>
      </c>
      <c r="J239" s="76">
        <f t="shared" si="107"/>
        <v>12.916819480323159</v>
      </c>
      <c r="K239" s="116">
        <f t="shared" si="97"/>
        <v>16.476851161911458</v>
      </c>
      <c r="L239" s="76">
        <f t="shared" si="105"/>
        <v>73.709500000000006</v>
      </c>
      <c r="M239" s="117">
        <f t="shared" si="98"/>
        <v>90.18635116191146</v>
      </c>
      <c r="N239" s="8">
        <f t="shared" si="99"/>
        <v>1171.9597947041482</v>
      </c>
      <c r="O239" s="75">
        <f t="shared" si="100"/>
        <v>1081.7734435422369</v>
      </c>
    </row>
    <row r="240" spans="1:15" x14ac:dyDescent="0.25">
      <c r="A240" s="78" t="s">
        <v>58</v>
      </c>
      <c r="B240" s="72" t="str">
        <f t="shared" si="108"/>
        <v>Q3/2018</v>
      </c>
      <c r="C240" s="73">
        <f t="shared" si="103"/>
        <v>43282</v>
      </c>
      <c r="D240" s="73">
        <f t="shared" si="104"/>
        <v>43373</v>
      </c>
      <c r="E240" s="72">
        <f t="shared" si="101"/>
        <v>92</v>
      </c>
      <c r="F240" s="74">
        <f>VLOOKUP(D240,'FERC Interest Rate'!$A:$B,2,TRUE)</f>
        <v>4.6899999999999997E-2</v>
      </c>
      <c r="G240" s="75">
        <f t="shared" si="102"/>
        <v>1081.7734435422369</v>
      </c>
      <c r="H240" s="75">
        <v>0</v>
      </c>
      <c r="I240" s="99">
        <f t="shared" si="106"/>
        <v>3.5600316815882991</v>
      </c>
      <c r="J240" s="76">
        <f t="shared" si="107"/>
        <v>12.788043984098751</v>
      </c>
      <c r="K240" s="116">
        <f t="shared" si="97"/>
        <v>16.348075665687048</v>
      </c>
      <c r="L240" s="76">
        <f t="shared" si="105"/>
        <v>73.709500000000006</v>
      </c>
      <c r="M240" s="117">
        <f t="shared" si="98"/>
        <v>90.057575665687054</v>
      </c>
      <c r="N240" s="8">
        <f t="shared" si="99"/>
        <v>1094.5614875263357</v>
      </c>
      <c r="O240" s="75">
        <f t="shared" si="100"/>
        <v>1004.5039118606486</v>
      </c>
    </row>
    <row r="241" spans="1:15" x14ac:dyDescent="0.25">
      <c r="A241" s="78" t="s">
        <v>59</v>
      </c>
      <c r="B241" s="72" t="str">
        <f t="shared" si="108"/>
        <v>Q4/2018</v>
      </c>
      <c r="C241" s="73">
        <f t="shared" si="103"/>
        <v>43374</v>
      </c>
      <c r="D241" s="73">
        <f t="shared" si="104"/>
        <v>43465</v>
      </c>
      <c r="E241" s="72">
        <f t="shared" si="101"/>
        <v>92</v>
      </c>
      <c r="F241" s="74">
        <f>VLOOKUP(D241,'FERC Interest Rate'!$A:$B,2,TRUE)</f>
        <v>4.9599999999999998E-2</v>
      </c>
      <c r="G241" s="75">
        <f t="shared" si="102"/>
        <v>1004.5039118606486</v>
      </c>
      <c r="H241" s="75">
        <v>0</v>
      </c>
      <c r="I241" s="99">
        <f t="shared" si="106"/>
        <v>3.5600316815882991</v>
      </c>
      <c r="J241" s="76">
        <f t="shared" si="107"/>
        <v>12.558225344116471</v>
      </c>
      <c r="K241" s="116">
        <f t="shared" si="97"/>
        <v>16.118257025704771</v>
      </c>
      <c r="L241" s="76">
        <f t="shared" si="105"/>
        <v>73.709500000000006</v>
      </c>
      <c r="M241" s="117">
        <f t="shared" si="98"/>
        <v>89.827757025704784</v>
      </c>
      <c r="N241" s="8">
        <f t="shared" si="99"/>
        <v>1017.0621372047651</v>
      </c>
      <c r="O241" s="75">
        <f t="shared" si="100"/>
        <v>927.23438017906028</v>
      </c>
    </row>
    <row r="242" spans="1:15" x14ac:dyDescent="0.25">
      <c r="A242" s="78" t="s">
        <v>60</v>
      </c>
      <c r="B242" s="72" t="str">
        <f t="shared" si="108"/>
        <v>Q1/2019</v>
      </c>
      <c r="C242" s="73">
        <f t="shared" si="103"/>
        <v>43466</v>
      </c>
      <c r="D242" s="73">
        <f t="shared" si="104"/>
        <v>43555</v>
      </c>
      <c r="E242" s="72">
        <f t="shared" si="101"/>
        <v>90</v>
      </c>
      <c r="F242" s="74">
        <f>VLOOKUP(D242,'FERC Interest Rate'!$A:$B,2,TRUE)</f>
        <v>5.1799999999999999E-2</v>
      </c>
      <c r="G242" s="75">
        <f t="shared" si="102"/>
        <v>927.23438017906028</v>
      </c>
      <c r="H242" s="75">
        <v>0</v>
      </c>
      <c r="I242" s="99">
        <f t="shared" si="106"/>
        <v>3.5600316815882991</v>
      </c>
      <c r="J242" s="76">
        <f t="shared" si="107"/>
        <v>11.84319638464323</v>
      </c>
      <c r="K242" s="116">
        <f t="shared" si="97"/>
        <v>15.403228066231529</v>
      </c>
      <c r="L242" s="76">
        <f t="shared" si="105"/>
        <v>73.709500000000006</v>
      </c>
      <c r="M242" s="117">
        <f t="shared" si="98"/>
        <v>89.11272806623154</v>
      </c>
      <c r="N242" s="8">
        <f t="shared" si="99"/>
        <v>939.07757656370347</v>
      </c>
      <c r="O242" s="75">
        <f t="shared" si="100"/>
        <v>849.96484849747196</v>
      </c>
    </row>
    <row r="243" spans="1:15" x14ac:dyDescent="0.25">
      <c r="A243" s="78" t="s">
        <v>61</v>
      </c>
      <c r="B243" s="72" t="str">
        <f t="shared" si="108"/>
        <v>Q2/2019</v>
      </c>
      <c r="C243" s="73">
        <f t="shared" si="103"/>
        <v>43556</v>
      </c>
      <c r="D243" s="73">
        <f t="shared" si="104"/>
        <v>43646</v>
      </c>
      <c r="E243" s="72">
        <f t="shared" si="101"/>
        <v>91</v>
      </c>
      <c r="F243" s="74">
        <f>VLOOKUP(D243,'FERC Interest Rate'!$A:$B,2,TRUE)</f>
        <v>5.45E-2</v>
      </c>
      <c r="G243" s="75">
        <f t="shared" si="102"/>
        <v>849.96484849747196</v>
      </c>
      <c r="H243" s="75">
        <v>0</v>
      </c>
      <c r="I243" s="99">
        <f t="shared" si="106"/>
        <v>3.5600316815882991</v>
      </c>
      <c r="J243" s="76">
        <f t="shared" si="107"/>
        <v>11.549042920885512</v>
      </c>
      <c r="K243" s="116">
        <f t="shared" si="97"/>
        <v>15.109074602473811</v>
      </c>
      <c r="L243" s="76">
        <f t="shared" si="105"/>
        <v>73.709500000000006</v>
      </c>
      <c r="M243" s="117">
        <f t="shared" si="98"/>
        <v>88.818574602473817</v>
      </c>
      <c r="N243" s="8">
        <f t="shared" si="99"/>
        <v>861.5138914183575</v>
      </c>
      <c r="O243" s="75">
        <f t="shared" si="100"/>
        <v>772.69531681588364</v>
      </c>
    </row>
    <row r="244" spans="1:15" x14ac:dyDescent="0.25">
      <c r="A244" s="78" t="s">
        <v>62</v>
      </c>
      <c r="B244" s="72" t="str">
        <f t="shared" si="108"/>
        <v>Q3/2019</v>
      </c>
      <c r="C244" s="73">
        <f t="shared" si="103"/>
        <v>43647</v>
      </c>
      <c r="D244" s="73">
        <f t="shared" si="104"/>
        <v>43738</v>
      </c>
      <c r="E244" s="72">
        <f t="shared" si="101"/>
        <v>92</v>
      </c>
      <c r="F244" s="74">
        <f>VLOOKUP(D244,'FERC Interest Rate'!$A:$B,2,TRUE)</f>
        <v>5.5E-2</v>
      </c>
      <c r="G244" s="75">
        <f t="shared" si="102"/>
        <v>772.69531681588364</v>
      </c>
      <c r="H244" s="75">
        <v>0</v>
      </c>
      <c r="I244" s="99">
        <f t="shared" si="106"/>
        <v>3.5600316815882991</v>
      </c>
      <c r="J244" s="76">
        <f t="shared" si="107"/>
        <v>10.71188576188595</v>
      </c>
      <c r="K244" s="116">
        <f t="shared" si="97"/>
        <v>14.27191744347425</v>
      </c>
      <c r="L244" s="76">
        <f t="shared" si="105"/>
        <v>73.709500000000006</v>
      </c>
      <c r="M244" s="117">
        <f t="shared" si="98"/>
        <v>87.981417443474257</v>
      </c>
      <c r="N244" s="8">
        <f t="shared" si="99"/>
        <v>783.40720257776957</v>
      </c>
      <c r="O244" s="75">
        <f t="shared" si="100"/>
        <v>695.42578513429532</v>
      </c>
    </row>
    <row r="245" spans="1:15" x14ac:dyDescent="0.25">
      <c r="A245" s="78" t="s">
        <v>63</v>
      </c>
      <c r="B245" s="72" t="str">
        <f t="shared" si="108"/>
        <v>Q4/2019</v>
      </c>
      <c r="C245" s="73">
        <f t="shared" si="103"/>
        <v>43739</v>
      </c>
      <c r="D245" s="73">
        <f t="shared" si="104"/>
        <v>43830</v>
      </c>
      <c r="E245" s="72">
        <f t="shared" si="101"/>
        <v>92</v>
      </c>
      <c r="F245" s="74">
        <f>VLOOKUP(D245,'FERC Interest Rate'!$A:$B,2,TRUE)</f>
        <v>5.4199999999999998E-2</v>
      </c>
      <c r="G245" s="75">
        <f t="shared" si="102"/>
        <v>695.42578513429532</v>
      </c>
      <c r="H245" s="75">
        <v>0</v>
      </c>
      <c r="I245" s="99">
        <f t="shared" si="106"/>
        <v>3.5600316815882991</v>
      </c>
      <c r="J245" s="76">
        <f t="shared" si="107"/>
        <v>9.5004688629963017</v>
      </c>
      <c r="K245" s="116">
        <f t="shared" si="97"/>
        <v>13.060500544584601</v>
      </c>
      <c r="L245" s="76">
        <f t="shared" si="105"/>
        <v>73.709500000000006</v>
      </c>
      <c r="M245" s="117">
        <f t="shared" si="98"/>
        <v>86.770000544584605</v>
      </c>
      <c r="N245" s="8">
        <f t="shared" si="99"/>
        <v>704.92625399729161</v>
      </c>
      <c r="O245" s="75">
        <f t="shared" si="100"/>
        <v>618.15625345270701</v>
      </c>
    </row>
    <row r="246" spans="1:15" x14ac:dyDescent="0.25">
      <c r="A246" s="78" t="s">
        <v>64</v>
      </c>
      <c r="B246" s="72" t="str">
        <f t="shared" si="108"/>
        <v>Q1/2020</v>
      </c>
      <c r="C246" s="73">
        <f t="shared" si="103"/>
        <v>43831</v>
      </c>
      <c r="D246" s="73">
        <f t="shared" si="104"/>
        <v>43921</v>
      </c>
      <c r="E246" s="72">
        <f t="shared" si="101"/>
        <v>91</v>
      </c>
      <c r="F246" s="74">
        <f>VLOOKUP(D246,'FERC Interest Rate'!$A:$B,2,TRUE)</f>
        <v>4.9599999999999998E-2</v>
      </c>
      <c r="G246" s="75">
        <f t="shared" si="102"/>
        <v>618.15625345270701</v>
      </c>
      <c r="H246" s="75">
        <v>0</v>
      </c>
      <c r="I246" s="99">
        <f t="shared" si="106"/>
        <v>3.5600316815882991</v>
      </c>
      <c r="J246" s="76">
        <f t="shared" si="107"/>
        <v>7.6232515453118523</v>
      </c>
      <c r="K246" s="116">
        <f t="shared" si="97"/>
        <v>11.183283226900151</v>
      </c>
      <c r="L246" s="76">
        <f t="shared" si="105"/>
        <v>73.709500000000006</v>
      </c>
      <c r="M246" s="117">
        <f t="shared" si="98"/>
        <v>84.89278322690015</v>
      </c>
      <c r="N246" s="8">
        <f t="shared" si="99"/>
        <v>625.77950499801887</v>
      </c>
      <c r="O246" s="75">
        <f t="shared" si="100"/>
        <v>540.88672177111869</v>
      </c>
    </row>
    <row r="247" spans="1:15" x14ac:dyDescent="0.25">
      <c r="A247" s="78" t="s">
        <v>65</v>
      </c>
      <c r="B247" s="72" t="str">
        <f t="shared" si="108"/>
        <v>Q2/2020</v>
      </c>
      <c r="C247" s="73">
        <f t="shared" si="103"/>
        <v>43922</v>
      </c>
      <c r="D247" s="73">
        <f t="shared" si="104"/>
        <v>44012</v>
      </c>
      <c r="E247" s="72">
        <f t="shared" si="101"/>
        <v>91</v>
      </c>
      <c r="F247" s="74">
        <f>VLOOKUP(D247,'FERC Interest Rate'!$A:$B,2,TRUE)</f>
        <v>4.7503500000000004E-2</v>
      </c>
      <c r="G247" s="75">
        <f t="shared" si="102"/>
        <v>540.88672177111869</v>
      </c>
      <c r="H247" s="75">
        <v>0</v>
      </c>
      <c r="I247" s="99">
        <f t="shared" si="106"/>
        <v>3.5600316815882991</v>
      </c>
      <c r="J247" s="76">
        <f t="shared" si="107"/>
        <v>6.3884019870943849</v>
      </c>
      <c r="K247" s="116">
        <f t="shared" si="97"/>
        <v>9.948433668682684</v>
      </c>
      <c r="L247" s="76">
        <f t="shared" si="105"/>
        <v>73.709500000000006</v>
      </c>
      <c r="M247" s="117">
        <f t="shared" si="98"/>
        <v>83.657933668682688</v>
      </c>
      <c r="N247" s="8">
        <f t="shared" si="99"/>
        <v>547.27512375821311</v>
      </c>
      <c r="O247" s="75">
        <f t="shared" si="100"/>
        <v>463.61719008953037</v>
      </c>
    </row>
    <row r="248" spans="1:15" x14ac:dyDescent="0.25">
      <c r="A248" s="78" t="s">
        <v>66</v>
      </c>
      <c r="B248" s="72" t="str">
        <f t="shared" si="108"/>
        <v>Q3/2020</v>
      </c>
      <c r="C248" s="73">
        <f t="shared" si="103"/>
        <v>44013</v>
      </c>
      <c r="D248" s="73">
        <f t="shared" si="104"/>
        <v>44104</v>
      </c>
      <c r="E248" s="72">
        <f t="shared" si="101"/>
        <v>92</v>
      </c>
      <c r="F248" s="74">
        <f>VLOOKUP(D248,'FERC Interest Rate'!$A:$B,2,TRUE)</f>
        <v>4.7507929999999997E-2</v>
      </c>
      <c r="G248" s="75">
        <f t="shared" si="102"/>
        <v>463.61719008953037</v>
      </c>
      <c r="H248" s="75">
        <v>0</v>
      </c>
      <c r="I248" s="99">
        <f t="shared" si="106"/>
        <v>3.5600316815882991</v>
      </c>
      <c r="J248" s="76">
        <f t="shared" si="107"/>
        <v>5.5364627247225391</v>
      </c>
      <c r="K248" s="116">
        <f t="shared" si="97"/>
        <v>9.0964944063108391</v>
      </c>
      <c r="L248" s="76">
        <f t="shared" si="105"/>
        <v>73.709500000000006</v>
      </c>
      <c r="M248" s="117">
        <f t="shared" si="98"/>
        <v>82.805994406310845</v>
      </c>
      <c r="N248" s="8">
        <f t="shared" si="99"/>
        <v>469.15365281425289</v>
      </c>
      <c r="O248" s="75">
        <f t="shared" si="100"/>
        <v>386.34765840794205</v>
      </c>
    </row>
    <row r="249" spans="1:15" x14ac:dyDescent="0.25">
      <c r="A249" s="78" t="s">
        <v>67</v>
      </c>
      <c r="B249" s="72" t="str">
        <f t="shared" si="108"/>
        <v>Q4/2020</v>
      </c>
      <c r="C249" s="73">
        <f t="shared" si="103"/>
        <v>44105</v>
      </c>
      <c r="D249" s="73">
        <f t="shared" si="104"/>
        <v>44196</v>
      </c>
      <c r="E249" s="72">
        <f t="shared" si="101"/>
        <v>92</v>
      </c>
      <c r="F249" s="74">
        <f>VLOOKUP(D249,'FERC Interest Rate'!$A:$B,2,TRUE)</f>
        <v>4.7922320000000004E-2</v>
      </c>
      <c r="G249" s="75">
        <f t="shared" si="102"/>
        <v>386.34765840794205</v>
      </c>
      <c r="H249" s="75">
        <v>0</v>
      </c>
      <c r="I249" s="99">
        <f t="shared" si="106"/>
        <v>3.5600316815882991</v>
      </c>
      <c r="J249" s="76">
        <f t="shared" si="107"/>
        <v>4.6539623027535537</v>
      </c>
      <c r="K249" s="116">
        <f t="shared" si="97"/>
        <v>8.2139939843418528</v>
      </c>
      <c r="L249" s="76">
        <f t="shared" si="105"/>
        <v>73.709500000000006</v>
      </c>
      <c r="M249" s="117">
        <f t="shared" si="98"/>
        <v>81.92349398434186</v>
      </c>
      <c r="N249" s="8">
        <f t="shared" si="99"/>
        <v>391.00162071069559</v>
      </c>
      <c r="O249" s="75">
        <f t="shared" si="100"/>
        <v>309.07812672635373</v>
      </c>
    </row>
    <row r="250" spans="1:15" x14ac:dyDescent="0.25">
      <c r="A250" s="78" t="s">
        <v>68</v>
      </c>
      <c r="B250" s="72" t="str">
        <f t="shared" si="108"/>
        <v>Q1/2021</v>
      </c>
      <c r="C250" s="73">
        <f t="shared" si="103"/>
        <v>44197</v>
      </c>
      <c r="D250" s="73">
        <f t="shared" si="104"/>
        <v>44286</v>
      </c>
      <c r="E250" s="72">
        <f t="shared" si="101"/>
        <v>90</v>
      </c>
      <c r="F250" s="74">
        <f>VLOOKUP(D250,'FERC Interest Rate'!$A:$B,2,TRUE)</f>
        <v>5.0023470000000007E-2</v>
      </c>
      <c r="G250" s="75">
        <f t="shared" si="102"/>
        <v>309.07812672635373</v>
      </c>
      <c r="H250" s="75">
        <v>0</v>
      </c>
      <c r="I250" s="99">
        <f t="shared" si="106"/>
        <v>3.5600316815882991</v>
      </c>
      <c r="J250" s="76">
        <f t="shared" si="107"/>
        <v>3.8123409205360983</v>
      </c>
      <c r="K250" s="116">
        <f t="shared" si="97"/>
        <v>7.3723726021243969</v>
      </c>
      <c r="L250" s="76">
        <f t="shared" si="105"/>
        <v>73.709500000000006</v>
      </c>
      <c r="M250" s="117">
        <f t="shared" si="98"/>
        <v>81.081872602124406</v>
      </c>
      <c r="N250" s="8">
        <f t="shared" si="99"/>
        <v>312.89046764688982</v>
      </c>
      <c r="O250" s="75">
        <f t="shared" si="100"/>
        <v>231.80859504476544</v>
      </c>
    </row>
    <row r="251" spans="1:15" x14ac:dyDescent="0.25">
      <c r="A251" s="78" t="s">
        <v>69</v>
      </c>
      <c r="B251" s="72" t="str">
        <f t="shared" si="108"/>
        <v>Q2/2021</v>
      </c>
      <c r="C251" s="73">
        <f t="shared" si="103"/>
        <v>44287</v>
      </c>
      <c r="D251" s="73">
        <f t="shared" si="104"/>
        <v>44377</v>
      </c>
      <c r="E251" s="72">
        <f t="shared" si="101"/>
        <v>91</v>
      </c>
      <c r="F251" s="74">
        <f>VLOOKUP(D251,'FERC Interest Rate'!$A:$B,2,TRUE)</f>
        <v>5.0403730000000001E-2</v>
      </c>
      <c r="G251" s="75">
        <f t="shared" si="102"/>
        <v>231.80859504476544</v>
      </c>
      <c r="H251" s="75">
        <v>0</v>
      </c>
      <c r="I251" s="99">
        <f t="shared" si="106"/>
        <v>3.5600316815882991</v>
      </c>
      <c r="J251" s="76">
        <f t="shared" si="107"/>
        <v>2.913001707136242</v>
      </c>
      <c r="K251" s="116">
        <f t="shared" si="97"/>
        <v>6.4730333887245415</v>
      </c>
      <c r="L251" s="76">
        <f t="shared" si="105"/>
        <v>73.709500000000006</v>
      </c>
      <c r="M251" s="117">
        <f t="shared" si="98"/>
        <v>80.182533388724551</v>
      </c>
      <c r="N251" s="8">
        <f t="shared" si="99"/>
        <v>234.72159675190167</v>
      </c>
      <c r="O251" s="75">
        <f t="shared" si="100"/>
        <v>154.53906336317712</v>
      </c>
    </row>
    <row r="252" spans="1:15" x14ac:dyDescent="0.25">
      <c r="A252" s="78" t="s">
        <v>70</v>
      </c>
      <c r="B252" s="72" t="str">
        <f t="shared" si="108"/>
        <v>Q3/2021</v>
      </c>
      <c r="C252" s="73">
        <f t="shared" si="103"/>
        <v>44378</v>
      </c>
      <c r="D252" s="73">
        <f t="shared" si="104"/>
        <v>44469</v>
      </c>
      <c r="E252" s="72">
        <f t="shared" si="101"/>
        <v>92</v>
      </c>
      <c r="F252" s="74">
        <f>VLOOKUP(D252,'FERC Interest Rate'!$A:$B,2,TRUE)</f>
        <v>5.2520850000000001E-2</v>
      </c>
      <c r="G252" s="75">
        <f t="shared" si="102"/>
        <v>154.53906336317712</v>
      </c>
      <c r="H252" s="75">
        <v>0</v>
      </c>
      <c r="I252" s="99">
        <f t="shared" si="106"/>
        <v>3.5600316815882991</v>
      </c>
      <c r="J252" s="76">
        <f t="shared" si="107"/>
        <v>2.0458085284259968</v>
      </c>
      <c r="K252" s="116">
        <f t="shared" si="97"/>
        <v>5.6058402100142963</v>
      </c>
      <c r="L252" s="76">
        <f t="shared" si="105"/>
        <v>73.709500000000006</v>
      </c>
      <c r="M252" s="117">
        <f t="shared" si="98"/>
        <v>79.315340210014298</v>
      </c>
      <c r="N252" s="8">
        <f t="shared" si="99"/>
        <v>156.58487189160311</v>
      </c>
      <c r="O252" s="75">
        <f t="shared" si="100"/>
        <v>77.269531681588816</v>
      </c>
    </row>
    <row r="253" spans="1:15" x14ac:dyDescent="0.25">
      <c r="A253" s="78" t="s">
        <v>71</v>
      </c>
      <c r="B253" s="72" t="str">
        <f t="shared" si="108"/>
        <v>Q4/2021</v>
      </c>
      <c r="C253" s="73">
        <f t="shared" si="103"/>
        <v>44470</v>
      </c>
      <c r="D253" s="73">
        <f t="shared" si="104"/>
        <v>44561</v>
      </c>
      <c r="E253" s="72">
        <f t="shared" si="101"/>
        <v>92</v>
      </c>
      <c r="F253" s="74">
        <f>VLOOKUP(D253,'FERC Interest Rate'!$A:$B,2,TRUE)</f>
        <v>5.2766440000000005E-2</v>
      </c>
      <c r="G253" s="75">
        <f t="shared" si="102"/>
        <v>77.269531681588816</v>
      </c>
      <c r="H253" s="75">
        <v>0</v>
      </c>
      <c r="I253" s="99">
        <f t="shared" si="106"/>
        <v>3.5600316815882991</v>
      </c>
      <c r="J253" s="76">
        <f t="shared" si="107"/>
        <v>1.0276874133480227</v>
      </c>
      <c r="K253" s="116">
        <f t="shared" si="97"/>
        <v>4.5877190949363218</v>
      </c>
      <c r="L253" s="76">
        <f t="shared" si="105"/>
        <v>73.709500000000006</v>
      </c>
      <c r="M253" s="117">
        <f t="shared" si="98"/>
        <v>78.297219094936324</v>
      </c>
      <c r="N253" s="8">
        <f t="shared" si="99"/>
        <v>78.297219094936835</v>
      </c>
      <c r="O253" s="75">
        <f t="shared" si="100"/>
        <v>5.1159076974727213E-13</v>
      </c>
    </row>
    <row r="254" spans="1:15" x14ac:dyDescent="0.25">
      <c r="A254" s="78"/>
      <c r="B254" s="72"/>
      <c r="C254" s="73"/>
      <c r="D254" s="73"/>
      <c r="E254" s="72"/>
      <c r="F254" s="74"/>
      <c r="G254" s="75"/>
      <c r="H254" s="75"/>
      <c r="I254" s="99"/>
      <c r="J254" s="76"/>
      <c r="K254" s="116"/>
      <c r="L254" s="76"/>
      <c r="M254" s="117"/>
      <c r="N254" s="8"/>
      <c r="O254" s="75"/>
    </row>
    <row r="255" spans="1:15" ht="13.5" thickBot="1" x14ac:dyDescent="0.35">
      <c r="A255" s="142"/>
      <c r="B255" s="143"/>
      <c r="C255" s="144"/>
      <c r="D255" s="144"/>
      <c r="E255" s="145"/>
      <c r="F255" s="143"/>
      <c r="G255" s="124">
        <f t="shared" ref="G255:O255" si="109">SUM(G229:G254)</f>
        <v>23685.406214024944</v>
      </c>
      <c r="H255" s="124">
        <f t="shared" si="109"/>
        <v>71.200633631765982</v>
      </c>
      <c r="I255" s="125">
        <f t="shared" si="109"/>
        <v>71.200633631765982</v>
      </c>
      <c r="J255" s="124">
        <f t="shared" si="109"/>
        <v>170.22568311174354</v>
      </c>
      <c r="K255" s="124">
        <f t="shared" si="109"/>
        <v>241.42631674350955</v>
      </c>
      <c r="L255" s="124">
        <f t="shared" si="109"/>
        <v>1474.1899999999998</v>
      </c>
      <c r="M255" s="126">
        <f t="shared" si="109"/>
        <v>1715.6163167435095</v>
      </c>
      <c r="N255" s="124">
        <f t="shared" si="109"/>
        <v>23926.832530768457</v>
      </c>
      <c r="O255" s="124">
        <f t="shared" si="109"/>
        <v>22211.216214024949</v>
      </c>
    </row>
    <row r="256" spans="1:15" ht="13" thickTop="1" x14ac:dyDescent="0.25"/>
  </sheetData>
  <mergeCells count="8">
    <mergeCell ref="J196:K196"/>
    <mergeCell ref="J227:K227"/>
    <mergeCell ref="Q34:V34"/>
    <mergeCell ref="J34:K34"/>
    <mergeCell ref="J97:K97"/>
    <mergeCell ref="J131:K131"/>
    <mergeCell ref="J164:K164"/>
    <mergeCell ref="J62:K62"/>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rowBreaks count="1" manualBreakCount="1">
    <brk id="226" max="1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1"/>
    <pageSetUpPr fitToPage="1"/>
  </sheetPr>
  <dimension ref="A1:O88"/>
  <sheetViews>
    <sheetView workbookViewId="0"/>
  </sheetViews>
  <sheetFormatPr defaultColWidth="9.1796875" defaultRowHeight="12.5" outlineLevelRow="1" x14ac:dyDescent="0.25"/>
  <cols>
    <col min="1" max="1" width="10.26953125" style="6" bestFit="1" customWidth="1"/>
    <col min="2" max="2" width="13.26953125" style="6" bestFit="1" customWidth="1"/>
    <col min="3" max="4" width="15.1796875" style="6" customWidth="1"/>
    <col min="5" max="5" width="9.7265625" style="6" bestFit="1" customWidth="1"/>
    <col min="6" max="6" width="14.26953125" style="6" customWidth="1"/>
    <col min="7" max="9" width="16.26953125" style="6" customWidth="1"/>
    <col min="10" max="10" width="17.453125" style="6" customWidth="1"/>
    <col min="11" max="13" width="16.26953125" style="6" customWidth="1"/>
    <col min="14" max="14" width="18" style="6" bestFit="1" customWidth="1"/>
    <col min="15" max="15" width="16.26953125" style="6" customWidth="1"/>
    <col min="16" max="16384" width="9.1796875" style="6"/>
  </cols>
  <sheetData>
    <row r="1" spans="1:8" ht="26" x14ac:dyDescent="0.3">
      <c r="A1" s="81" t="s">
        <v>8</v>
      </c>
      <c r="B1" s="82" t="s">
        <v>86</v>
      </c>
      <c r="C1" s="81" t="s">
        <v>2</v>
      </c>
      <c r="D1" s="81" t="s">
        <v>1</v>
      </c>
      <c r="E1" s="82" t="s">
        <v>72</v>
      </c>
      <c r="F1" s="82" t="s">
        <v>47</v>
      </c>
    </row>
    <row r="2" spans="1:8" ht="12.75" customHeight="1" thickBot="1" x14ac:dyDescent="0.3">
      <c r="A2" s="78" t="s">
        <v>52</v>
      </c>
      <c r="B2" s="62">
        <v>41232</v>
      </c>
      <c r="C2" s="43">
        <v>9195000</v>
      </c>
      <c r="D2" s="43">
        <v>0</v>
      </c>
      <c r="E2" s="43">
        <v>0</v>
      </c>
      <c r="F2" s="7">
        <f>SUM(C2:E2)</f>
        <v>9195000</v>
      </c>
    </row>
    <row r="3" spans="1:8" ht="12.75" hidden="1" customHeight="1" outlineLevel="1" x14ac:dyDescent="0.25">
      <c r="A3" s="78" t="s">
        <v>53</v>
      </c>
      <c r="B3" s="18" t="s">
        <v>21</v>
      </c>
      <c r="C3" s="43">
        <v>0</v>
      </c>
      <c r="D3" s="43">
        <v>0</v>
      </c>
      <c r="E3" s="43">
        <v>0</v>
      </c>
      <c r="F3" s="7">
        <f t="shared" ref="F3:F25" si="0">SUM(C3:E3)</f>
        <v>0</v>
      </c>
    </row>
    <row r="4" spans="1:8" hidden="1" outlineLevel="1" x14ac:dyDescent="0.25">
      <c r="A4" s="78" t="s">
        <v>54</v>
      </c>
      <c r="B4" s="18" t="s">
        <v>21</v>
      </c>
      <c r="C4" s="43">
        <v>0</v>
      </c>
      <c r="D4" s="43">
        <v>0</v>
      </c>
      <c r="E4" s="43">
        <v>0</v>
      </c>
      <c r="F4" s="7">
        <f t="shared" si="0"/>
        <v>0</v>
      </c>
    </row>
    <row r="5" spans="1:8" hidden="1" outlineLevel="1" x14ac:dyDescent="0.25">
      <c r="A5" s="78" t="s">
        <v>55</v>
      </c>
      <c r="B5" s="18" t="s">
        <v>21</v>
      </c>
      <c r="C5" s="43">
        <v>0</v>
      </c>
      <c r="D5" s="43">
        <v>0</v>
      </c>
      <c r="E5" s="43">
        <v>0</v>
      </c>
      <c r="F5" s="7">
        <f t="shared" si="0"/>
        <v>0</v>
      </c>
    </row>
    <row r="6" spans="1:8" ht="12.75" hidden="1" customHeight="1" outlineLevel="1" x14ac:dyDescent="0.25">
      <c r="A6" s="78" t="s">
        <v>56</v>
      </c>
      <c r="B6" s="18" t="s">
        <v>21</v>
      </c>
      <c r="C6" s="43">
        <v>0</v>
      </c>
      <c r="D6" s="43">
        <v>0</v>
      </c>
      <c r="E6" s="43">
        <v>0</v>
      </c>
      <c r="F6" s="7">
        <f t="shared" si="0"/>
        <v>0</v>
      </c>
    </row>
    <row r="7" spans="1:8" hidden="1" outlineLevel="1" x14ac:dyDescent="0.25">
      <c r="A7" s="78" t="s">
        <v>57</v>
      </c>
      <c r="B7" s="18" t="s">
        <v>21</v>
      </c>
      <c r="C7" s="43">
        <v>0</v>
      </c>
      <c r="D7" s="43">
        <v>0</v>
      </c>
      <c r="E7" s="43">
        <v>0</v>
      </c>
      <c r="F7" s="7">
        <f t="shared" si="0"/>
        <v>0</v>
      </c>
    </row>
    <row r="8" spans="1:8" hidden="1" outlineLevel="1" x14ac:dyDescent="0.25">
      <c r="A8" s="78" t="s">
        <v>58</v>
      </c>
      <c r="B8" s="18" t="s">
        <v>21</v>
      </c>
      <c r="C8" s="43">
        <v>0</v>
      </c>
      <c r="D8" s="43">
        <v>0</v>
      </c>
      <c r="E8" s="43">
        <v>0</v>
      </c>
      <c r="F8" s="7">
        <f t="shared" si="0"/>
        <v>0</v>
      </c>
    </row>
    <row r="9" spans="1:8" hidden="1" outlineLevel="1" x14ac:dyDescent="0.25">
      <c r="A9" s="78" t="s">
        <v>59</v>
      </c>
      <c r="B9" s="18" t="s">
        <v>21</v>
      </c>
      <c r="C9" s="43">
        <v>0</v>
      </c>
      <c r="D9" s="43">
        <v>0</v>
      </c>
      <c r="E9" s="43">
        <v>0</v>
      </c>
      <c r="F9" s="7">
        <f t="shared" si="0"/>
        <v>0</v>
      </c>
    </row>
    <row r="10" spans="1:8" hidden="1" outlineLevel="1" x14ac:dyDescent="0.25">
      <c r="A10" s="78" t="s">
        <v>60</v>
      </c>
      <c r="B10" s="18" t="s">
        <v>21</v>
      </c>
      <c r="C10" s="43">
        <v>0</v>
      </c>
      <c r="D10" s="43">
        <v>0</v>
      </c>
      <c r="E10" s="43">
        <v>0</v>
      </c>
      <c r="F10" s="7">
        <f t="shared" si="0"/>
        <v>0</v>
      </c>
    </row>
    <row r="11" spans="1:8" hidden="1" outlineLevel="1" x14ac:dyDescent="0.25">
      <c r="A11" s="78" t="s">
        <v>61</v>
      </c>
      <c r="B11" s="18" t="s">
        <v>21</v>
      </c>
      <c r="C11" s="43">
        <v>0</v>
      </c>
      <c r="D11" s="43">
        <v>0</v>
      </c>
      <c r="E11" s="43">
        <v>0</v>
      </c>
      <c r="F11" s="7">
        <f t="shared" si="0"/>
        <v>0</v>
      </c>
    </row>
    <row r="12" spans="1:8" hidden="1" outlineLevel="1" x14ac:dyDescent="0.25">
      <c r="A12" s="78" t="s">
        <v>62</v>
      </c>
      <c r="B12" s="18" t="s">
        <v>21</v>
      </c>
      <c r="C12" s="43">
        <v>0</v>
      </c>
      <c r="D12" s="43">
        <v>0</v>
      </c>
      <c r="E12" s="43">
        <v>0</v>
      </c>
      <c r="F12" s="7">
        <f t="shared" si="0"/>
        <v>0</v>
      </c>
      <c r="H12" s="163"/>
    </row>
    <row r="13" spans="1:8" hidden="1" outlineLevel="1" x14ac:dyDescent="0.25">
      <c r="A13" s="78" t="s">
        <v>63</v>
      </c>
      <c r="B13" s="18" t="s">
        <v>21</v>
      </c>
      <c r="C13" s="43">
        <v>0</v>
      </c>
      <c r="D13" s="43">
        <v>0</v>
      </c>
      <c r="E13" s="43">
        <v>0</v>
      </c>
      <c r="F13" s="7">
        <f t="shared" si="0"/>
        <v>0</v>
      </c>
      <c r="H13" s="163"/>
    </row>
    <row r="14" spans="1:8" hidden="1" outlineLevel="1" x14ac:dyDescent="0.25">
      <c r="A14" s="78" t="s">
        <v>64</v>
      </c>
      <c r="B14" s="18" t="s">
        <v>21</v>
      </c>
      <c r="C14" s="43">
        <v>0</v>
      </c>
      <c r="D14" s="43">
        <v>0</v>
      </c>
      <c r="E14" s="43">
        <v>0</v>
      </c>
      <c r="F14" s="7">
        <f t="shared" si="0"/>
        <v>0</v>
      </c>
      <c r="H14" s="163"/>
    </row>
    <row r="15" spans="1:8" hidden="1" outlineLevel="1" x14ac:dyDescent="0.25">
      <c r="A15" s="78" t="s">
        <v>65</v>
      </c>
      <c r="B15" s="18" t="s">
        <v>21</v>
      </c>
      <c r="C15" s="43">
        <v>0</v>
      </c>
      <c r="D15" s="43">
        <v>0</v>
      </c>
      <c r="E15" s="43">
        <v>0</v>
      </c>
      <c r="F15" s="7">
        <f t="shared" si="0"/>
        <v>0</v>
      </c>
      <c r="H15" s="163"/>
    </row>
    <row r="16" spans="1:8" hidden="1" outlineLevel="1" x14ac:dyDescent="0.25">
      <c r="A16" s="78" t="s">
        <v>66</v>
      </c>
      <c r="B16" s="18" t="s">
        <v>21</v>
      </c>
      <c r="C16" s="43">
        <v>0</v>
      </c>
      <c r="D16" s="43">
        <v>0</v>
      </c>
      <c r="E16" s="43">
        <v>0</v>
      </c>
      <c r="F16" s="7">
        <f t="shared" si="0"/>
        <v>0</v>
      </c>
      <c r="H16" s="163"/>
    </row>
    <row r="17" spans="1:15" hidden="1" outlineLevel="1" x14ac:dyDescent="0.25">
      <c r="A17" s="78" t="s">
        <v>67</v>
      </c>
      <c r="B17" s="18" t="s">
        <v>21</v>
      </c>
      <c r="C17" s="43">
        <v>0</v>
      </c>
      <c r="D17" s="43">
        <v>0</v>
      </c>
      <c r="E17" s="43">
        <v>0</v>
      </c>
      <c r="F17" s="7">
        <f t="shared" si="0"/>
        <v>0</v>
      </c>
      <c r="H17" s="163"/>
    </row>
    <row r="18" spans="1:15" hidden="1" outlineLevel="1" x14ac:dyDescent="0.25">
      <c r="A18" s="78" t="s">
        <v>68</v>
      </c>
      <c r="B18" s="18" t="s">
        <v>21</v>
      </c>
      <c r="C18" s="43">
        <v>0</v>
      </c>
      <c r="D18" s="43">
        <v>0</v>
      </c>
      <c r="E18" s="43">
        <v>0</v>
      </c>
      <c r="F18" s="7">
        <f t="shared" si="0"/>
        <v>0</v>
      </c>
      <c r="H18" s="163"/>
    </row>
    <row r="19" spans="1:15" hidden="1" outlineLevel="1" x14ac:dyDescent="0.25">
      <c r="A19" s="78" t="s">
        <v>69</v>
      </c>
      <c r="B19" s="18" t="s">
        <v>21</v>
      </c>
      <c r="C19" s="43">
        <v>0</v>
      </c>
      <c r="D19" s="43">
        <v>0</v>
      </c>
      <c r="E19" s="43">
        <v>0</v>
      </c>
      <c r="F19" s="7">
        <f t="shared" si="0"/>
        <v>0</v>
      </c>
    </row>
    <row r="20" spans="1:15" hidden="1" outlineLevel="1" x14ac:dyDescent="0.25">
      <c r="A20" s="78" t="s">
        <v>70</v>
      </c>
      <c r="B20" s="18" t="s">
        <v>21</v>
      </c>
      <c r="C20" s="43">
        <v>0</v>
      </c>
      <c r="D20" s="43">
        <v>0</v>
      </c>
      <c r="E20" s="43">
        <v>0</v>
      </c>
      <c r="F20" s="7">
        <f t="shared" si="0"/>
        <v>0</v>
      </c>
    </row>
    <row r="21" spans="1:15" hidden="1" outlineLevel="1" x14ac:dyDescent="0.25">
      <c r="A21" s="78" t="s">
        <v>71</v>
      </c>
      <c r="B21" s="18" t="s">
        <v>21</v>
      </c>
      <c r="C21" s="43">
        <v>0</v>
      </c>
      <c r="D21" s="43">
        <v>0</v>
      </c>
      <c r="E21" s="43">
        <v>0</v>
      </c>
      <c r="F21" s="7">
        <f t="shared" si="0"/>
        <v>0</v>
      </c>
    </row>
    <row r="22" spans="1:15" hidden="1" outlineLevel="1" x14ac:dyDescent="0.25">
      <c r="A22" s="78" t="s">
        <v>74</v>
      </c>
      <c r="B22" s="18" t="s">
        <v>21</v>
      </c>
      <c r="C22" s="43">
        <v>0</v>
      </c>
      <c r="D22" s="43">
        <v>0</v>
      </c>
      <c r="E22" s="43">
        <v>0</v>
      </c>
      <c r="F22" s="7">
        <f t="shared" si="0"/>
        <v>0</v>
      </c>
    </row>
    <row r="23" spans="1:15" hidden="1" outlineLevel="1" x14ac:dyDescent="0.25">
      <c r="A23" s="78" t="s">
        <v>75</v>
      </c>
      <c r="B23" s="18" t="s">
        <v>21</v>
      </c>
      <c r="C23" s="43">
        <v>0</v>
      </c>
      <c r="D23" s="43">
        <v>0</v>
      </c>
      <c r="E23" s="43">
        <v>0</v>
      </c>
      <c r="F23" s="7">
        <f t="shared" si="0"/>
        <v>0</v>
      </c>
    </row>
    <row r="24" spans="1:15" hidden="1" outlineLevel="1" x14ac:dyDescent="0.25">
      <c r="A24" s="78" t="s">
        <v>76</v>
      </c>
      <c r="B24" s="18" t="s">
        <v>21</v>
      </c>
      <c r="C24" s="43">
        <v>0</v>
      </c>
      <c r="D24" s="43">
        <v>0</v>
      </c>
      <c r="E24" s="43">
        <v>0</v>
      </c>
      <c r="F24" s="7">
        <f t="shared" si="0"/>
        <v>0</v>
      </c>
    </row>
    <row r="25" spans="1:15" ht="13" hidden="1" outlineLevel="1" thickBot="1" x14ac:dyDescent="0.3">
      <c r="A25" s="78" t="s">
        <v>77</v>
      </c>
      <c r="B25" s="18" t="s">
        <v>21</v>
      </c>
      <c r="C25" s="43">
        <v>0</v>
      </c>
      <c r="D25" s="43">
        <v>0</v>
      </c>
      <c r="E25" s="43">
        <v>0</v>
      </c>
      <c r="F25" s="7">
        <f t="shared" si="0"/>
        <v>0</v>
      </c>
    </row>
    <row r="26" spans="1:15" ht="13" collapsed="1" x14ac:dyDescent="0.3">
      <c r="B26" s="34" t="s">
        <v>0</v>
      </c>
      <c r="C26" s="109">
        <f>SUM(C2:C25)</f>
        <v>9195000</v>
      </c>
      <c r="D26" s="109">
        <f>SUM(D2:D25)</f>
        <v>0</v>
      </c>
      <c r="E26" s="109">
        <f>SUM(E2:E25)</f>
        <v>0</v>
      </c>
      <c r="F26" s="109">
        <f>SUM(F2:F25)</f>
        <v>9195000</v>
      </c>
      <c r="H26" s="153"/>
      <c r="I26" s="149" t="s">
        <v>13</v>
      </c>
      <c r="J26" s="149" t="s">
        <v>12</v>
      </c>
      <c r="K26" s="150" t="s">
        <v>20</v>
      </c>
      <c r="L26" s="151"/>
      <c r="M26" s="152"/>
    </row>
    <row r="27" spans="1:15" ht="13" x14ac:dyDescent="0.3">
      <c r="A27" s="17" t="s">
        <v>18</v>
      </c>
      <c r="B27" s="18" t="s">
        <v>21</v>
      </c>
      <c r="C27" s="8">
        <v>0</v>
      </c>
      <c r="D27" s="8">
        <v>0</v>
      </c>
      <c r="E27" s="8">
        <v>0</v>
      </c>
      <c r="F27" s="8">
        <f>SUM(C27:E27)</f>
        <v>0</v>
      </c>
      <c r="H27" s="147" t="s">
        <v>10</v>
      </c>
      <c r="I27" s="84">
        <v>41244</v>
      </c>
      <c r="J27" s="85">
        <v>41232</v>
      </c>
      <c r="K27" s="86" t="s">
        <v>33</v>
      </c>
      <c r="L27" s="87"/>
      <c r="M27" s="88"/>
    </row>
    <row r="28" spans="1:15" ht="13.5" thickBot="1" x14ac:dyDescent="0.35">
      <c r="A28" s="17" t="s">
        <v>19</v>
      </c>
      <c r="B28" s="18" t="s">
        <v>21</v>
      </c>
      <c r="C28" s="8">
        <v>0</v>
      </c>
      <c r="D28" s="8">
        <v>0</v>
      </c>
      <c r="E28" s="8">
        <v>0</v>
      </c>
      <c r="F28" s="8">
        <f>SUM(C28:E28)</f>
        <v>0</v>
      </c>
      <c r="H28" s="148" t="s">
        <v>16</v>
      </c>
      <c r="I28" s="89">
        <v>41335</v>
      </c>
      <c r="J28" s="90">
        <v>41291</v>
      </c>
      <c r="K28" s="91" t="s">
        <v>34</v>
      </c>
      <c r="L28" s="92"/>
      <c r="M28" s="93"/>
    </row>
    <row r="29" spans="1:15" ht="13.5" thickBot="1" x14ac:dyDescent="0.35">
      <c r="A29" s="34"/>
      <c r="B29" s="66" t="s">
        <v>50</v>
      </c>
      <c r="C29" s="65">
        <f>+SUM(C26:C28)</f>
        <v>9195000</v>
      </c>
      <c r="D29" s="65">
        <f>+SUM(D26:D28)</f>
        <v>0</v>
      </c>
      <c r="E29" s="65">
        <f>+SUM(E26:E28)</f>
        <v>0</v>
      </c>
      <c r="F29" s="65">
        <f>+SUM(F26:F28)</f>
        <v>9195000</v>
      </c>
      <c r="H29" s="33"/>
      <c r="I29" s="5"/>
      <c r="J29" s="17"/>
      <c r="K29" s="6" t="s">
        <v>35</v>
      </c>
    </row>
    <row r="30" spans="1:15" ht="14" thickTop="1" thickBot="1" x14ac:dyDescent="0.35">
      <c r="B30" s="34"/>
      <c r="C30" s="13"/>
      <c r="D30" s="13"/>
      <c r="E30" s="13"/>
      <c r="F30" s="13"/>
    </row>
    <row r="31" spans="1:15" x14ac:dyDescent="0.25">
      <c r="I31" s="130"/>
      <c r="J31" s="113"/>
      <c r="K31" s="113"/>
      <c r="L31" s="113"/>
      <c r="M31" s="97"/>
    </row>
    <row r="32" spans="1:15" ht="39" x14ac:dyDescent="0.3">
      <c r="A32" s="77" t="s">
        <v>51</v>
      </c>
      <c r="B32" s="77" t="s">
        <v>3</v>
      </c>
      <c r="C32" s="77" t="s">
        <v>4</v>
      </c>
      <c r="D32" s="77" t="s">
        <v>5</v>
      </c>
      <c r="E32" s="77" t="s">
        <v>6</v>
      </c>
      <c r="F32" s="77" t="s">
        <v>7</v>
      </c>
      <c r="G32" s="77" t="s">
        <v>92</v>
      </c>
      <c r="H32" s="77" t="s">
        <v>93</v>
      </c>
      <c r="I32" s="94" t="s">
        <v>94</v>
      </c>
      <c r="J32" s="95" t="s">
        <v>95</v>
      </c>
      <c r="K32" s="95" t="s">
        <v>96</v>
      </c>
      <c r="L32" s="95" t="s">
        <v>97</v>
      </c>
      <c r="M32" s="96" t="s">
        <v>98</v>
      </c>
      <c r="N32" s="77" t="s">
        <v>99</v>
      </c>
      <c r="O32" s="77" t="s">
        <v>100</v>
      </c>
    </row>
    <row r="33" spans="1:15" ht="13" x14ac:dyDescent="0.3">
      <c r="A33" s="347" t="s">
        <v>2</v>
      </c>
      <c r="B33" s="347"/>
      <c r="C33" s="68">
        <f>$J$27</f>
        <v>41232</v>
      </c>
      <c r="D33" s="68">
        <f>DATE(YEAR(C33),IF(MONTH(C33)&lt;=3,3,IF(MONTH(C33)&lt;=6,6,IF(MONTH(C33)&lt;=9,9,12))),IF(OR(MONTH(C33)&lt;=3,MONTH(C33)&gt;=10),31,30))</f>
        <v>41274</v>
      </c>
      <c r="E33" s="67">
        <f>D33-C33+1</f>
        <v>43</v>
      </c>
      <c r="F33" s="69">
        <f>VLOOKUP(D33,'FERC Interest Rate'!$A:$B,2,TRUE)</f>
        <v>3.2500000000000001E-2</v>
      </c>
      <c r="G33" s="70">
        <f>$C$26</f>
        <v>9195000</v>
      </c>
      <c r="H33" s="70">
        <f>G33*F33*(E33/(DATE(YEAR(D33),12,31)-DATE(YEAR(D33),1,1)+1))</f>
        <v>35109.323770491806</v>
      </c>
      <c r="I33" s="98">
        <v>0</v>
      </c>
      <c r="J33" s="71">
        <v>0</v>
      </c>
      <c r="K33" s="114">
        <f>+SUM(I33:J33)</f>
        <v>0</v>
      </c>
      <c r="L33" s="71">
        <v>0</v>
      </c>
      <c r="M33" s="115">
        <f>+SUM(K33:L33)</f>
        <v>0</v>
      </c>
      <c r="N33" s="112">
        <f>+G33+H33+J33</f>
        <v>9230109.3237704914</v>
      </c>
      <c r="O33" s="70">
        <f t="shared" ref="O33:O53" si="1">G33+H33-L33-I33</f>
        <v>9230109.3237704914</v>
      </c>
    </row>
    <row r="34" spans="1:15" ht="13" x14ac:dyDescent="0.3">
      <c r="A34" s="154" t="s">
        <v>52</v>
      </c>
      <c r="B34" s="133" t="str">
        <f t="shared" ref="B34:B53" si="2">+IF(MONTH(C34)&lt;4,"Q1",IF(MONTH(C34)&lt;7,"Q2",IF(MONTH(C34)&lt;10,"Q3","Q4")))&amp;"/"&amp;YEAR(C34)</f>
        <v>Q1/2013</v>
      </c>
      <c r="C34" s="134">
        <f>D33+1</f>
        <v>41275</v>
      </c>
      <c r="D34" s="134">
        <f t="shared" ref="D34:D43" si="3">EOMONTH(D33,3)</f>
        <v>41364</v>
      </c>
      <c r="E34" s="133">
        <f>D34-C34+1</f>
        <v>90</v>
      </c>
      <c r="F34" s="135">
        <f>VLOOKUP(D34,'FERC Interest Rate'!$A:$B,2,TRUE)</f>
        <v>3.2500000000000001E-2</v>
      </c>
      <c r="G34" s="136">
        <f t="shared" ref="G34:G53" si="4">O33</f>
        <v>9230109.3237704914</v>
      </c>
      <c r="H34" s="70">
        <f>G34*F34*(E34/(DATE(YEAR(D34),12,31)-DATE(YEAR(D34),1,1)+1))</f>
        <v>73967.314443914205</v>
      </c>
      <c r="I34" s="139">
        <f t="shared" ref="I34:I53" si="5">SUM($H$33:$H$54)/20</f>
        <v>5453.8319107203006</v>
      </c>
      <c r="J34" s="71">
        <v>0</v>
      </c>
      <c r="K34" s="160">
        <f t="shared" ref="K34:K53" si="6">+SUM(I34:J34)</f>
        <v>5453.8319107203006</v>
      </c>
      <c r="L34" s="137">
        <f t="shared" ref="L34:L53" si="7">$C$26/20</f>
        <v>459750</v>
      </c>
      <c r="M34" s="161">
        <f t="shared" ref="M34:M53" si="8">+SUM(K34:L34)</f>
        <v>465203.83191072033</v>
      </c>
      <c r="N34" s="162">
        <f t="shared" ref="N34:N53" si="9">+G34+H34+J34</f>
        <v>9304076.6382144056</v>
      </c>
      <c r="O34" s="136">
        <f t="shared" si="1"/>
        <v>8838872.8063036855</v>
      </c>
    </row>
    <row r="35" spans="1:15" x14ac:dyDescent="0.25">
      <c r="A35" s="78" t="s">
        <v>53</v>
      </c>
      <c r="B35" s="72" t="str">
        <f t="shared" si="2"/>
        <v>Q2/2013</v>
      </c>
      <c r="C35" s="73">
        <f>D34+1</f>
        <v>41365</v>
      </c>
      <c r="D35" s="73">
        <f t="shared" si="3"/>
        <v>41455</v>
      </c>
      <c r="E35" s="72">
        <f>D35-C35+1</f>
        <v>91</v>
      </c>
      <c r="F35" s="74">
        <f>VLOOKUP(D35,'FERC Interest Rate'!$A:$B,2,TRUE)</f>
        <v>3.2500000000000001E-2</v>
      </c>
      <c r="G35" s="75">
        <f t="shared" si="4"/>
        <v>8838872.8063036855</v>
      </c>
      <c r="H35" s="75">
        <v>0</v>
      </c>
      <c r="I35" s="99">
        <f t="shared" si="5"/>
        <v>5453.8319107203006</v>
      </c>
      <c r="J35" s="76">
        <f t="shared" ref="J35:J53" si="10">G35*F35*(E35/(DATE(YEAR(D35),12,31)-DATE(YEAR(D35),1,1)+1))</f>
        <v>71619.085820940149</v>
      </c>
      <c r="K35" s="116">
        <f t="shared" si="6"/>
        <v>77072.917731660447</v>
      </c>
      <c r="L35" s="76">
        <f t="shared" si="7"/>
        <v>459750</v>
      </c>
      <c r="M35" s="117">
        <f t="shared" si="8"/>
        <v>536822.91773166042</v>
      </c>
      <c r="N35" s="8">
        <f t="shared" si="9"/>
        <v>8910491.8921246249</v>
      </c>
      <c r="O35" s="75">
        <f t="shared" si="1"/>
        <v>8373668.9743929654</v>
      </c>
    </row>
    <row r="36" spans="1:15" x14ac:dyDescent="0.25">
      <c r="A36" s="78" t="s">
        <v>54</v>
      </c>
      <c r="B36" s="72" t="str">
        <f t="shared" si="2"/>
        <v>Q3/2013</v>
      </c>
      <c r="C36" s="73">
        <f t="shared" ref="C36:C53" si="11">D35+1</f>
        <v>41456</v>
      </c>
      <c r="D36" s="73">
        <f t="shared" si="3"/>
        <v>41547</v>
      </c>
      <c r="E36" s="72">
        <f t="shared" ref="E36:E53" si="12">D36-C36+1</f>
        <v>92</v>
      </c>
      <c r="F36" s="74">
        <f>VLOOKUP(D36,'FERC Interest Rate'!$A:$B,2,TRUE)</f>
        <v>3.2500000000000001E-2</v>
      </c>
      <c r="G36" s="75">
        <f t="shared" si="4"/>
        <v>8373668.9743929654</v>
      </c>
      <c r="H36" s="75">
        <v>0</v>
      </c>
      <c r="I36" s="99">
        <f t="shared" si="5"/>
        <v>5453.8319107203006</v>
      </c>
      <c r="J36" s="76">
        <f t="shared" si="10"/>
        <v>68595.260913520455</v>
      </c>
      <c r="K36" s="116">
        <f t="shared" si="6"/>
        <v>74049.092824240754</v>
      </c>
      <c r="L36" s="76">
        <f t="shared" si="7"/>
        <v>459750</v>
      </c>
      <c r="M36" s="117">
        <f t="shared" si="8"/>
        <v>533799.0928242408</v>
      </c>
      <c r="N36" s="8">
        <f t="shared" si="9"/>
        <v>8442264.2353064865</v>
      </c>
      <c r="O36" s="75">
        <f t="shared" si="1"/>
        <v>7908465.1424822453</v>
      </c>
    </row>
    <row r="37" spans="1:15" x14ac:dyDescent="0.25">
      <c r="A37" s="78" t="s">
        <v>55</v>
      </c>
      <c r="B37" s="72" t="str">
        <f t="shared" si="2"/>
        <v>Q4/2013</v>
      </c>
      <c r="C37" s="73">
        <f t="shared" si="11"/>
        <v>41548</v>
      </c>
      <c r="D37" s="73">
        <f t="shared" si="3"/>
        <v>41639</v>
      </c>
      <c r="E37" s="72">
        <f t="shared" si="12"/>
        <v>92</v>
      </c>
      <c r="F37" s="74">
        <f>VLOOKUP(D37,'FERC Interest Rate'!$A:$B,2,TRUE)</f>
        <v>3.2500000000000001E-2</v>
      </c>
      <c r="G37" s="75">
        <f t="shared" si="4"/>
        <v>7908465.1424822453</v>
      </c>
      <c r="H37" s="75">
        <v>0</v>
      </c>
      <c r="I37" s="99">
        <f t="shared" si="5"/>
        <v>5453.8319107203006</v>
      </c>
      <c r="J37" s="76">
        <f t="shared" si="10"/>
        <v>64784.413084991553</v>
      </c>
      <c r="K37" s="116">
        <f t="shared" si="6"/>
        <v>70238.244995711852</v>
      </c>
      <c r="L37" s="76">
        <f t="shared" si="7"/>
        <v>459750</v>
      </c>
      <c r="M37" s="117">
        <f t="shared" si="8"/>
        <v>529988.24499571184</v>
      </c>
      <c r="N37" s="8">
        <f t="shared" si="9"/>
        <v>7973249.5555672366</v>
      </c>
      <c r="O37" s="75">
        <f t="shared" si="1"/>
        <v>7443261.3105715252</v>
      </c>
    </row>
    <row r="38" spans="1:15" x14ac:dyDescent="0.25">
      <c r="A38" s="78" t="s">
        <v>56</v>
      </c>
      <c r="B38" s="72" t="str">
        <f t="shared" si="2"/>
        <v>Q1/2014</v>
      </c>
      <c r="C38" s="73">
        <f t="shared" si="11"/>
        <v>41640</v>
      </c>
      <c r="D38" s="73">
        <f t="shared" si="3"/>
        <v>41729</v>
      </c>
      <c r="E38" s="72">
        <f t="shared" si="12"/>
        <v>90</v>
      </c>
      <c r="F38" s="74">
        <f>VLOOKUP(D38,'FERC Interest Rate'!$A:$B,2,TRUE)</f>
        <v>3.2500000000000001E-2</v>
      </c>
      <c r="G38" s="75">
        <f t="shared" si="4"/>
        <v>7443261.3105715252</v>
      </c>
      <c r="H38" s="75">
        <v>0</v>
      </c>
      <c r="I38" s="99">
        <f t="shared" si="5"/>
        <v>5453.8319107203006</v>
      </c>
      <c r="J38" s="76">
        <f t="shared" si="10"/>
        <v>59648.052968278658</v>
      </c>
      <c r="K38" s="116">
        <f t="shared" si="6"/>
        <v>65101.884878998957</v>
      </c>
      <c r="L38" s="76">
        <f t="shared" si="7"/>
        <v>459750</v>
      </c>
      <c r="M38" s="117">
        <f t="shared" si="8"/>
        <v>524851.88487899897</v>
      </c>
      <c r="N38" s="8">
        <f t="shared" si="9"/>
        <v>7502909.3635398038</v>
      </c>
      <c r="O38" s="75">
        <f t="shared" si="1"/>
        <v>6978057.4786608052</v>
      </c>
    </row>
    <row r="39" spans="1:15" x14ac:dyDescent="0.25">
      <c r="A39" s="78" t="s">
        <v>57</v>
      </c>
      <c r="B39" s="72" t="str">
        <f t="shared" si="2"/>
        <v>Q2/2014</v>
      </c>
      <c r="C39" s="73">
        <f t="shared" si="11"/>
        <v>41730</v>
      </c>
      <c r="D39" s="73">
        <f t="shared" si="3"/>
        <v>41820</v>
      </c>
      <c r="E39" s="72">
        <f t="shared" si="12"/>
        <v>91</v>
      </c>
      <c r="F39" s="74">
        <f>VLOOKUP(D39,'FERC Interest Rate'!$A:$B,2,TRUE)</f>
        <v>3.2500000000000001E-2</v>
      </c>
      <c r="G39" s="75">
        <f t="shared" si="4"/>
        <v>6978057.4786608052</v>
      </c>
      <c r="H39" s="75">
        <v>0</v>
      </c>
      <c r="I39" s="99">
        <f t="shared" si="5"/>
        <v>5453.8319107203006</v>
      </c>
      <c r="J39" s="76">
        <f t="shared" si="10"/>
        <v>56541.383542847485</v>
      </c>
      <c r="K39" s="116">
        <f t="shared" si="6"/>
        <v>61995.215453567784</v>
      </c>
      <c r="L39" s="76">
        <f t="shared" si="7"/>
        <v>459750</v>
      </c>
      <c r="M39" s="117">
        <f t="shared" si="8"/>
        <v>521745.2154535678</v>
      </c>
      <c r="N39" s="8">
        <f t="shared" si="9"/>
        <v>7034598.862203653</v>
      </c>
      <c r="O39" s="75">
        <f t="shared" si="1"/>
        <v>6512853.6467500851</v>
      </c>
    </row>
    <row r="40" spans="1:15" x14ac:dyDescent="0.25">
      <c r="A40" s="78" t="s">
        <v>58</v>
      </c>
      <c r="B40" s="72" t="str">
        <f t="shared" si="2"/>
        <v>Q3/2014</v>
      </c>
      <c r="C40" s="73">
        <f t="shared" si="11"/>
        <v>41821</v>
      </c>
      <c r="D40" s="73">
        <f t="shared" si="3"/>
        <v>41912</v>
      </c>
      <c r="E40" s="72">
        <f t="shared" si="12"/>
        <v>92</v>
      </c>
      <c r="F40" s="74">
        <f>VLOOKUP(D40,'FERC Interest Rate'!$A:$B,2,TRUE)</f>
        <v>3.2500000000000001E-2</v>
      </c>
      <c r="G40" s="75">
        <f t="shared" si="4"/>
        <v>6512853.6467500851</v>
      </c>
      <c r="H40" s="75">
        <v>0</v>
      </c>
      <c r="I40" s="99">
        <f t="shared" si="5"/>
        <v>5453.8319107203006</v>
      </c>
      <c r="J40" s="76">
        <f t="shared" si="10"/>
        <v>53351.869599404818</v>
      </c>
      <c r="K40" s="116">
        <f t="shared" si="6"/>
        <v>58805.701510125116</v>
      </c>
      <c r="L40" s="76">
        <f t="shared" si="7"/>
        <v>459750</v>
      </c>
      <c r="M40" s="117">
        <f t="shared" si="8"/>
        <v>518555.70151012513</v>
      </c>
      <c r="N40" s="8">
        <f t="shared" si="9"/>
        <v>6566205.5163494898</v>
      </c>
      <c r="O40" s="75">
        <f t="shared" si="1"/>
        <v>6047649.814839365</v>
      </c>
    </row>
    <row r="41" spans="1:15" x14ac:dyDescent="0.25">
      <c r="A41" s="78" t="s">
        <v>59</v>
      </c>
      <c r="B41" s="72" t="str">
        <f t="shared" si="2"/>
        <v>Q4/2014</v>
      </c>
      <c r="C41" s="73">
        <f t="shared" si="11"/>
        <v>41913</v>
      </c>
      <c r="D41" s="73">
        <f t="shared" si="3"/>
        <v>42004</v>
      </c>
      <c r="E41" s="72">
        <f t="shared" si="12"/>
        <v>92</v>
      </c>
      <c r="F41" s="74">
        <f>VLOOKUP(D41,'FERC Interest Rate'!$A:$B,2,TRUE)</f>
        <v>3.2500000000000001E-2</v>
      </c>
      <c r="G41" s="75">
        <f t="shared" si="4"/>
        <v>6047649.814839365</v>
      </c>
      <c r="H41" s="75">
        <v>0</v>
      </c>
      <c r="I41" s="99">
        <f t="shared" si="5"/>
        <v>5453.8319107203006</v>
      </c>
      <c r="J41" s="76">
        <f>G41*F41*(E41/(DATE(YEAR(D41),12,31)-DATE(YEAR(D41),1,1)+1))</f>
        <v>49541.021770875901</v>
      </c>
      <c r="K41" s="116">
        <f t="shared" si="6"/>
        <v>54994.8536815962</v>
      </c>
      <c r="L41" s="76">
        <f t="shared" si="7"/>
        <v>459750</v>
      </c>
      <c r="M41" s="117">
        <f t="shared" si="8"/>
        <v>514744.85368159623</v>
      </c>
      <c r="N41" s="8">
        <f t="shared" si="9"/>
        <v>6097190.8366102409</v>
      </c>
      <c r="O41" s="75">
        <f t="shared" si="1"/>
        <v>5582445.9829286449</v>
      </c>
    </row>
    <row r="42" spans="1:15" x14ac:dyDescent="0.25">
      <c r="A42" s="78" t="s">
        <v>60</v>
      </c>
      <c r="B42" s="72" t="str">
        <f t="shared" si="2"/>
        <v>Q1/2015</v>
      </c>
      <c r="C42" s="73">
        <f t="shared" si="11"/>
        <v>42005</v>
      </c>
      <c r="D42" s="73">
        <f t="shared" si="3"/>
        <v>42094</v>
      </c>
      <c r="E42" s="72">
        <f t="shared" si="12"/>
        <v>90</v>
      </c>
      <c r="F42" s="74">
        <f>VLOOKUP(D42,'FERC Interest Rate'!$A:$B,2,TRUE)</f>
        <v>3.2500000000000001E-2</v>
      </c>
      <c r="G42" s="75">
        <f t="shared" si="4"/>
        <v>5582445.9829286449</v>
      </c>
      <c r="H42" s="75">
        <v>0</v>
      </c>
      <c r="I42" s="99">
        <f t="shared" si="5"/>
        <v>5453.8319107203006</v>
      </c>
      <c r="J42" s="76">
        <f t="shared" si="10"/>
        <v>44736.039726208997</v>
      </c>
      <c r="K42" s="116">
        <f t="shared" si="6"/>
        <v>50189.871636929296</v>
      </c>
      <c r="L42" s="76">
        <f t="shared" si="7"/>
        <v>459750</v>
      </c>
      <c r="M42" s="117">
        <f t="shared" si="8"/>
        <v>509939.87163692928</v>
      </c>
      <c r="N42" s="8">
        <f t="shared" si="9"/>
        <v>5627182.0226548538</v>
      </c>
      <c r="O42" s="75">
        <f t="shared" si="1"/>
        <v>5117242.1510179248</v>
      </c>
    </row>
    <row r="43" spans="1:15" x14ac:dyDescent="0.25">
      <c r="A43" s="78" t="s">
        <v>61</v>
      </c>
      <c r="B43" s="72" t="str">
        <f t="shared" si="2"/>
        <v>Q2/2015</v>
      </c>
      <c r="C43" s="73">
        <f t="shared" si="11"/>
        <v>42095</v>
      </c>
      <c r="D43" s="73">
        <f t="shared" si="3"/>
        <v>42185</v>
      </c>
      <c r="E43" s="72">
        <f t="shared" si="12"/>
        <v>91</v>
      </c>
      <c r="F43" s="74">
        <f>VLOOKUP(D43,'FERC Interest Rate'!$A:$B,2,TRUE)</f>
        <v>3.2500000000000001E-2</v>
      </c>
      <c r="G43" s="75">
        <f t="shared" si="4"/>
        <v>5117242.1510179248</v>
      </c>
      <c r="H43" s="75">
        <v>0</v>
      </c>
      <c r="I43" s="99">
        <f t="shared" si="5"/>
        <v>5453.8319107203006</v>
      </c>
      <c r="J43" s="76">
        <f t="shared" si="10"/>
        <v>41463.681264754829</v>
      </c>
      <c r="K43" s="116">
        <f t="shared" si="6"/>
        <v>46917.513175475127</v>
      </c>
      <c r="L43" s="76">
        <f t="shared" si="7"/>
        <v>459750</v>
      </c>
      <c r="M43" s="117">
        <f t="shared" si="8"/>
        <v>506667.51317547512</v>
      </c>
      <c r="N43" s="8">
        <f t="shared" si="9"/>
        <v>5158705.8322826792</v>
      </c>
      <c r="O43" s="75">
        <f t="shared" si="1"/>
        <v>4652038.3191072047</v>
      </c>
    </row>
    <row r="44" spans="1:15" x14ac:dyDescent="0.25">
      <c r="A44" s="78" t="s">
        <v>62</v>
      </c>
      <c r="B44" s="72" t="str">
        <f t="shared" si="2"/>
        <v>Q3/2015</v>
      </c>
      <c r="C44" s="73">
        <f t="shared" si="11"/>
        <v>42186</v>
      </c>
      <c r="D44" s="73">
        <f t="shared" ref="D44:D53" si="13">EOMONTH(D43,3)</f>
        <v>42277</v>
      </c>
      <c r="E44" s="72">
        <f t="shared" si="12"/>
        <v>92</v>
      </c>
      <c r="F44" s="74">
        <f>VLOOKUP(D44,'FERC Interest Rate'!$A:$B,2,TRUE)</f>
        <v>3.2500000000000001E-2</v>
      </c>
      <c r="G44" s="75">
        <f t="shared" si="4"/>
        <v>4652038.3191072047</v>
      </c>
      <c r="H44" s="75">
        <v>0</v>
      </c>
      <c r="I44" s="99">
        <f t="shared" si="5"/>
        <v>5453.8319107203006</v>
      </c>
      <c r="J44" s="76">
        <f t="shared" si="10"/>
        <v>38108.478285289166</v>
      </c>
      <c r="K44" s="116">
        <f t="shared" si="6"/>
        <v>43562.310196009465</v>
      </c>
      <c r="L44" s="76">
        <f t="shared" si="7"/>
        <v>459750</v>
      </c>
      <c r="M44" s="117">
        <f t="shared" si="8"/>
        <v>503312.31019600946</v>
      </c>
      <c r="N44" s="8">
        <f t="shared" si="9"/>
        <v>4690146.797392494</v>
      </c>
      <c r="O44" s="75">
        <f t="shared" si="1"/>
        <v>4186834.4871964846</v>
      </c>
    </row>
    <row r="45" spans="1:15" x14ac:dyDescent="0.25">
      <c r="A45" s="78" t="s">
        <v>63</v>
      </c>
      <c r="B45" s="72" t="str">
        <f t="shared" si="2"/>
        <v>Q4/2015</v>
      </c>
      <c r="C45" s="73">
        <f t="shared" si="11"/>
        <v>42278</v>
      </c>
      <c r="D45" s="73">
        <f t="shared" si="13"/>
        <v>42369</v>
      </c>
      <c r="E45" s="72">
        <f t="shared" si="12"/>
        <v>92</v>
      </c>
      <c r="F45" s="74">
        <f>VLOOKUP(D45,'FERC Interest Rate'!$A:$B,2,TRUE)</f>
        <v>3.2500000000000001E-2</v>
      </c>
      <c r="G45" s="75">
        <f t="shared" si="4"/>
        <v>4186834.4871964846</v>
      </c>
      <c r="H45" s="75">
        <v>0</v>
      </c>
      <c r="I45" s="99">
        <f t="shared" si="5"/>
        <v>5453.8319107203006</v>
      </c>
      <c r="J45" s="76">
        <f t="shared" si="10"/>
        <v>34297.630456760242</v>
      </c>
      <c r="K45" s="116">
        <f t="shared" si="6"/>
        <v>39751.462367480541</v>
      </c>
      <c r="L45" s="76">
        <f t="shared" si="7"/>
        <v>459750</v>
      </c>
      <c r="M45" s="117">
        <f t="shared" si="8"/>
        <v>499501.46236748056</v>
      </c>
      <c r="N45" s="8">
        <f t="shared" si="9"/>
        <v>4221132.1176532451</v>
      </c>
      <c r="O45" s="75">
        <f t="shared" si="1"/>
        <v>3721630.6552857645</v>
      </c>
    </row>
    <row r="46" spans="1:15" x14ac:dyDescent="0.25">
      <c r="A46" s="78" t="s">
        <v>64</v>
      </c>
      <c r="B46" s="72" t="str">
        <f t="shared" si="2"/>
        <v>Q1/2016</v>
      </c>
      <c r="C46" s="73">
        <f t="shared" si="11"/>
        <v>42370</v>
      </c>
      <c r="D46" s="73">
        <f t="shared" si="13"/>
        <v>42460</v>
      </c>
      <c r="E46" s="72">
        <f t="shared" si="12"/>
        <v>91</v>
      </c>
      <c r="F46" s="74">
        <f>VLOOKUP(D46,'FERC Interest Rate'!$A:$B,2,TRUE)</f>
        <v>3.2500000000000001E-2</v>
      </c>
      <c r="G46" s="75">
        <f t="shared" si="4"/>
        <v>3721630.6552857645</v>
      </c>
      <c r="H46" s="75">
        <v>0</v>
      </c>
      <c r="I46" s="99">
        <f t="shared" si="5"/>
        <v>5453.8319107203006</v>
      </c>
      <c r="J46" s="76">
        <f t="shared" si="10"/>
        <v>30073.012740458056</v>
      </c>
      <c r="K46" s="116">
        <f t="shared" si="6"/>
        <v>35526.844651178355</v>
      </c>
      <c r="L46" s="76">
        <f t="shared" si="7"/>
        <v>459750</v>
      </c>
      <c r="M46" s="117">
        <f t="shared" si="8"/>
        <v>495276.84465117834</v>
      </c>
      <c r="N46" s="8">
        <f t="shared" si="9"/>
        <v>3751703.6680262224</v>
      </c>
      <c r="O46" s="75">
        <f t="shared" si="1"/>
        <v>3256426.8233750444</v>
      </c>
    </row>
    <row r="47" spans="1:15" x14ac:dyDescent="0.25">
      <c r="A47" s="78" t="s">
        <v>65</v>
      </c>
      <c r="B47" s="72" t="str">
        <f t="shared" si="2"/>
        <v>Q2/2016</v>
      </c>
      <c r="C47" s="73">
        <f t="shared" si="11"/>
        <v>42461</v>
      </c>
      <c r="D47" s="73">
        <f t="shared" si="13"/>
        <v>42551</v>
      </c>
      <c r="E47" s="72">
        <f t="shared" si="12"/>
        <v>91</v>
      </c>
      <c r="F47" s="74">
        <f>VLOOKUP(D47,'FERC Interest Rate'!$A:$B,2,TRUE)</f>
        <v>3.4599999999999999E-2</v>
      </c>
      <c r="G47" s="75">
        <f t="shared" si="4"/>
        <v>3256426.8233750444</v>
      </c>
      <c r="H47" s="75">
        <v>0</v>
      </c>
      <c r="I47" s="99">
        <f t="shared" si="5"/>
        <v>5453.8319107203006</v>
      </c>
      <c r="J47" s="76">
        <f t="shared" si="10"/>
        <v>28014.168022072856</v>
      </c>
      <c r="K47" s="116">
        <f t="shared" si="6"/>
        <v>33467.999932793158</v>
      </c>
      <c r="L47" s="76">
        <f t="shared" si="7"/>
        <v>459750</v>
      </c>
      <c r="M47" s="117">
        <f t="shared" si="8"/>
        <v>493217.99993279314</v>
      </c>
      <c r="N47" s="8">
        <f t="shared" si="9"/>
        <v>3284440.9913971173</v>
      </c>
      <c r="O47" s="75">
        <f t="shared" si="1"/>
        <v>2791222.9914643243</v>
      </c>
    </row>
    <row r="48" spans="1:15" x14ac:dyDescent="0.25">
      <c r="A48" s="78" t="s">
        <v>66</v>
      </c>
      <c r="B48" s="72" t="str">
        <f t="shared" si="2"/>
        <v>Q3/2016</v>
      </c>
      <c r="C48" s="73">
        <f t="shared" si="11"/>
        <v>42552</v>
      </c>
      <c r="D48" s="73">
        <f t="shared" si="13"/>
        <v>42643</v>
      </c>
      <c r="E48" s="72">
        <f t="shared" si="12"/>
        <v>92</v>
      </c>
      <c r="F48" s="74">
        <f>VLOOKUP(D48,'FERC Interest Rate'!$A:$B,2,TRUE)</f>
        <v>3.5000000000000003E-2</v>
      </c>
      <c r="G48" s="75">
        <f t="shared" si="4"/>
        <v>2791222.9914643243</v>
      </c>
      <c r="H48" s="75">
        <v>0</v>
      </c>
      <c r="I48" s="99">
        <f t="shared" si="5"/>
        <v>5453.8319107203006</v>
      </c>
      <c r="J48" s="76">
        <f t="shared" si="10"/>
        <v>24556.661291024931</v>
      </c>
      <c r="K48" s="116">
        <f t="shared" si="6"/>
        <v>30010.49320174523</v>
      </c>
      <c r="L48" s="76">
        <f t="shared" si="7"/>
        <v>459750</v>
      </c>
      <c r="M48" s="117">
        <f t="shared" si="8"/>
        <v>489760.49320174521</v>
      </c>
      <c r="N48" s="8">
        <f t="shared" si="9"/>
        <v>2815779.6527553494</v>
      </c>
      <c r="O48" s="75">
        <f t="shared" si="1"/>
        <v>2326019.1595536042</v>
      </c>
    </row>
    <row r="49" spans="1:15" x14ac:dyDescent="0.25">
      <c r="A49" s="78" t="s">
        <v>67</v>
      </c>
      <c r="B49" s="72" t="str">
        <f t="shared" si="2"/>
        <v>Q4/2016</v>
      </c>
      <c r="C49" s="73">
        <f t="shared" si="11"/>
        <v>42644</v>
      </c>
      <c r="D49" s="73">
        <f t="shared" si="13"/>
        <v>42735</v>
      </c>
      <c r="E49" s="72">
        <f t="shared" si="12"/>
        <v>92</v>
      </c>
      <c r="F49" s="74">
        <f>VLOOKUP(D49,'FERC Interest Rate'!$A:$B,2,TRUE)</f>
        <v>3.5000000000000003E-2</v>
      </c>
      <c r="G49" s="75">
        <f t="shared" si="4"/>
        <v>2326019.1595536042</v>
      </c>
      <c r="H49" s="75">
        <v>0</v>
      </c>
      <c r="I49" s="99">
        <f t="shared" si="5"/>
        <v>5453.8319107203006</v>
      </c>
      <c r="J49" s="76">
        <f t="shared" si="10"/>
        <v>20463.884409187449</v>
      </c>
      <c r="K49" s="116">
        <f t="shared" si="6"/>
        <v>25917.716319907748</v>
      </c>
      <c r="L49" s="76">
        <f t="shared" si="7"/>
        <v>459750</v>
      </c>
      <c r="M49" s="117">
        <f t="shared" si="8"/>
        <v>485667.71631990775</v>
      </c>
      <c r="N49" s="8">
        <f t="shared" si="9"/>
        <v>2346483.0439627916</v>
      </c>
      <c r="O49" s="75">
        <f t="shared" si="1"/>
        <v>1860815.3276428839</v>
      </c>
    </row>
    <row r="50" spans="1:15" x14ac:dyDescent="0.25">
      <c r="A50" s="78" t="s">
        <v>68</v>
      </c>
      <c r="B50" s="72" t="str">
        <f t="shared" si="2"/>
        <v>Q1/2017</v>
      </c>
      <c r="C50" s="73">
        <f t="shared" si="11"/>
        <v>42736</v>
      </c>
      <c r="D50" s="73">
        <f t="shared" si="13"/>
        <v>42825</v>
      </c>
      <c r="E50" s="72">
        <f t="shared" si="12"/>
        <v>90</v>
      </c>
      <c r="F50" s="74">
        <f>VLOOKUP(D50,'FERC Interest Rate'!$A:$B,2,TRUE)</f>
        <v>3.5000000000000003E-2</v>
      </c>
      <c r="G50" s="75">
        <f t="shared" si="4"/>
        <v>1860815.3276428839</v>
      </c>
      <c r="H50" s="75">
        <v>0</v>
      </c>
      <c r="I50" s="99">
        <f t="shared" si="5"/>
        <v>5453.8319107203006</v>
      </c>
      <c r="J50" s="76">
        <f t="shared" si="10"/>
        <v>16059.091183767354</v>
      </c>
      <c r="K50" s="116">
        <f t="shared" si="6"/>
        <v>21512.923094487654</v>
      </c>
      <c r="L50" s="76">
        <f t="shared" si="7"/>
        <v>459750</v>
      </c>
      <c r="M50" s="117">
        <f t="shared" si="8"/>
        <v>481262.92309448763</v>
      </c>
      <c r="N50" s="8">
        <f t="shared" si="9"/>
        <v>1876874.4188266513</v>
      </c>
      <c r="O50" s="75">
        <f t="shared" si="1"/>
        <v>1395611.4957321635</v>
      </c>
    </row>
    <row r="51" spans="1:15" x14ac:dyDescent="0.25">
      <c r="A51" s="78" t="s">
        <v>69</v>
      </c>
      <c r="B51" s="72" t="str">
        <f t="shared" si="2"/>
        <v>Q2/2017</v>
      </c>
      <c r="C51" s="73">
        <f t="shared" si="11"/>
        <v>42826</v>
      </c>
      <c r="D51" s="73">
        <f t="shared" si="13"/>
        <v>42916</v>
      </c>
      <c r="E51" s="72">
        <f t="shared" si="12"/>
        <v>91</v>
      </c>
      <c r="F51" s="74">
        <f>VLOOKUP(D51,'FERC Interest Rate'!$A:$B,2,TRUE)</f>
        <v>3.7100000000000001E-2</v>
      </c>
      <c r="G51" s="75">
        <f t="shared" si="4"/>
        <v>1395611.4957321635</v>
      </c>
      <c r="H51" s="75">
        <v>0</v>
      </c>
      <c r="I51" s="99">
        <f t="shared" si="5"/>
        <v>5453.8319107203006</v>
      </c>
      <c r="J51" s="76">
        <f t="shared" si="10"/>
        <v>12908.832796551664</v>
      </c>
      <c r="K51" s="116">
        <f t="shared" si="6"/>
        <v>18362.664707271964</v>
      </c>
      <c r="L51" s="76">
        <f t="shared" si="7"/>
        <v>459750</v>
      </c>
      <c r="M51" s="117">
        <f t="shared" si="8"/>
        <v>478112.66470727196</v>
      </c>
      <c r="N51" s="8">
        <f t="shared" si="9"/>
        <v>1408520.3285287153</v>
      </c>
      <c r="O51" s="75">
        <f t="shared" si="1"/>
        <v>930407.66382144322</v>
      </c>
    </row>
    <row r="52" spans="1:15" x14ac:dyDescent="0.25">
      <c r="A52" s="78" t="s">
        <v>70</v>
      </c>
      <c r="B52" s="72" t="str">
        <f t="shared" si="2"/>
        <v>Q3/2017</v>
      </c>
      <c r="C52" s="73">
        <f t="shared" si="11"/>
        <v>42917</v>
      </c>
      <c r="D52" s="73">
        <f t="shared" si="13"/>
        <v>43008</v>
      </c>
      <c r="E52" s="72">
        <f t="shared" si="12"/>
        <v>92</v>
      </c>
      <c r="F52" s="74">
        <f>VLOOKUP(D52,'FERC Interest Rate'!$A:$B,2,TRUE)</f>
        <v>3.9600000000000003E-2</v>
      </c>
      <c r="G52" s="75">
        <f t="shared" si="4"/>
        <v>930407.66382144322</v>
      </c>
      <c r="H52" s="75">
        <v>0</v>
      </c>
      <c r="I52" s="99">
        <f t="shared" si="5"/>
        <v>5453.8319107203006</v>
      </c>
      <c r="J52" s="76">
        <f t="shared" si="10"/>
        <v>9286.7430159843352</v>
      </c>
      <c r="K52" s="116">
        <f t="shared" si="6"/>
        <v>14740.574926704636</v>
      </c>
      <c r="L52" s="76">
        <f t="shared" si="7"/>
        <v>459750</v>
      </c>
      <c r="M52" s="117">
        <f t="shared" si="8"/>
        <v>474490.57492670463</v>
      </c>
      <c r="N52" s="8">
        <f t="shared" si="9"/>
        <v>939694.40683742752</v>
      </c>
      <c r="O52" s="75">
        <f t="shared" si="1"/>
        <v>465203.83191072289</v>
      </c>
    </row>
    <row r="53" spans="1:15" x14ac:dyDescent="0.25">
      <c r="A53" s="78" t="s">
        <v>71</v>
      </c>
      <c r="B53" s="72" t="str">
        <f t="shared" si="2"/>
        <v>Q4/2017</v>
      </c>
      <c r="C53" s="73">
        <f t="shared" si="11"/>
        <v>43009</v>
      </c>
      <c r="D53" s="73">
        <f t="shared" si="13"/>
        <v>43100</v>
      </c>
      <c r="E53" s="72">
        <f t="shared" si="12"/>
        <v>92</v>
      </c>
      <c r="F53" s="74">
        <f>VLOOKUP(D53,'FERC Interest Rate'!$A:$B,2,TRUE)</f>
        <v>4.2099999999999999E-2</v>
      </c>
      <c r="G53" s="75">
        <f t="shared" si="4"/>
        <v>465203.83191072289</v>
      </c>
      <c r="H53" s="75">
        <v>0</v>
      </c>
      <c r="I53" s="99">
        <f t="shared" si="5"/>
        <v>5453.8319107203006</v>
      </c>
      <c r="J53" s="76">
        <f t="shared" si="10"/>
        <v>4936.5136486482525</v>
      </c>
      <c r="K53" s="116">
        <f t="shared" si="6"/>
        <v>10390.345559368554</v>
      </c>
      <c r="L53" s="76">
        <f t="shared" si="7"/>
        <v>459750</v>
      </c>
      <c r="M53" s="117">
        <f t="shared" si="8"/>
        <v>470140.34555936855</v>
      </c>
      <c r="N53" s="8">
        <f t="shared" si="9"/>
        <v>470140.34555937117</v>
      </c>
      <c r="O53" s="75">
        <f t="shared" si="1"/>
        <v>2.5884219212457538E-9</v>
      </c>
    </row>
    <row r="54" spans="1:15" x14ac:dyDescent="0.25">
      <c r="B54" s="11"/>
      <c r="C54" s="111"/>
      <c r="D54" s="111"/>
      <c r="E54" s="10"/>
      <c r="F54" s="11"/>
      <c r="G54" s="76"/>
      <c r="H54" s="12"/>
      <c r="I54" s="101"/>
      <c r="J54" s="76"/>
      <c r="K54" s="103"/>
      <c r="L54" s="58"/>
      <c r="M54" s="118"/>
      <c r="O54" s="76"/>
    </row>
    <row r="55" spans="1:15" ht="13.5" thickBot="1" x14ac:dyDescent="0.35">
      <c r="A55" s="142"/>
      <c r="B55" s="143"/>
      <c r="C55" s="146"/>
      <c r="D55" s="146"/>
      <c r="E55" s="145"/>
      <c r="F55" s="143"/>
      <c r="G55" s="131">
        <f>+SUM(G33:G54)</f>
        <v>106813837.38680738</v>
      </c>
      <c r="H55" s="124">
        <f t="shared" ref="H55:O55" si="14">+SUM(H33:H54)</f>
        <v>109076.638214406</v>
      </c>
      <c r="I55" s="125">
        <f t="shared" si="14"/>
        <v>109076.63821440599</v>
      </c>
      <c r="J55" s="131">
        <f t="shared" si="14"/>
        <v>728985.82454156713</v>
      </c>
      <c r="K55" s="124">
        <f t="shared" si="14"/>
        <v>838062.46275597322</v>
      </c>
      <c r="L55" s="124">
        <f t="shared" si="14"/>
        <v>9195000</v>
      </c>
      <c r="M55" s="126">
        <f t="shared" si="14"/>
        <v>10033062.462755971</v>
      </c>
      <c r="N55" s="124">
        <f t="shared" si="14"/>
        <v>107651899.84956336</v>
      </c>
      <c r="O55" s="124">
        <f t="shared" si="14"/>
        <v>97618837.386807382</v>
      </c>
    </row>
    <row r="56" spans="1:15" ht="13" thickTop="1" x14ac:dyDescent="0.25">
      <c r="B56" s="103"/>
      <c r="C56" s="103"/>
      <c r="D56" s="103"/>
      <c r="E56" s="103"/>
      <c r="F56" s="103"/>
      <c r="G56" s="103"/>
      <c r="H56" s="103"/>
      <c r="I56" s="102"/>
      <c r="J56" s="103"/>
      <c r="K56" s="103"/>
      <c r="L56" s="103"/>
      <c r="M56" s="118"/>
      <c r="O56" s="103"/>
    </row>
    <row r="57" spans="1:15" ht="39" x14ac:dyDescent="0.3">
      <c r="A57" s="77" t="s">
        <v>51</v>
      </c>
      <c r="B57" s="77" t="s">
        <v>3</v>
      </c>
      <c r="C57" s="77" t="s">
        <v>4</v>
      </c>
      <c r="D57" s="77" t="s">
        <v>5</v>
      </c>
      <c r="E57" s="77" t="s">
        <v>6</v>
      </c>
      <c r="F57" s="77" t="s">
        <v>7</v>
      </c>
      <c r="G57" s="77" t="s">
        <v>92</v>
      </c>
      <c r="H57" s="77" t="s">
        <v>93</v>
      </c>
      <c r="I57" s="94" t="s">
        <v>94</v>
      </c>
      <c r="J57" s="95" t="s">
        <v>95</v>
      </c>
      <c r="K57" s="95" t="s">
        <v>96</v>
      </c>
      <c r="L57" s="95" t="s">
        <v>97</v>
      </c>
      <c r="M57" s="96" t="s">
        <v>98</v>
      </c>
      <c r="N57" s="77" t="s">
        <v>99</v>
      </c>
      <c r="O57" s="77" t="s">
        <v>100</v>
      </c>
    </row>
    <row r="58" spans="1:15" x14ac:dyDescent="0.25">
      <c r="B58" s="72"/>
      <c r="C58" s="73">
        <f>$B$2</f>
        <v>41232</v>
      </c>
      <c r="D58" s="73">
        <f>DATE(YEAR(C58),IF(MONTH(C58)&lt;=3,3,IF(MONTH(C58)&lt;=6,6,IF(MONTH(C58)&lt;=9,9,12))),IF(OR(MONTH(C58)&lt;=3,MONTH(C58)&gt;=10),31,30))</f>
        <v>41274</v>
      </c>
      <c r="E58" s="72">
        <f>D58-C58+1</f>
        <v>43</v>
      </c>
      <c r="F58" s="74">
        <f>VLOOKUP(D58,'FERC Interest Rate'!$A:$B,2,FALSE)</f>
        <v>3.2500000000000001E-2</v>
      </c>
      <c r="G58" s="75">
        <f>$E$2</f>
        <v>0</v>
      </c>
      <c r="H58" s="75">
        <f t="shared" ref="H58:H65" si="15">G58*F58*(E58/(DATE(YEAR(D58),12,31)-DATE(YEAR(D58),1,1)+1))</f>
        <v>0</v>
      </c>
      <c r="I58" s="99">
        <v>0</v>
      </c>
      <c r="J58" s="76">
        <v>0</v>
      </c>
      <c r="K58" s="116">
        <f t="shared" ref="K58:K85" si="16">+SUM(I58:J58)</f>
        <v>0</v>
      </c>
      <c r="L58" s="76">
        <v>0</v>
      </c>
      <c r="M58" s="117">
        <f t="shared" ref="M58:M85" si="17">+SUM(K58:L58)</f>
        <v>0</v>
      </c>
      <c r="N58" s="8">
        <f t="shared" ref="N58:N85" si="18">+G58+H58+J58</f>
        <v>0</v>
      </c>
      <c r="O58" s="75">
        <f t="shared" ref="O58:O85" si="19">G58+H58-L58-I58</f>
        <v>0</v>
      </c>
    </row>
    <row r="59" spans="1:15" x14ac:dyDescent="0.25">
      <c r="B59" s="72"/>
      <c r="C59" s="73">
        <f>D58+1</f>
        <v>41275</v>
      </c>
      <c r="D59" s="73">
        <f>EOMONTH(D58,3)</f>
        <v>41364</v>
      </c>
      <c r="E59" s="72">
        <f t="shared" ref="E59:E85" si="20">D59-C59+1</f>
        <v>90</v>
      </c>
      <c r="F59" s="74">
        <f>VLOOKUP(D59,'FERC Interest Rate'!$A:$B,2,FALSE)</f>
        <v>3.2500000000000001E-2</v>
      </c>
      <c r="G59" s="75">
        <f t="shared" ref="G59:G85" si="21">O58</f>
        <v>0</v>
      </c>
      <c r="H59" s="75">
        <f t="shared" si="15"/>
        <v>0</v>
      </c>
      <c r="I59" s="99">
        <v>0</v>
      </c>
      <c r="J59" s="76">
        <v>0</v>
      </c>
      <c r="K59" s="116">
        <f t="shared" si="16"/>
        <v>0</v>
      </c>
      <c r="L59" s="76">
        <v>0</v>
      </c>
      <c r="M59" s="117">
        <f t="shared" si="17"/>
        <v>0</v>
      </c>
      <c r="N59" s="8">
        <f t="shared" si="18"/>
        <v>0</v>
      </c>
      <c r="O59" s="75">
        <f t="shared" si="19"/>
        <v>0</v>
      </c>
    </row>
    <row r="60" spans="1:15" x14ac:dyDescent="0.25">
      <c r="B60" s="72"/>
      <c r="C60" s="73">
        <f t="shared" ref="C60:C85" si="22">D59+1</f>
        <v>41365</v>
      </c>
      <c r="D60" s="73">
        <f t="shared" ref="D60:D85" si="23">EOMONTH(D59,3)</f>
        <v>41455</v>
      </c>
      <c r="E60" s="72">
        <f t="shared" si="20"/>
        <v>91</v>
      </c>
      <c r="F60" s="74">
        <f>VLOOKUP(D60,'FERC Interest Rate'!$A:$B,2,FALSE)</f>
        <v>3.2500000000000001E-2</v>
      </c>
      <c r="G60" s="75">
        <f t="shared" si="21"/>
        <v>0</v>
      </c>
      <c r="H60" s="75">
        <f t="shared" si="15"/>
        <v>0</v>
      </c>
      <c r="I60" s="99">
        <v>0</v>
      </c>
      <c r="J60" s="76">
        <v>0</v>
      </c>
      <c r="K60" s="116">
        <f t="shared" si="16"/>
        <v>0</v>
      </c>
      <c r="L60" s="76">
        <v>0</v>
      </c>
      <c r="M60" s="117">
        <f t="shared" si="17"/>
        <v>0</v>
      </c>
      <c r="N60" s="8">
        <f t="shared" si="18"/>
        <v>0</v>
      </c>
      <c r="O60" s="75">
        <f t="shared" si="19"/>
        <v>0</v>
      </c>
    </row>
    <row r="61" spans="1:15" x14ac:dyDescent="0.25">
      <c r="B61" s="72"/>
      <c r="C61" s="73">
        <f t="shared" si="22"/>
        <v>41456</v>
      </c>
      <c r="D61" s="73">
        <f t="shared" si="23"/>
        <v>41547</v>
      </c>
      <c r="E61" s="72">
        <f t="shared" si="20"/>
        <v>92</v>
      </c>
      <c r="F61" s="74">
        <f>VLOOKUP(D61,'FERC Interest Rate'!$A:$B,2,FALSE)</f>
        <v>3.2500000000000001E-2</v>
      </c>
      <c r="G61" s="75">
        <f t="shared" si="21"/>
        <v>0</v>
      </c>
      <c r="H61" s="75">
        <f t="shared" si="15"/>
        <v>0</v>
      </c>
      <c r="I61" s="99">
        <v>0</v>
      </c>
      <c r="J61" s="76">
        <v>0</v>
      </c>
      <c r="K61" s="116">
        <f t="shared" si="16"/>
        <v>0</v>
      </c>
      <c r="L61" s="76">
        <v>0</v>
      </c>
      <c r="M61" s="117">
        <f t="shared" si="17"/>
        <v>0</v>
      </c>
      <c r="N61" s="8">
        <f t="shared" si="18"/>
        <v>0</v>
      </c>
      <c r="O61" s="75">
        <f t="shared" si="19"/>
        <v>0</v>
      </c>
    </row>
    <row r="62" spans="1:15" x14ac:dyDescent="0.25">
      <c r="B62" s="72"/>
      <c r="C62" s="73">
        <f t="shared" si="22"/>
        <v>41548</v>
      </c>
      <c r="D62" s="73">
        <f t="shared" si="23"/>
        <v>41639</v>
      </c>
      <c r="E62" s="72">
        <f t="shared" si="20"/>
        <v>92</v>
      </c>
      <c r="F62" s="74">
        <f>VLOOKUP(D62,'FERC Interest Rate'!$A:$B,2,FALSE)</f>
        <v>3.2500000000000001E-2</v>
      </c>
      <c r="G62" s="75">
        <f t="shared" si="21"/>
        <v>0</v>
      </c>
      <c r="H62" s="75">
        <f t="shared" si="15"/>
        <v>0</v>
      </c>
      <c r="I62" s="99">
        <v>0</v>
      </c>
      <c r="J62" s="76">
        <v>0</v>
      </c>
      <c r="K62" s="116">
        <f t="shared" si="16"/>
        <v>0</v>
      </c>
      <c r="L62" s="76">
        <v>0</v>
      </c>
      <c r="M62" s="117">
        <f t="shared" si="17"/>
        <v>0</v>
      </c>
      <c r="N62" s="8">
        <f t="shared" si="18"/>
        <v>0</v>
      </c>
      <c r="O62" s="75">
        <f t="shared" si="19"/>
        <v>0</v>
      </c>
    </row>
    <row r="63" spans="1:15" x14ac:dyDescent="0.25">
      <c r="B63" s="72"/>
      <c r="C63" s="73">
        <f t="shared" si="22"/>
        <v>41640</v>
      </c>
      <c r="D63" s="73">
        <f t="shared" si="23"/>
        <v>41729</v>
      </c>
      <c r="E63" s="72">
        <f t="shared" si="20"/>
        <v>90</v>
      </c>
      <c r="F63" s="74">
        <f>VLOOKUP(D63,'FERC Interest Rate'!$A:$B,2,FALSE)</f>
        <v>3.2500000000000001E-2</v>
      </c>
      <c r="G63" s="75">
        <f t="shared" si="21"/>
        <v>0</v>
      </c>
      <c r="H63" s="75">
        <f t="shared" si="15"/>
        <v>0</v>
      </c>
      <c r="I63" s="99">
        <v>0</v>
      </c>
      <c r="J63" s="76">
        <v>0</v>
      </c>
      <c r="K63" s="116">
        <f t="shared" si="16"/>
        <v>0</v>
      </c>
      <c r="L63" s="76">
        <v>0</v>
      </c>
      <c r="M63" s="117">
        <f t="shared" si="17"/>
        <v>0</v>
      </c>
      <c r="N63" s="8">
        <f t="shared" si="18"/>
        <v>0</v>
      </c>
      <c r="O63" s="75">
        <f t="shared" si="19"/>
        <v>0</v>
      </c>
    </row>
    <row r="64" spans="1:15" x14ac:dyDescent="0.25">
      <c r="B64" s="72"/>
      <c r="C64" s="73">
        <f t="shared" si="22"/>
        <v>41730</v>
      </c>
      <c r="D64" s="73">
        <f t="shared" si="23"/>
        <v>41820</v>
      </c>
      <c r="E64" s="72">
        <f t="shared" si="20"/>
        <v>91</v>
      </c>
      <c r="F64" s="74">
        <f>VLOOKUP(D64,'FERC Interest Rate'!$A:$B,2,FALSE)</f>
        <v>3.2500000000000001E-2</v>
      </c>
      <c r="G64" s="75">
        <f t="shared" si="21"/>
        <v>0</v>
      </c>
      <c r="H64" s="75">
        <f t="shared" si="15"/>
        <v>0</v>
      </c>
      <c r="I64" s="99">
        <v>0</v>
      </c>
      <c r="J64" s="76">
        <v>0</v>
      </c>
      <c r="K64" s="116">
        <f t="shared" si="16"/>
        <v>0</v>
      </c>
      <c r="L64" s="76">
        <v>0</v>
      </c>
      <c r="M64" s="117">
        <f t="shared" si="17"/>
        <v>0</v>
      </c>
      <c r="N64" s="8">
        <f t="shared" si="18"/>
        <v>0</v>
      </c>
      <c r="O64" s="75">
        <f t="shared" si="19"/>
        <v>0</v>
      </c>
    </row>
    <row r="65" spans="2:15" x14ac:dyDescent="0.25">
      <c r="B65" s="72"/>
      <c r="C65" s="73">
        <f t="shared" si="22"/>
        <v>41821</v>
      </c>
      <c r="D65" s="73">
        <f t="shared" si="23"/>
        <v>41912</v>
      </c>
      <c r="E65" s="72">
        <f t="shared" si="20"/>
        <v>92</v>
      </c>
      <c r="F65" s="74">
        <f>VLOOKUP(D65,'FERC Interest Rate'!$A:$B,2,FALSE)</f>
        <v>3.2500000000000001E-2</v>
      </c>
      <c r="G65" s="75">
        <f t="shared" si="21"/>
        <v>0</v>
      </c>
      <c r="H65" s="75">
        <f t="shared" si="15"/>
        <v>0</v>
      </c>
      <c r="I65" s="99">
        <v>0</v>
      </c>
      <c r="J65" s="76">
        <v>0</v>
      </c>
      <c r="K65" s="116">
        <f t="shared" si="16"/>
        <v>0</v>
      </c>
      <c r="L65" s="76">
        <v>0</v>
      </c>
      <c r="M65" s="117">
        <f t="shared" si="17"/>
        <v>0</v>
      </c>
      <c r="N65" s="8">
        <f t="shared" si="18"/>
        <v>0</v>
      </c>
      <c r="O65" s="75">
        <f t="shared" si="19"/>
        <v>0</v>
      </c>
    </row>
    <row r="66" spans="2:15" x14ac:dyDescent="0.25">
      <c r="B66" s="72"/>
      <c r="C66" s="73">
        <f t="shared" si="22"/>
        <v>41913</v>
      </c>
      <c r="D66" s="73">
        <f t="shared" si="23"/>
        <v>42004</v>
      </c>
      <c r="E66" s="72">
        <f t="shared" si="20"/>
        <v>92</v>
      </c>
      <c r="F66" s="74">
        <f>VLOOKUP(D66,'FERC Interest Rate'!$A:$B,2,FALSE)</f>
        <v>3.2500000000000001E-2</v>
      </c>
      <c r="G66" s="75">
        <f t="shared" si="21"/>
        <v>0</v>
      </c>
      <c r="H66" s="75">
        <v>0</v>
      </c>
      <c r="I66" s="99">
        <v>0</v>
      </c>
      <c r="J66" s="76">
        <f t="shared" ref="J66:J83" si="24">G66*F66*(E66/(DATE(YEAR(D66),12,31)-DATE(YEAR(D66),1,1)+1))</f>
        <v>0</v>
      </c>
      <c r="K66" s="116">
        <f t="shared" si="16"/>
        <v>0</v>
      </c>
      <c r="L66" s="76">
        <f t="shared" ref="L66:L85" si="25">$G$58/20</f>
        <v>0</v>
      </c>
      <c r="M66" s="117">
        <f t="shared" si="17"/>
        <v>0</v>
      </c>
      <c r="N66" s="8">
        <f t="shared" si="18"/>
        <v>0</v>
      </c>
      <c r="O66" s="75">
        <f t="shared" si="19"/>
        <v>0</v>
      </c>
    </row>
    <row r="67" spans="2:15" x14ac:dyDescent="0.25">
      <c r="B67" s="72"/>
      <c r="C67" s="73">
        <f t="shared" si="22"/>
        <v>42005</v>
      </c>
      <c r="D67" s="73">
        <f t="shared" si="23"/>
        <v>42094</v>
      </c>
      <c r="E67" s="72">
        <f t="shared" si="20"/>
        <v>90</v>
      </c>
      <c r="F67" s="74">
        <f>VLOOKUP(D67,'FERC Interest Rate'!$A:$B,2,FALSE)</f>
        <v>3.2500000000000001E-2</v>
      </c>
      <c r="G67" s="75">
        <f t="shared" si="21"/>
        <v>0</v>
      </c>
      <c r="H67" s="75">
        <v>0</v>
      </c>
      <c r="I67" s="99">
        <v>0</v>
      </c>
      <c r="J67" s="76">
        <f t="shared" si="24"/>
        <v>0</v>
      </c>
      <c r="K67" s="116">
        <f t="shared" si="16"/>
        <v>0</v>
      </c>
      <c r="L67" s="76">
        <f t="shared" si="25"/>
        <v>0</v>
      </c>
      <c r="M67" s="117">
        <f t="shared" si="17"/>
        <v>0</v>
      </c>
      <c r="N67" s="8">
        <f t="shared" si="18"/>
        <v>0</v>
      </c>
      <c r="O67" s="75">
        <f t="shared" si="19"/>
        <v>0</v>
      </c>
    </row>
    <row r="68" spans="2:15" x14ac:dyDescent="0.25">
      <c r="B68" s="72"/>
      <c r="C68" s="73">
        <f t="shared" si="22"/>
        <v>42095</v>
      </c>
      <c r="D68" s="73">
        <f t="shared" si="23"/>
        <v>42185</v>
      </c>
      <c r="E68" s="72">
        <f t="shared" si="20"/>
        <v>91</v>
      </c>
      <c r="F68" s="74">
        <f>VLOOKUP(D68,'FERC Interest Rate'!$A:$B,2,FALSE)</f>
        <v>3.2500000000000001E-2</v>
      </c>
      <c r="G68" s="75">
        <f t="shared" si="21"/>
        <v>0</v>
      </c>
      <c r="H68" s="75">
        <v>0</v>
      </c>
      <c r="I68" s="99">
        <v>0</v>
      </c>
      <c r="J68" s="76">
        <f t="shared" si="24"/>
        <v>0</v>
      </c>
      <c r="K68" s="116">
        <f t="shared" si="16"/>
        <v>0</v>
      </c>
      <c r="L68" s="76">
        <f t="shared" si="25"/>
        <v>0</v>
      </c>
      <c r="M68" s="117">
        <f t="shared" si="17"/>
        <v>0</v>
      </c>
      <c r="N68" s="8">
        <f t="shared" si="18"/>
        <v>0</v>
      </c>
      <c r="O68" s="75">
        <f t="shared" si="19"/>
        <v>0</v>
      </c>
    </row>
    <row r="69" spans="2:15" x14ac:dyDescent="0.25">
      <c r="B69" s="72"/>
      <c r="C69" s="73">
        <f t="shared" si="22"/>
        <v>42186</v>
      </c>
      <c r="D69" s="73">
        <f t="shared" si="23"/>
        <v>42277</v>
      </c>
      <c r="E69" s="72">
        <f t="shared" si="20"/>
        <v>92</v>
      </c>
      <c r="F69" s="74">
        <f>VLOOKUP(D69,'FERC Interest Rate'!$A:$B,2,FALSE)</f>
        <v>3.2500000000000001E-2</v>
      </c>
      <c r="G69" s="75">
        <f t="shared" si="21"/>
        <v>0</v>
      </c>
      <c r="H69" s="75">
        <v>0</v>
      </c>
      <c r="I69" s="99">
        <v>0</v>
      </c>
      <c r="J69" s="76">
        <f t="shared" si="24"/>
        <v>0</v>
      </c>
      <c r="K69" s="116">
        <f t="shared" si="16"/>
        <v>0</v>
      </c>
      <c r="L69" s="76">
        <f t="shared" si="25"/>
        <v>0</v>
      </c>
      <c r="M69" s="117">
        <f t="shared" si="17"/>
        <v>0</v>
      </c>
      <c r="N69" s="8">
        <f t="shared" si="18"/>
        <v>0</v>
      </c>
      <c r="O69" s="75">
        <f t="shared" si="19"/>
        <v>0</v>
      </c>
    </row>
    <row r="70" spans="2:15" x14ac:dyDescent="0.25">
      <c r="B70" s="72"/>
      <c r="C70" s="73">
        <f t="shared" si="22"/>
        <v>42278</v>
      </c>
      <c r="D70" s="73">
        <f t="shared" si="23"/>
        <v>42369</v>
      </c>
      <c r="E70" s="72">
        <f t="shared" si="20"/>
        <v>92</v>
      </c>
      <c r="F70" s="74">
        <f>VLOOKUP(D70,'FERC Interest Rate'!$A:$B,2,FALSE)</f>
        <v>3.2500000000000001E-2</v>
      </c>
      <c r="G70" s="75">
        <f t="shared" si="21"/>
        <v>0</v>
      </c>
      <c r="H70" s="75">
        <v>0</v>
      </c>
      <c r="I70" s="99">
        <v>0</v>
      </c>
      <c r="J70" s="76">
        <f t="shared" si="24"/>
        <v>0</v>
      </c>
      <c r="K70" s="116">
        <f t="shared" si="16"/>
        <v>0</v>
      </c>
      <c r="L70" s="76">
        <f t="shared" si="25"/>
        <v>0</v>
      </c>
      <c r="M70" s="117">
        <f t="shared" si="17"/>
        <v>0</v>
      </c>
      <c r="N70" s="8">
        <f t="shared" si="18"/>
        <v>0</v>
      </c>
      <c r="O70" s="75">
        <f t="shared" si="19"/>
        <v>0</v>
      </c>
    </row>
    <row r="71" spans="2:15" x14ac:dyDescent="0.25">
      <c r="B71" s="72"/>
      <c r="C71" s="73">
        <f t="shared" si="22"/>
        <v>42370</v>
      </c>
      <c r="D71" s="73">
        <f t="shared" si="23"/>
        <v>42460</v>
      </c>
      <c r="E71" s="72">
        <f t="shared" si="20"/>
        <v>91</v>
      </c>
      <c r="F71" s="74">
        <f>VLOOKUP(D71,'FERC Interest Rate'!$A:$B,2,FALSE)</f>
        <v>3.2500000000000001E-2</v>
      </c>
      <c r="G71" s="75">
        <f t="shared" si="21"/>
        <v>0</v>
      </c>
      <c r="H71" s="75">
        <v>0</v>
      </c>
      <c r="I71" s="99">
        <v>0</v>
      </c>
      <c r="J71" s="76">
        <f t="shared" si="24"/>
        <v>0</v>
      </c>
      <c r="K71" s="116">
        <f t="shared" si="16"/>
        <v>0</v>
      </c>
      <c r="L71" s="76">
        <f t="shared" si="25"/>
        <v>0</v>
      </c>
      <c r="M71" s="117">
        <f t="shared" si="17"/>
        <v>0</v>
      </c>
      <c r="N71" s="8">
        <f t="shared" si="18"/>
        <v>0</v>
      </c>
      <c r="O71" s="75">
        <f t="shared" si="19"/>
        <v>0</v>
      </c>
    </row>
    <row r="72" spans="2:15" x14ac:dyDescent="0.25">
      <c r="B72" s="72"/>
      <c r="C72" s="73">
        <f t="shared" si="22"/>
        <v>42461</v>
      </c>
      <c r="D72" s="73">
        <f t="shared" si="23"/>
        <v>42551</v>
      </c>
      <c r="E72" s="72">
        <f t="shared" si="20"/>
        <v>91</v>
      </c>
      <c r="F72" s="74">
        <f>VLOOKUP(D72,'FERC Interest Rate'!$A:$B,2,FALSE)</f>
        <v>3.4599999999999999E-2</v>
      </c>
      <c r="G72" s="75">
        <f t="shared" si="21"/>
        <v>0</v>
      </c>
      <c r="H72" s="75">
        <v>0</v>
      </c>
      <c r="I72" s="99">
        <v>0</v>
      </c>
      <c r="J72" s="76">
        <f t="shared" si="24"/>
        <v>0</v>
      </c>
      <c r="K72" s="116">
        <f t="shared" si="16"/>
        <v>0</v>
      </c>
      <c r="L72" s="76">
        <f t="shared" si="25"/>
        <v>0</v>
      </c>
      <c r="M72" s="117">
        <f t="shared" si="17"/>
        <v>0</v>
      </c>
      <c r="N72" s="8">
        <f t="shared" si="18"/>
        <v>0</v>
      </c>
      <c r="O72" s="75">
        <f t="shared" si="19"/>
        <v>0</v>
      </c>
    </row>
    <row r="73" spans="2:15" x14ac:dyDescent="0.25">
      <c r="B73" s="72"/>
      <c r="C73" s="73">
        <f t="shared" si="22"/>
        <v>42552</v>
      </c>
      <c r="D73" s="73">
        <f t="shared" si="23"/>
        <v>42643</v>
      </c>
      <c r="E73" s="72">
        <f t="shared" si="20"/>
        <v>92</v>
      </c>
      <c r="F73" s="74">
        <f>VLOOKUP(D73,'FERC Interest Rate'!$A:$B,2,FALSE)</f>
        <v>3.5000000000000003E-2</v>
      </c>
      <c r="G73" s="75">
        <f t="shared" si="21"/>
        <v>0</v>
      </c>
      <c r="H73" s="75">
        <v>0</v>
      </c>
      <c r="I73" s="99">
        <v>0</v>
      </c>
      <c r="J73" s="76">
        <f t="shared" si="24"/>
        <v>0</v>
      </c>
      <c r="K73" s="116">
        <f t="shared" si="16"/>
        <v>0</v>
      </c>
      <c r="L73" s="76">
        <f t="shared" si="25"/>
        <v>0</v>
      </c>
      <c r="M73" s="117">
        <f t="shared" si="17"/>
        <v>0</v>
      </c>
      <c r="N73" s="8">
        <f t="shared" si="18"/>
        <v>0</v>
      </c>
      <c r="O73" s="75">
        <f t="shared" si="19"/>
        <v>0</v>
      </c>
    </row>
    <row r="74" spans="2:15" x14ac:dyDescent="0.25">
      <c r="B74" s="72"/>
      <c r="C74" s="73">
        <f t="shared" si="22"/>
        <v>42644</v>
      </c>
      <c r="D74" s="73">
        <f t="shared" si="23"/>
        <v>42735</v>
      </c>
      <c r="E74" s="72">
        <f t="shared" si="20"/>
        <v>92</v>
      </c>
      <c r="F74" s="74">
        <f>VLOOKUP(D74,'FERC Interest Rate'!$A:$B,2,FALSE)</f>
        <v>3.5000000000000003E-2</v>
      </c>
      <c r="G74" s="75">
        <f t="shared" si="21"/>
        <v>0</v>
      </c>
      <c r="H74" s="75">
        <v>0</v>
      </c>
      <c r="I74" s="99">
        <v>0</v>
      </c>
      <c r="J74" s="76">
        <f t="shared" si="24"/>
        <v>0</v>
      </c>
      <c r="K74" s="116">
        <f t="shared" si="16"/>
        <v>0</v>
      </c>
      <c r="L74" s="76">
        <f t="shared" si="25"/>
        <v>0</v>
      </c>
      <c r="M74" s="117">
        <f t="shared" si="17"/>
        <v>0</v>
      </c>
      <c r="N74" s="8">
        <f t="shared" si="18"/>
        <v>0</v>
      </c>
      <c r="O74" s="75">
        <f t="shared" si="19"/>
        <v>0</v>
      </c>
    </row>
    <row r="75" spans="2:15" x14ac:dyDescent="0.25">
      <c r="B75" s="72"/>
      <c r="C75" s="73">
        <f t="shared" si="22"/>
        <v>42736</v>
      </c>
      <c r="D75" s="73">
        <f t="shared" si="23"/>
        <v>42825</v>
      </c>
      <c r="E75" s="72">
        <f t="shared" si="20"/>
        <v>90</v>
      </c>
      <c r="F75" s="74">
        <f>VLOOKUP(D75,'FERC Interest Rate'!$A:$B,2,FALSE)</f>
        <v>3.5000000000000003E-2</v>
      </c>
      <c r="G75" s="75">
        <f t="shared" si="21"/>
        <v>0</v>
      </c>
      <c r="H75" s="75">
        <v>0</v>
      </c>
      <c r="I75" s="99">
        <v>0</v>
      </c>
      <c r="J75" s="76">
        <f t="shared" si="24"/>
        <v>0</v>
      </c>
      <c r="K75" s="116">
        <f t="shared" si="16"/>
        <v>0</v>
      </c>
      <c r="L75" s="76">
        <f t="shared" si="25"/>
        <v>0</v>
      </c>
      <c r="M75" s="117">
        <f t="shared" si="17"/>
        <v>0</v>
      </c>
      <c r="N75" s="8">
        <f t="shared" si="18"/>
        <v>0</v>
      </c>
      <c r="O75" s="75">
        <f t="shared" si="19"/>
        <v>0</v>
      </c>
    </row>
    <row r="76" spans="2:15" x14ac:dyDescent="0.25">
      <c r="B76" s="72"/>
      <c r="C76" s="73">
        <f t="shared" si="22"/>
        <v>42826</v>
      </c>
      <c r="D76" s="73">
        <f t="shared" si="23"/>
        <v>42916</v>
      </c>
      <c r="E76" s="72">
        <f t="shared" si="20"/>
        <v>91</v>
      </c>
      <c r="F76" s="74">
        <f>VLOOKUP(D76,'FERC Interest Rate'!$A:$B,2,FALSE)</f>
        <v>3.7100000000000001E-2</v>
      </c>
      <c r="G76" s="75">
        <f t="shared" si="21"/>
        <v>0</v>
      </c>
      <c r="H76" s="75">
        <v>0</v>
      </c>
      <c r="I76" s="99">
        <v>0</v>
      </c>
      <c r="J76" s="76">
        <f t="shared" si="24"/>
        <v>0</v>
      </c>
      <c r="K76" s="116">
        <f t="shared" si="16"/>
        <v>0</v>
      </c>
      <c r="L76" s="76">
        <f t="shared" si="25"/>
        <v>0</v>
      </c>
      <c r="M76" s="117">
        <f t="shared" si="17"/>
        <v>0</v>
      </c>
      <c r="N76" s="8">
        <f t="shared" si="18"/>
        <v>0</v>
      </c>
      <c r="O76" s="75">
        <f t="shared" si="19"/>
        <v>0</v>
      </c>
    </row>
    <row r="77" spans="2:15" x14ac:dyDescent="0.25">
      <c r="B77" s="72"/>
      <c r="C77" s="73">
        <f t="shared" si="22"/>
        <v>42917</v>
      </c>
      <c r="D77" s="73">
        <f t="shared" si="23"/>
        <v>43008</v>
      </c>
      <c r="E77" s="72">
        <f t="shared" si="20"/>
        <v>92</v>
      </c>
      <c r="F77" s="74">
        <f>VLOOKUP(D77,'FERC Interest Rate'!$A:$B,2,FALSE)</f>
        <v>3.9600000000000003E-2</v>
      </c>
      <c r="G77" s="75">
        <f t="shared" si="21"/>
        <v>0</v>
      </c>
      <c r="H77" s="75">
        <v>0</v>
      </c>
      <c r="I77" s="99">
        <v>0</v>
      </c>
      <c r="J77" s="76">
        <f t="shared" si="24"/>
        <v>0</v>
      </c>
      <c r="K77" s="116">
        <f t="shared" si="16"/>
        <v>0</v>
      </c>
      <c r="L77" s="76">
        <f t="shared" si="25"/>
        <v>0</v>
      </c>
      <c r="M77" s="117">
        <f t="shared" si="17"/>
        <v>0</v>
      </c>
      <c r="N77" s="8">
        <f t="shared" si="18"/>
        <v>0</v>
      </c>
      <c r="O77" s="75">
        <f t="shared" si="19"/>
        <v>0</v>
      </c>
    </row>
    <row r="78" spans="2:15" x14ac:dyDescent="0.25">
      <c r="B78" s="72"/>
      <c r="C78" s="73">
        <f t="shared" si="22"/>
        <v>43009</v>
      </c>
      <c r="D78" s="73">
        <f t="shared" si="23"/>
        <v>43100</v>
      </c>
      <c r="E78" s="72">
        <f t="shared" si="20"/>
        <v>92</v>
      </c>
      <c r="F78" s="74">
        <f>VLOOKUP(D78,'FERC Interest Rate'!$A:$B,2,FALSE)</f>
        <v>4.2099999999999999E-2</v>
      </c>
      <c r="G78" s="75">
        <f t="shared" si="21"/>
        <v>0</v>
      </c>
      <c r="H78" s="75">
        <v>0</v>
      </c>
      <c r="I78" s="99">
        <v>0</v>
      </c>
      <c r="J78" s="76">
        <f t="shared" si="24"/>
        <v>0</v>
      </c>
      <c r="K78" s="116">
        <f t="shared" si="16"/>
        <v>0</v>
      </c>
      <c r="L78" s="76">
        <f t="shared" si="25"/>
        <v>0</v>
      </c>
      <c r="M78" s="117">
        <f t="shared" si="17"/>
        <v>0</v>
      </c>
      <c r="N78" s="8">
        <f t="shared" si="18"/>
        <v>0</v>
      </c>
      <c r="O78" s="75">
        <f t="shared" si="19"/>
        <v>0</v>
      </c>
    </row>
    <row r="79" spans="2:15" x14ac:dyDescent="0.25">
      <c r="B79" s="72"/>
      <c r="C79" s="73">
        <f t="shared" si="22"/>
        <v>43101</v>
      </c>
      <c r="D79" s="73">
        <f t="shared" si="23"/>
        <v>43190</v>
      </c>
      <c r="E79" s="72">
        <f t="shared" si="20"/>
        <v>90</v>
      </c>
      <c r="F79" s="74">
        <f>VLOOKUP(D79,'FERC Interest Rate'!$A:$B,2,FALSE)</f>
        <v>4.2500000000000003E-2</v>
      </c>
      <c r="G79" s="75">
        <f t="shared" si="21"/>
        <v>0</v>
      </c>
      <c r="H79" s="75">
        <v>0</v>
      </c>
      <c r="I79" s="99">
        <v>0</v>
      </c>
      <c r="J79" s="76">
        <f t="shared" si="24"/>
        <v>0</v>
      </c>
      <c r="K79" s="116">
        <f t="shared" si="16"/>
        <v>0</v>
      </c>
      <c r="L79" s="76">
        <f t="shared" si="25"/>
        <v>0</v>
      </c>
      <c r="M79" s="117">
        <f t="shared" si="17"/>
        <v>0</v>
      </c>
      <c r="N79" s="8">
        <f t="shared" si="18"/>
        <v>0</v>
      </c>
      <c r="O79" s="75">
        <f t="shared" si="19"/>
        <v>0</v>
      </c>
    </row>
    <row r="80" spans="2:15" x14ac:dyDescent="0.25">
      <c r="B80" s="72"/>
      <c r="C80" s="73">
        <f t="shared" si="22"/>
        <v>43191</v>
      </c>
      <c r="D80" s="73">
        <f t="shared" si="23"/>
        <v>43281</v>
      </c>
      <c r="E80" s="72">
        <f t="shared" si="20"/>
        <v>91</v>
      </c>
      <c r="F80" s="74">
        <f>VLOOKUP(D80,'FERC Interest Rate'!$A:$B,2,FALSE)</f>
        <v>4.4699999999999997E-2</v>
      </c>
      <c r="G80" s="75">
        <f t="shared" si="21"/>
        <v>0</v>
      </c>
      <c r="H80" s="75">
        <v>0</v>
      </c>
      <c r="I80" s="99">
        <v>0</v>
      </c>
      <c r="J80" s="76">
        <f t="shared" si="24"/>
        <v>0</v>
      </c>
      <c r="K80" s="116">
        <f t="shared" si="16"/>
        <v>0</v>
      </c>
      <c r="L80" s="76">
        <f t="shared" si="25"/>
        <v>0</v>
      </c>
      <c r="M80" s="117">
        <f t="shared" si="17"/>
        <v>0</v>
      </c>
      <c r="N80" s="8">
        <f t="shared" si="18"/>
        <v>0</v>
      </c>
      <c r="O80" s="75">
        <f t="shared" si="19"/>
        <v>0</v>
      </c>
    </row>
    <row r="81" spans="1:15" x14ac:dyDescent="0.25">
      <c r="B81" s="72"/>
      <c r="C81" s="73">
        <f t="shared" si="22"/>
        <v>43282</v>
      </c>
      <c r="D81" s="73">
        <f t="shared" si="23"/>
        <v>43373</v>
      </c>
      <c r="E81" s="72">
        <f t="shared" si="20"/>
        <v>92</v>
      </c>
      <c r="F81" s="74">
        <f>VLOOKUP(D81,'FERC Interest Rate'!$A:$B,2,FALSE)</f>
        <v>4.6899999999999997E-2</v>
      </c>
      <c r="G81" s="75">
        <f t="shared" si="21"/>
        <v>0</v>
      </c>
      <c r="H81" s="75">
        <v>0</v>
      </c>
      <c r="I81" s="99">
        <v>0</v>
      </c>
      <c r="J81" s="76">
        <f t="shared" si="24"/>
        <v>0</v>
      </c>
      <c r="K81" s="116">
        <f t="shared" si="16"/>
        <v>0</v>
      </c>
      <c r="L81" s="76">
        <f t="shared" si="25"/>
        <v>0</v>
      </c>
      <c r="M81" s="117">
        <f t="shared" si="17"/>
        <v>0</v>
      </c>
      <c r="N81" s="8">
        <f t="shared" si="18"/>
        <v>0</v>
      </c>
      <c r="O81" s="75">
        <f t="shared" si="19"/>
        <v>0</v>
      </c>
    </row>
    <row r="82" spans="1:15" x14ac:dyDescent="0.25">
      <c r="B82" s="72"/>
      <c r="C82" s="73">
        <f t="shared" si="22"/>
        <v>43374</v>
      </c>
      <c r="D82" s="73">
        <f t="shared" si="23"/>
        <v>43465</v>
      </c>
      <c r="E82" s="72">
        <f t="shared" si="20"/>
        <v>92</v>
      </c>
      <c r="F82" s="74">
        <f>VLOOKUP(D82,'FERC Interest Rate'!$A:$B,2,FALSE)</f>
        <v>4.9599999999999998E-2</v>
      </c>
      <c r="G82" s="75">
        <f t="shared" si="21"/>
        <v>0</v>
      </c>
      <c r="H82" s="75">
        <v>0</v>
      </c>
      <c r="I82" s="99">
        <v>0</v>
      </c>
      <c r="J82" s="76">
        <f t="shared" si="24"/>
        <v>0</v>
      </c>
      <c r="K82" s="116">
        <f t="shared" si="16"/>
        <v>0</v>
      </c>
      <c r="L82" s="76">
        <f t="shared" si="25"/>
        <v>0</v>
      </c>
      <c r="M82" s="117">
        <f t="shared" si="17"/>
        <v>0</v>
      </c>
      <c r="N82" s="8">
        <f t="shared" si="18"/>
        <v>0</v>
      </c>
      <c r="O82" s="75">
        <f t="shared" si="19"/>
        <v>0</v>
      </c>
    </row>
    <row r="83" spans="1:15" x14ac:dyDescent="0.25">
      <c r="B83" s="72"/>
      <c r="C83" s="73">
        <f t="shared" si="22"/>
        <v>43466</v>
      </c>
      <c r="D83" s="73">
        <f t="shared" si="23"/>
        <v>43555</v>
      </c>
      <c r="E83" s="72">
        <f t="shared" si="20"/>
        <v>90</v>
      </c>
      <c r="F83" s="74">
        <f>VLOOKUP(D83,'FERC Interest Rate'!$A:$B,2,FALSE)</f>
        <v>5.1799999999999999E-2</v>
      </c>
      <c r="G83" s="75">
        <f t="shared" si="21"/>
        <v>0</v>
      </c>
      <c r="H83" s="75">
        <v>0</v>
      </c>
      <c r="I83" s="99">
        <v>0</v>
      </c>
      <c r="J83" s="76">
        <f t="shared" si="24"/>
        <v>0</v>
      </c>
      <c r="K83" s="116">
        <f t="shared" si="16"/>
        <v>0</v>
      </c>
      <c r="L83" s="76">
        <f t="shared" si="25"/>
        <v>0</v>
      </c>
      <c r="M83" s="117">
        <f t="shared" si="17"/>
        <v>0</v>
      </c>
      <c r="N83" s="8">
        <f t="shared" si="18"/>
        <v>0</v>
      </c>
      <c r="O83" s="75">
        <f t="shared" si="19"/>
        <v>0</v>
      </c>
    </row>
    <row r="84" spans="1:15" x14ac:dyDescent="0.25">
      <c r="B84" s="72"/>
      <c r="C84" s="73">
        <f t="shared" si="22"/>
        <v>43556</v>
      </c>
      <c r="D84" s="73">
        <f t="shared" si="23"/>
        <v>43646</v>
      </c>
      <c r="E84" s="72">
        <f t="shared" si="20"/>
        <v>91</v>
      </c>
      <c r="F84" s="74">
        <f>VLOOKUP(D84,'FERC Interest Rate'!$A:$B,2,FALSE)</f>
        <v>5.45E-2</v>
      </c>
      <c r="G84" s="75">
        <f t="shared" si="21"/>
        <v>0</v>
      </c>
      <c r="H84" s="75">
        <v>0</v>
      </c>
      <c r="I84" s="99">
        <v>0</v>
      </c>
      <c r="J84" s="76">
        <f>G84*F84*(E84/(DATE(YEAR(D84),12,31)-DATE(YEAR(D84),1,1)+1))</f>
        <v>0</v>
      </c>
      <c r="K84" s="116">
        <f t="shared" si="16"/>
        <v>0</v>
      </c>
      <c r="L84" s="76">
        <f t="shared" si="25"/>
        <v>0</v>
      </c>
      <c r="M84" s="117">
        <f t="shared" si="17"/>
        <v>0</v>
      </c>
      <c r="N84" s="8">
        <f t="shared" si="18"/>
        <v>0</v>
      </c>
      <c r="O84" s="75">
        <f t="shared" si="19"/>
        <v>0</v>
      </c>
    </row>
    <row r="85" spans="1:15" x14ac:dyDescent="0.25">
      <c r="B85" s="72"/>
      <c r="C85" s="73">
        <f t="shared" si="22"/>
        <v>43647</v>
      </c>
      <c r="D85" s="73">
        <f t="shared" si="23"/>
        <v>43738</v>
      </c>
      <c r="E85" s="72">
        <f t="shared" si="20"/>
        <v>92</v>
      </c>
      <c r="F85" s="74">
        <f>VLOOKUP(D85,'FERC Interest Rate'!$A:$B,2,FALSE)</f>
        <v>5.5E-2</v>
      </c>
      <c r="G85" s="75">
        <f t="shared" si="21"/>
        <v>0</v>
      </c>
      <c r="H85" s="75">
        <v>0</v>
      </c>
      <c r="I85" s="99">
        <v>0</v>
      </c>
      <c r="J85" s="76">
        <f>G85*F85*(E85/(DATE(YEAR(D85),12,31)-DATE(YEAR(D85),1,1)+1))</f>
        <v>0</v>
      </c>
      <c r="K85" s="116">
        <f t="shared" si="16"/>
        <v>0</v>
      </c>
      <c r="L85" s="76">
        <f t="shared" si="25"/>
        <v>0</v>
      </c>
      <c r="M85" s="117">
        <f t="shared" si="17"/>
        <v>0</v>
      </c>
      <c r="N85" s="8">
        <f t="shared" si="18"/>
        <v>0</v>
      </c>
      <c r="O85" s="75">
        <f t="shared" si="19"/>
        <v>0</v>
      </c>
    </row>
    <row r="86" spans="1:15" x14ac:dyDescent="0.25">
      <c r="B86" s="11"/>
      <c r="C86" s="79"/>
      <c r="D86" s="79"/>
      <c r="E86" s="10"/>
      <c r="F86" s="11"/>
      <c r="G86" s="76"/>
      <c r="H86" s="76"/>
      <c r="I86" s="119"/>
      <c r="J86" s="12"/>
      <c r="K86" s="12"/>
      <c r="L86" s="76"/>
      <c r="M86" s="118"/>
    </row>
    <row r="87" spans="1:15" ht="13.5" thickBot="1" x14ac:dyDescent="0.35">
      <c r="A87" s="142"/>
      <c r="B87" s="142"/>
      <c r="C87" s="142"/>
      <c r="D87" s="142"/>
      <c r="E87" s="142"/>
      <c r="F87" s="142"/>
      <c r="G87" s="124">
        <f>+SUM(G58:G86)</f>
        <v>0</v>
      </c>
      <c r="H87" s="124">
        <f t="shared" ref="H87:O87" si="26">+SUM(H58:H86)</f>
        <v>0</v>
      </c>
      <c r="I87" s="125">
        <f t="shared" si="26"/>
        <v>0</v>
      </c>
      <c r="J87" s="124">
        <f t="shared" si="26"/>
        <v>0</v>
      </c>
      <c r="K87" s="124">
        <f t="shared" si="26"/>
        <v>0</v>
      </c>
      <c r="L87" s="124">
        <f t="shared" si="26"/>
        <v>0</v>
      </c>
      <c r="M87" s="126">
        <f t="shared" si="26"/>
        <v>0</v>
      </c>
      <c r="N87" s="124">
        <f t="shared" si="26"/>
        <v>0</v>
      </c>
      <c r="O87" s="124">
        <f t="shared" si="26"/>
        <v>0</v>
      </c>
    </row>
    <row r="88" spans="1:15" ht="13.5" thickTop="1" thickBot="1" x14ac:dyDescent="0.3">
      <c r="I88" s="106"/>
      <c r="J88" s="107"/>
      <c r="K88" s="107"/>
      <c r="L88" s="107"/>
      <c r="M88" s="108"/>
    </row>
  </sheetData>
  <mergeCells count="1">
    <mergeCell ref="A33:B33"/>
  </mergeCells>
  <pageMargins left="0.25" right="0.25" top="0.75" bottom="0.75" header="0.3" footer="0.3"/>
  <pageSetup scale="60" fitToHeight="0" orientation="landscape" r:id="rId1"/>
  <headerFooter alignWithMargins="0">
    <oddFooter>&amp;L&amp;D&amp;R&amp;A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E786-E1CE-44F9-8C16-3BC32C85F43A}">
  <sheetPr>
    <pageSetUpPr fitToPage="1"/>
  </sheetPr>
  <dimension ref="A1:I146"/>
  <sheetViews>
    <sheetView view="pageLayout" zoomScale="90" zoomScaleNormal="100" zoomScaleSheetLayoutView="70" zoomScalePageLayoutView="90" workbookViewId="0">
      <selection sqref="A1:I1"/>
    </sheetView>
  </sheetViews>
  <sheetFormatPr defaultColWidth="9.08984375" defaultRowHeight="10.5" x14ac:dyDescent="0.25"/>
  <cols>
    <col min="1" max="1" width="24.453125" style="287" customWidth="1"/>
    <col min="2" max="2" width="13.26953125" style="22" customWidth="1"/>
    <col min="3" max="3" width="13.6328125" style="22" customWidth="1"/>
    <col min="4" max="4" width="12.6328125" style="22" customWidth="1"/>
    <col min="5" max="5" width="12.453125" style="22" customWidth="1"/>
    <col min="6" max="6" width="14.6328125" style="22" customWidth="1"/>
    <col min="7" max="7" width="16.26953125" style="22" customWidth="1"/>
    <col min="8" max="8" width="14.453125" style="22" customWidth="1"/>
    <col min="9" max="9" width="14.54296875" style="22" customWidth="1"/>
    <col min="10" max="16384" width="9.08984375" style="287"/>
  </cols>
  <sheetData>
    <row r="1" spans="1:9" ht="15" x14ac:dyDescent="0.3">
      <c r="A1" s="335" t="s">
        <v>172</v>
      </c>
      <c r="B1" s="335"/>
      <c r="C1" s="335"/>
      <c r="D1" s="335"/>
      <c r="E1" s="335"/>
      <c r="F1" s="335"/>
      <c r="G1" s="335"/>
      <c r="H1" s="335"/>
      <c r="I1" s="335"/>
    </row>
    <row r="2" spans="1:9" ht="13" x14ac:dyDescent="0.3">
      <c r="A2" s="336">
        <v>2018</v>
      </c>
      <c r="B2" s="336"/>
      <c r="C2" s="336"/>
      <c r="D2" s="336"/>
      <c r="E2" s="336"/>
      <c r="F2" s="336"/>
      <c r="G2" s="336"/>
      <c r="H2" s="336"/>
      <c r="I2" s="336"/>
    </row>
    <row r="3" spans="1:9" x14ac:dyDescent="0.25">
      <c r="A3" s="288"/>
      <c r="B3" s="21"/>
      <c r="C3" s="21"/>
      <c r="D3" s="21"/>
      <c r="E3" s="21"/>
      <c r="F3" s="21"/>
      <c r="G3" s="21"/>
      <c r="H3" s="21"/>
      <c r="I3" s="21"/>
    </row>
    <row r="4" spans="1:9" x14ac:dyDescent="0.25">
      <c r="A4" s="288"/>
      <c r="B4" s="337" t="s">
        <v>28</v>
      </c>
      <c r="C4" s="337"/>
      <c r="D4" s="337"/>
      <c r="E4" s="337"/>
      <c r="F4" s="32"/>
      <c r="G4" s="21"/>
      <c r="H4" s="21"/>
      <c r="I4" s="21"/>
    </row>
    <row r="5" spans="1:9" s="292" customFormat="1" ht="21" x14ac:dyDescent="0.25">
      <c r="A5" s="289"/>
      <c r="B5" s="290">
        <f>DATE($A$2,3,31)</f>
        <v>43190</v>
      </c>
      <c r="C5" s="290">
        <f>DATE($A$2,6,30)</f>
        <v>43281</v>
      </c>
      <c r="D5" s="290">
        <f>DATE($A$2,9,30)</f>
        <v>43373</v>
      </c>
      <c r="E5" s="290">
        <f>DATE($A$2,12,31)</f>
        <v>43465</v>
      </c>
      <c r="F5" s="291" t="s">
        <v>0</v>
      </c>
      <c r="G5" s="291" t="s">
        <v>25</v>
      </c>
      <c r="H5" s="291" t="s">
        <v>27</v>
      </c>
      <c r="I5" s="291" t="s">
        <v>26</v>
      </c>
    </row>
    <row r="6" spans="1:9" s="295" customFormat="1" x14ac:dyDescent="0.25">
      <c r="A6" s="293"/>
      <c r="B6" s="294"/>
      <c r="C6" s="294"/>
      <c r="D6" s="294"/>
      <c r="E6" s="294"/>
      <c r="F6" s="294"/>
      <c r="G6" s="294"/>
      <c r="H6" s="294"/>
      <c r="I6" s="294"/>
    </row>
    <row r="7" spans="1:9" x14ac:dyDescent="0.25">
      <c r="A7" s="296" t="s">
        <v>41</v>
      </c>
      <c r="B7" s="30"/>
      <c r="C7" s="30"/>
      <c r="D7" s="30"/>
      <c r="E7" s="30"/>
      <c r="F7" s="31"/>
      <c r="G7" s="31"/>
      <c r="H7" s="31"/>
      <c r="I7" s="31"/>
    </row>
    <row r="8" spans="1:9" x14ac:dyDescent="0.25">
      <c r="A8" s="287" t="s">
        <v>29</v>
      </c>
      <c r="B8" s="21">
        <v>401861</v>
      </c>
      <c r="C8" s="21">
        <v>3825653.63</v>
      </c>
      <c r="D8" s="21">
        <v>630113.84199999995</v>
      </c>
      <c r="E8" s="21">
        <v>630113.84199999995</v>
      </c>
      <c r="F8" s="39">
        <v>5487742.3140000002</v>
      </c>
      <c r="G8" s="21">
        <v>12602276.84</v>
      </c>
      <c r="H8" s="21">
        <v>10711935.313999999</v>
      </c>
      <c r="I8" s="21">
        <v>1890341.5260000005</v>
      </c>
    </row>
    <row r="9" spans="1:9" x14ac:dyDescent="0.25">
      <c r="A9" s="287" t="s">
        <v>30</v>
      </c>
      <c r="B9" s="21">
        <v>45652.829920073949</v>
      </c>
      <c r="C9" s="21">
        <v>349995.9479187344</v>
      </c>
      <c r="D9" s="21">
        <v>71026.06575427606</v>
      </c>
      <c r="E9" s="21">
        <v>65002.313868133948</v>
      </c>
      <c r="F9" s="39">
        <v>531677.15746121842</v>
      </c>
    </row>
    <row r="10" spans="1:9" x14ac:dyDescent="0.25">
      <c r="A10" s="287" t="s">
        <v>31</v>
      </c>
      <c r="B10" s="21">
        <v>0</v>
      </c>
      <c r="C10" s="21">
        <v>0</v>
      </c>
      <c r="D10" s="21">
        <v>0</v>
      </c>
      <c r="E10" s="21">
        <v>0</v>
      </c>
      <c r="F10" s="39">
        <v>0</v>
      </c>
    </row>
    <row r="11" spans="1:9" x14ac:dyDescent="0.25">
      <c r="A11" s="287" t="s">
        <v>32</v>
      </c>
      <c r="B11" s="21">
        <v>0</v>
      </c>
      <c r="C11" s="21">
        <v>0</v>
      </c>
      <c r="D11" s="21">
        <v>0</v>
      </c>
      <c r="E11" s="21">
        <v>0</v>
      </c>
      <c r="F11" s="39">
        <v>0</v>
      </c>
    </row>
    <row r="12" spans="1:9" x14ac:dyDescent="0.25">
      <c r="A12" s="288"/>
      <c r="B12" s="21"/>
      <c r="C12" s="21"/>
      <c r="D12" s="21"/>
      <c r="E12" s="21"/>
      <c r="F12" s="39"/>
      <c r="G12" s="21"/>
      <c r="H12" s="21"/>
      <c r="I12" s="21"/>
    </row>
    <row r="13" spans="1:9" x14ac:dyDescent="0.25">
      <c r="A13" s="296" t="s">
        <v>173</v>
      </c>
      <c r="B13" s="30"/>
      <c r="C13" s="30"/>
      <c r="D13" s="30"/>
      <c r="E13" s="30"/>
      <c r="F13" s="31"/>
      <c r="G13" s="31"/>
      <c r="H13" s="31"/>
      <c r="I13" s="31"/>
    </row>
    <row r="14" spans="1:9" x14ac:dyDescent="0.25">
      <c r="A14" s="287" t="s">
        <v>29</v>
      </c>
      <c r="B14" s="21">
        <v>1974800</v>
      </c>
      <c r="C14" s="21">
        <v>1974800</v>
      </c>
      <c r="D14" s="21">
        <v>1974800</v>
      </c>
      <c r="E14" s="21">
        <v>1974800</v>
      </c>
      <c r="F14" s="39">
        <v>7899200</v>
      </c>
      <c r="G14" s="21">
        <v>39496000</v>
      </c>
      <c r="H14" s="21">
        <v>19748000</v>
      </c>
      <c r="I14" s="21">
        <v>19748000</v>
      </c>
    </row>
    <row r="15" spans="1:9" x14ac:dyDescent="0.25">
      <c r="A15" s="287" t="s">
        <v>30</v>
      </c>
      <c r="B15" s="21">
        <v>383421.11338757526</v>
      </c>
      <c r="C15" s="21">
        <v>379646.72006811912</v>
      </c>
      <c r="D15" s="21">
        <v>373434.94422888895</v>
      </c>
      <c r="E15" s="21">
        <v>364519.28519215621</v>
      </c>
      <c r="F15" s="39">
        <v>1501022.0628767395</v>
      </c>
      <c r="G15" s="60"/>
      <c r="H15" s="61"/>
      <c r="I15" s="61"/>
    </row>
    <row r="16" spans="1:9" x14ac:dyDescent="0.25">
      <c r="A16" s="287" t="s">
        <v>31</v>
      </c>
      <c r="B16" s="21">
        <v>0</v>
      </c>
      <c r="C16" s="21">
        <v>0</v>
      </c>
      <c r="D16" s="21">
        <v>0</v>
      </c>
      <c r="E16" s="21">
        <v>0</v>
      </c>
      <c r="F16" s="39">
        <v>0</v>
      </c>
      <c r="G16" s="37"/>
    </row>
    <row r="17" spans="1:9" x14ac:dyDescent="0.25">
      <c r="A17" s="287" t="s">
        <v>32</v>
      </c>
      <c r="B17" s="21">
        <v>0</v>
      </c>
      <c r="C17" s="21">
        <v>0</v>
      </c>
      <c r="D17" s="21">
        <v>0</v>
      </c>
      <c r="E17" s="21">
        <v>0</v>
      </c>
      <c r="F17" s="39">
        <v>0</v>
      </c>
    </row>
    <row r="18" spans="1:9" x14ac:dyDescent="0.25">
      <c r="B18" s="21"/>
      <c r="C18" s="21"/>
      <c r="D18" s="21"/>
      <c r="E18" s="21"/>
      <c r="F18" s="39"/>
    </row>
    <row r="19" spans="1:9" x14ac:dyDescent="0.25">
      <c r="A19" s="296" t="s">
        <v>46</v>
      </c>
      <c r="B19" s="30"/>
      <c r="C19" s="30"/>
      <c r="D19" s="30"/>
      <c r="E19" s="30"/>
      <c r="F19" s="31"/>
      <c r="G19" s="31"/>
      <c r="H19" s="31"/>
      <c r="I19" s="31"/>
    </row>
    <row r="20" spans="1:9" x14ac:dyDescent="0.25">
      <c r="A20" s="287" t="s">
        <v>29</v>
      </c>
      <c r="B20" s="21">
        <v>119750</v>
      </c>
      <c r="C20" s="21">
        <v>119750</v>
      </c>
      <c r="D20" s="21">
        <v>119750</v>
      </c>
      <c r="E20" s="21">
        <v>119750</v>
      </c>
      <c r="F20" s="39">
        <v>479000</v>
      </c>
      <c r="G20" s="21">
        <v>2395000</v>
      </c>
      <c r="H20" s="21">
        <v>1796250</v>
      </c>
      <c r="I20" s="21">
        <v>598750</v>
      </c>
    </row>
    <row r="21" spans="1:9" x14ac:dyDescent="0.25">
      <c r="A21" s="287" t="s">
        <v>30</v>
      </c>
      <c r="B21" s="21">
        <v>14936.360041780774</v>
      </c>
      <c r="C21" s="21">
        <v>14301.276382764214</v>
      </c>
      <c r="D21" s="21">
        <v>13512.901319166082</v>
      </c>
      <c r="E21" s="21">
        <v>12560.511871079443</v>
      </c>
      <c r="F21" s="39">
        <v>55311.049614790514</v>
      </c>
    </row>
    <row r="22" spans="1:9" x14ac:dyDescent="0.25">
      <c r="A22" s="287" t="s">
        <v>31</v>
      </c>
      <c r="B22" s="21">
        <v>0</v>
      </c>
      <c r="C22" s="21">
        <v>0</v>
      </c>
      <c r="D22" s="21">
        <v>0</v>
      </c>
      <c r="E22" s="21">
        <v>0</v>
      </c>
      <c r="F22" s="39">
        <v>0</v>
      </c>
    </row>
    <row r="23" spans="1:9" x14ac:dyDescent="0.25">
      <c r="A23" s="287" t="s">
        <v>32</v>
      </c>
      <c r="B23" s="21">
        <v>0</v>
      </c>
      <c r="C23" s="21">
        <v>0</v>
      </c>
      <c r="D23" s="21">
        <v>0</v>
      </c>
      <c r="E23" s="21">
        <v>0</v>
      </c>
      <c r="F23" s="39">
        <v>0</v>
      </c>
    </row>
    <row r="24" spans="1:9" x14ac:dyDescent="0.25">
      <c r="A24" s="288"/>
      <c r="B24" s="21"/>
      <c r="C24" s="21"/>
      <c r="D24" s="21"/>
      <c r="E24" s="21"/>
      <c r="F24" s="39"/>
      <c r="G24" s="21"/>
      <c r="H24" s="21"/>
      <c r="I24" s="21"/>
    </row>
    <row r="25" spans="1:9" x14ac:dyDescent="0.25">
      <c r="A25" s="296" t="s">
        <v>109</v>
      </c>
      <c r="B25" s="30"/>
      <c r="C25" s="30"/>
      <c r="D25" s="30"/>
      <c r="E25" s="30"/>
      <c r="F25" s="31"/>
      <c r="G25" s="31"/>
      <c r="H25" s="31"/>
      <c r="I25" s="31"/>
    </row>
    <row r="26" spans="1:9" x14ac:dyDescent="0.25">
      <c r="A26" s="287" t="s">
        <v>29</v>
      </c>
      <c r="B26" s="21">
        <v>120500</v>
      </c>
      <c r="C26" s="21">
        <v>120500</v>
      </c>
      <c r="D26" s="21">
        <v>120500</v>
      </c>
      <c r="E26" s="21">
        <v>120500</v>
      </c>
      <c r="F26" s="39">
        <v>482000</v>
      </c>
      <c r="G26" s="21">
        <v>2410000</v>
      </c>
      <c r="H26" s="21">
        <v>1325500</v>
      </c>
      <c r="I26" s="21">
        <v>1084500</v>
      </c>
    </row>
    <row r="27" spans="1:9" x14ac:dyDescent="0.25">
      <c r="A27" s="287" t="s">
        <v>30</v>
      </c>
      <c r="B27" s="21">
        <v>23020.098660188771</v>
      </c>
      <c r="C27" s="21">
        <v>22704.283500655853</v>
      </c>
      <c r="D27" s="21">
        <v>22237.239736349889</v>
      </c>
      <c r="E27" s="21">
        <v>21603.671476353331</v>
      </c>
      <c r="F27" s="39">
        <v>89565.293373547844</v>
      </c>
      <c r="G27" s="60"/>
      <c r="H27" s="61"/>
      <c r="I27" s="61"/>
    </row>
    <row r="28" spans="1:9" x14ac:dyDescent="0.25">
      <c r="A28" s="287" t="s">
        <v>31</v>
      </c>
      <c r="B28" s="21">
        <v>0</v>
      </c>
      <c r="C28" s="21">
        <v>0</v>
      </c>
      <c r="D28" s="21">
        <v>0</v>
      </c>
      <c r="E28" s="21">
        <v>0</v>
      </c>
      <c r="F28" s="39">
        <v>0</v>
      </c>
      <c r="G28" s="37"/>
    </row>
    <row r="29" spans="1:9" x14ac:dyDescent="0.25">
      <c r="A29" s="287" t="s">
        <v>32</v>
      </c>
      <c r="B29" s="21">
        <v>0</v>
      </c>
      <c r="C29" s="21">
        <v>0</v>
      </c>
      <c r="D29" s="21">
        <v>0</v>
      </c>
      <c r="E29" s="21">
        <v>0</v>
      </c>
      <c r="F29" s="39">
        <v>0</v>
      </c>
    </row>
    <row r="30" spans="1:9" x14ac:dyDescent="0.25">
      <c r="B30" s="21"/>
      <c r="C30" s="21"/>
      <c r="D30" s="21"/>
      <c r="E30" s="21"/>
      <c r="F30" s="39"/>
    </row>
    <row r="31" spans="1:9" x14ac:dyDescent="0.25">
      <c r="A31" s="296" t="s">
        <v>174</v>
      </c>
      <c r="B31" s="30"/>
      <c r="C31" s="30"/>
      <c r="D31" s="30"/>
      <c r="E31" s="30"/>
      <c r="F31" s="31"/>
      <c r="G31" s="31"/>
      <c r="H31" s="31"/>
      <c r="I31" s="31"/>
    </row>
    <row r="32" spans="1:9" x14ac:dyDescent="0.25">
      <c r="A32" s="287" t="s">
        <v>29</v>
      </c>
      <c r="B32" s="21">
        <v>3166350</v>
      </c>
      <c r="C32" s="21">
        <v>3166350</v>
      </c>
      <c r="D32" s="21">
        <v>3166350</v>
      </c>
      <c r="E32" s="21">
        <v>3166350</v>
      </c>
      <c r="F32" s="39">
        <v>12665400</v>
      </c>
      <c r="G32" s="21">
        <v>63327000</v>
      </c>
      <c r="H32" s="21">
        <v>31663500</v>
      </c>
      <c r="I32" s="21">
        <v>31663500</v>
      </c>
    </row>
    <row r="33" spans="1:9" x14ac:dyDescent="0.25">
      <c r="A33" s="287" t="s">
        <v>30</v>
      </c>
      <c r="B33" s="21">
        <v>580730.31500573503</v>
      </c>
      <c r="C33" s="21">
        <v>574733.01694571262</v>
      </c>
      <c r="D33" s="21">
        <v>564862.85556166351</v>
      </c>
      <c r="E33" s="21">
        <v>550696.37631076144</v>
      </c>
      <c r="F33" s="39">
        <v>2271022.5638238727</v>
      </c>
      <c r="G33" s="60"/>
      <c r="H33" s="61"/>
      <c r="I33" s="61"/>
    </row>
    <row r="34" spans="1:9" x14ac:dyDescent="0.25">
      <c r="A34" s="287" t="s">
        <v>31</v>
      </c>
      <c r="B34" s="21">
        <v>0</v>
      </c>
      <c r="C34" s="21">
        <v>0</v>
      </c>
      <c r="D34" s="21">
        <v>0</v>
      </c>
      <c r="E34" s="21">
        <v>0</v>
      </c>
      <c r="F34" s="39">
        <v>0</v>
      </c>
      <c r="G34" s="37"/>
    </row>
    <row r="35" spans="1:9" x14ac:dyDescent="0.25">
      <c r="A35" s="287" t="s">
        <v>32</v>
      </c>
      <c r="B35" s="21">
        <v>0</v>
      </c>
      <c r="C35" s="21">
        <v>0</v>
      </c>
      <c r="D35" s="21">
        <v>0</v>
      </c>
      <c r="E35" s="21">
        <v>0</v>
      </c>
      <c r="F35" s="39">
        <v>0</v>
      </c>
    </row>
    <row r="36" spans="1:9" x14ac:dyDescent="0.25">
      <c r="B36" s="21"/>
      <c r="C36" s="21"/>
      <c r="D36" s="21"/>
      <c r="E36" s="21"/>
      <c r="F36" s="39"/>
    </row>
    <row r="37" spans="1:9" x14ac:dyDescent="0.25">
      <c r="A37" s="296" t="s">
        <v>175</v>
      </c>
      <c r="B37" s="30"/>
      <c r="C37" s="30"/>
      <c r="D37" s="30"/>
      <c r="E37" s="30"/>
      <c r="F37" s="31"/>
      <c r="G37" s="31"/>
      <c r="H37" s="31"/>
      <c r="I37" s="31"/>
    </row>
    <row r="38" spans="1:9" x14ac:dyDescent="0.25">
      <c r="A38" s="287" t="s">
        <v>29</v>
      </c>
      <c r="B38" s="21">
        <v>309050</v>
      </c>
      <c r="C38" s="21">
        <v>309050</v>
      </c>
      <c r="D38" s="21">
        <v>309050</v>
      </c>
      <c r="E38" s="21">
        <v>309050</v>
      </c>
      <c r="F38" s="39">
        <v>1236200</v>
      </c>
      <c r="G38" s="21">
        <v>6181000</v>
      </c>
      <c r="H38" s="21">
        <v>4635750</v>
      </c>
      <c r="I38" s="21">
        <v>1545250</v>
      </c>
    </row>
    <row r="39" spans="1:9" x14ac:dyDescent="0.25">
      <c r="A39" s="287" t="s">
        <v>30</v>
      </c>
      <c r="B39" s="21">
        <v>48866.493205684223</v>
      </c>
      <c r="C39" s="21">
        <v>47178.817363401969</v>
      </c>
      <c r="D39" s="21">
        <v>45083.783849939151</v>
      </c>
      <c r="E39" s="21">
        <v>42552.897342058728</v>
      </c>
      <c r="F39" s="39">
        <v>183681.99176108406</v>
      </c>
      <c r="G39" s="60"/>
      <c r="H39" s="61"/>
      <c r="I39" s="61"/>
    </row>
    <row r="40" spans="1:9" x14ac:dyDescent="0.25">
      <c r="A40" s="287" t="s">
        <v>31</v>
      </c>
      <c r="B40" s="21">
        <v>0</v>
      </c>
      <c r="C40" s="21">
        <v>0</v>
      </c>
      <c r="D40" s="21">
        <v>0</v>
      </c>
      <c r="E40" s="21">
        <v>0</v>
      </c>
      <c r="F40" s="39">
        <v>0</v>
      </c>
      <c r="G40" s="37"/>
    </row>
    <row r="41" spans="1:9" x14ac:dyDescent="0.25">
      <c r="A41" s="287" t="s">
        <v>32</v>
      </c>
      <c r="B41" s="21">
        <v>0</v>
      </c>
      <c r="C41" s="21">
        <v>0</v>
      </c>
      <c r="D41" s="21">
        <v>0</v>
      </c>
      <c r="E41" s="21">
        <v>0</v>
      </c>
      <c r="F41" s="39">
        <v>0</v>
      </c>
    </row>
    <row r="42" spans="1:9" x14ac:dyDescent="0.25">
      <c r="B42" s="21"/>
      <c r="C42" s="21"/>
      <c r="D42" s="21"/>
      <c r="E42" s="21"/>
      <c r="F42" s="39"/>
    </row>
    <row r="43" spans="1:9" x14ac:dyDescent="0.25">
      <c r="A43" s="296" t="s">
        <v>144</v>
      </c>
      <c r="B43" s="30"/>
      <c r="C43" s="30"/>
      <c r="D43" s="30"/>
      <c r="E43" s="30"/>
      <c r="F43" s="31"/>
      <c r="G43" s="31"/>
      <c r="H43" s="31"/>
      <c r="I43" s="31"/>
    </row>
    <row r="44" spans="1:9" x14ac:dyDescent="0.25">
      <c r="A44" s="287" t="s">
        <v>29</v>
      </c>
      <c r="B44" s="21">
        <v>85863.758999999991</v>
      </c>
      <c r="C44" s="21">
        <v>85863.758999999991</v>
      </c>
      <c r="D44" s="21">
        <v>85863.758999999991</v>
      </c>
      <c r="E44" s="21">
        <v>85863.758999999991</v>
      </c>
      <c r="F44" s="39">
        <v>343455.03599999996</v>
      </c>
      <c r="G44" s="21">
        <v>1717275.18</v>
      </c>
      <c r="H44" s="21">
        <v>772773.83099999977</v>
      </c>
      <c r="I44" s="21">
        <v>944501.34900000016</v>
      </c>
    </row>
    <row r="45" spans="1:9" x14ac:dyDescent="0.25">
      <c r="A45" s="287" t="s">
        <v>30</v>
      </c>
      <c r="B45" s="21">
        <v>14304.723326397443</v>
      </c>
      <c r="C45" s="21">
        <v>14203.410569605878</v>
      </c>
      <c r="D45" s="21">
        <v>14000.54790069318</v>
      </c>
      <c r="E45" s="21">
        <v>13684.182691049111</v>
      </c>
      <c r="F45" s="39">
        <v>56192.86448774561</v>
      </c>
      <c r="G45" s="60"/>
      <c r="H45" s="61"/>
      <c r="I45" s="61"/>
    </row>
    <row r="46" spans="1:9" x14ac:dyDescent="0.25">
      <c r="A46" s="287" t="s">
        <v>31</v>
      </c>
      <c r="B46" s="21">
        <v>0</v>
      </c>
      <c r="C46" s="21">
        <v>0</v>
      </c>
      <c r="D46" s="21">
        <v>0</v>
      </c>
      <c r="E46" s="21">
        <v>0</v>
      </c>
      <c r="F46" s="39">
        <v>0</v>
      </c>
      <c r="G46" s="37"/>
    </row>
    <row r="47" spans="1:9" x14ac:dyDescent="0.25">
      <c r="A47" s="287" t="s">
        <v>32</v>
      </c>
      <c r="B47" s="21">
        <v>0</v>
      </c>
      <c r="C47" s="21">
        <v>0</v>
      </c>
      <c r="D47" s="21">
        <v>0</v>
      </c>
      <c r="E47" s="21">
        <v>0</v>
      </c>
      <c r="F47" s="39">
        <v>0</v>
      </c>
    </row>
    <row r="48" spans="1:9" x14ac:dyDescent="0.25">
      <c r="A48" s="288"/>
      <c r="B48" s="21"/>
      <c r="C48" s="21"/>
      <c r="D48" s="21"/>
      <c r="E48" s="21"/>
      <c r="F48" s="39"/>
      <c r="G48" s="21"/>
      <c r="H48" s="21"/>
      <c r="I48" s="21"/>
    </row>
    <row r="49" spans="1:9" x14ac:dyDescent="0.25">
      <c r="A49" s="296" t="s">
        <v>176</v>
      </c>
      <c r="B49" s="30"/>
      <c r="C49" s="30"/>
      <c r="D49" s="30"/>
      <c r="E49" s="30"/>
      <c r="F49" s="31"/>
      <c r="G49" s="31"/>
      <c r="H49" s="31"/>
      <c r="I49" s="31"/>
    </row>
    <row r="50" spans="1:9" x14ac:dyDescent="0.25">
      <c r="A50" s="287" t="s">
        <v>29</v>
      </c>
      <c r="B50" s="21">
        <v>56750</v>
      </c>
      <c r="C50" s="21">
        <v>56750</v>
      </c>
      <c r="D50" s="21">
        <v>56750</v>
      </c>
      <c r="E50" s="21">
        <v>56750</v>
      </c>
      <c r="F50" s="39">
        <v>227000</v>
      </c>
      <c r="G50" s="21">
        <v>1135000</v>
      </c>
      <c r="H50" s="21">
        <v>964750</v>
      </c>
      <c r="I50" s="21">
        <v>170250</v>
      </c>
    </row>
    <row r="51" spans="1:9" x14ac:dyDescent="0.25">
      <c r="A51" s="287" t="s">
        <v>30</v>
      </c>
      <c r="B51" s="21">
        <v>4461.2689593497807</v>
      </c>
      <c r="C51" s="21">
        <v>4091.1655737051933</v>
      </c>
      <c r="D51" s="21">
        <v>3648.6601664008208</v>
      </c>
      <c r="E51" s="21">
        <v>3129.7529710264544</v>
      </c>
      <c r="F51" s="39">
        <v>15330.84767048225</v>
      </c>
      <c r="G51" s="37"/>
    </row>
    <row r="52" spans="1:9" x14ac:dyDescent="0.25">
      <c r="A52" s="287" t="s">
        <v>31</v>
      </c>
      <c r="B52" s="21">
        <v>0</v>
      </c>
      <c r="C52" s="21">
        <v>0</v>
      </c>
      <c r="D52" s="21">
        <v>0</v>
      </c>
      <c r="E52" s="21">
        <v>0</v>
      </c>
      <c r="F52" s="39">
        <v>0</v>
      </c>
      <c r="G52" s="37"/>
    </row>
    <row r="53" spans="1:9" x14ac:dyDescent="0.25">
      <c r="A53" s="287" t="s">
        <v>32</v>
      </c>
      <c r="B53" s="21">
        <v>0</v>
      </c>
      <c r="C53" s="21">
        <v>0</v>
      </c>
      <c r="D53" s="21">
        <v>0</v>
      </c>
      <c r="E53" s="21">
        <v>0</v>
      </c>
      <c r="F53" s="39">
        <v>0</v>
      </c>
    </row>
    <row r="54" spans="1:9" x14ac:dyDescent="0.25">
      <c r="A54" s="288"/>
      <c r="B54" s="21"/>
      <c r="C54" s="21"/>
      <c r="D54" s="21"/>
      <c r="E54" s="21"/>
      <c r="F54" s="39"/>
      <c r="G54" s="21"/>
      <c r="H54" s="21"/>
      <c r="I54" s="21"/>
    </row>
    <row r="55" spans="1:9" x14ac:dyDescent="0.25">
      <c r="A55" s="296" t="s">
        <v>177</v>
      </c>
      <c r="B55" s="30"/>
      <c r="C55" s="30"/>
      <c r="D55" s="30"/>
      <c r="E55" s="30"/>
      <c r="F55" s="31"/>
      <c r="G55" s="31"/>
      <c r="H55" s="31"/>
      <c r="I55" s="31"/>
    </row>
    <row r="56" spans="1:9" x14ac:dyDescent="0.25">
      <c r="A56" s="287" t="s">
        <v>29</v>
      </c>
      <c r="B56" s="21">
        <v>29050</v>
      </c>
      <c r="C56" s="21">
        <v>29050</v>
      </c>
      <c r="D56" s="21">
        <v>29050</v>
      </c>
      <c r="E56" s="21">
        <v>29050</v>
      </c>
      <c r="F56" s="39">
        <v>116200</v>
      </c>
      <c r="G56" s="21">
        <v>581000</v>
      </c>
      <c r="H56" s="21">
        <v>493850</v>
      </c>
      <c r="I56" s="21">
        <v>87150</v>
      </c>
    </row>
    <row r="57" spans="1:9" x14ac:dyDescent="0.25">
      <c r="A57" s="287" t="s">
        <v>30</v>
      </c>
      <c r="B57" s="21">
        <v>2278.1452509617202</v>
      </c>
      <c r="C57" s="21">
        <v>2088.7250213133807</v>
      </c>
      <c r="D57" s="21">
        <v>1862.2491793638596</v>
      </c>
      <c r="E57" s="21">
        <v>1596.6706304327281</v>
      </c>
      <c r="F57" s="39">
        <v>7825.7900820716886</v>
      </c>
    </row>
    <row r="58" spans="1:9" x14ac:dyDescent="0.25">
      <c r="A58" s="287" t="s">
        <v>31</v>
      </c>
      <c r="B58" s="21">
        <v>0</v>
      </c>
      <c r="C58" s="21">
        <v>0</v>
      </c>
      <c r="D58" s="21">
        <v>0</v>
      </c>
      <c r="E58" s="21">
        <v>0</v>
      </c>
      <c r="F58" s="39">
        <v>0</v>
      </c>
    </row>
    <row r="59" spans="1:9" x14ac:dyDescent="0.25">
      <c r="A59" s="287" t="s">
        <v>32</v>
      </c>
      <c r="B59" s="21">
        <v>0</v>
      </c>
      <c r="C59" s="21">
        <v>0</v>
      </c>
      <c r="D59" s="21">
        <v>0</v>
      </c>
      <c r="E59" s="21">
        <v>0</v>
      </c>
      <c r="F59" s="39">
        <v>0</v>
      </c>
    </row>
    <row r="60" spans="1:9" x14ac:dyDescent="0.25">
      <c r="A60" s="288"/>
      <c r="B60" s="21"/>
      <c r="C60" s="21"/>
      <c r="D60" s="21"/>
      <c r="E60" s="21"/>
      <c r="F60" s="39"/>
      <c r="G60" s="21"/>
      <c r="H60" s="21"/>
      <c r="I60" s="21"/>
    </row>
    <row r="61" spans="1:9" x14ac:dyDescent="0.25">
      <c r="A61" s="296" t="s">
        <v>107</v>
      </c>
      <c r="B61" s="258"/>
      <c r="C61" s="30"/>
      <c r="D61" s="30"/>
      <c r="E61" s="30"/>
      <c r="F61" s="31"/>
      <c r="G61" s="31"/>
      <c r="H61" s="31"/>
      <c r="I61" s="31"/>
    </row>
    <row r="62" spans="1:9" x14ac:dyDescent="0.25">
      <c r="A62" s="287" t="s">
        <v>29</v>
      </c>
      <c r="B62" s="21">
        <v>51443.731314192344</v>
      </c>
      <c r="C62" s="21">
        <v>51443.731314192344</v>
      </c>
      <c r="D62" s="21">
        <v>51443.731314192344</v>
      </c>
      <c r="E62" s="21">
        <v>51443.731314192344</v>
      </c>
      <c r="F62" s="39">
        <v>205774.92525676938</v>
      </c>
      <c r="G62" s="21">
        <v>1021796</v>
      </c>
      <c r="H62" s="21">
        <v>558802.41817226901</v>
      </c>
      <c r="I62" s="21">
        <v>462993.58182773099</v>
      </c>
    </row>
    <row r="63" spans="1:9" x14ac:dyDescent="0.25">
      <c r="A63" s="287" t="s">
        <v>30</v>
      </c>
      <c r="B63" s="21">
        <v>7910.7898934546192</v>
      </c>
      <c r="C63" s="21">
        <v>7780.1806076529483</v>
      </c>
      <c r="D63" s="21">
        <v>7587.0288520996546</v>
      </c>
      <c r="E63" s="21">
        <v>7325.0088209296973</v>
      </c>
      <c r="F63" s="39">
        <v>30603.008174136921</v>
      </c>
      <c r="G63" s="60"/>
      <c r="H63" s="61"/>
      <c r="I63" s="61"/>
    </row>
    <row r="64" spans="1:9" x14ac:dyDescent="0.25">
      <c r="A64" s="287" t="s">
        <v>31</v>
      </c>
      <c r="B64" s="21">
        <v>914.8</v>
      </c>
      <c r="C64" s="21">
        <v>914.8</v>
      </c>
      <c r="D64" s="21">
        <v>914.8</v>
      </c>
      <c r="E64" s="21">
        <v>914.8</v>
      </c>
      <c r="F64" s="39">
        <v>3659.2</v>
      </c>
      <c r="G64" s="37"/>
    </row>
    <row r="65" spans="1:9" x14ac:dyDescent="0.25">
      <c r="A65" s="287" t="s">
        <v>32</v>
      </c>
      <c r="B65" s="21">
        <v>204.86051199435201</v>
      </c>
      <c r="C65" s="21">
        <v>202.39670541590593</v>
      </c>
      <c r="D65" s="21">
        <v>198.75310103471941</v>
      </c>
      <c r="E65" s="21">
        <v>193.81036918744888</v>
      </c>
      <c r="F65" s="39">
        <v>799.82068763242614</v>
      </c>
    </row>
    <row r="66" spans="1:9" x14ac:dyDescent="0.25">
      <c r="A66" s="288"/>
      <c r="B66" s="21"/>
      <c r="C66" s="21"/>
      <c r="D66" s="21"/>
      <c r="E66" s="21"/>
      <c r="F66" s="21"/>
      <c r="G66" s="21"/>
      <c r="H66" s="21"/>
      <c r="I66" s="21"/>
    </row>
    <row r="67" spans="1:9" x14ac:dyDescent="0.25">
      <c r="A67" s="296" t="s">
        <v>108</v>
      </c>
      <c r="B67" s="30"/>
      <c r="C67" s="258"/>
      <c r="D67" s="30"/>
      <c r="E67" s="30"/>
      <c r="F67" s="31"/>
      <c r="G67" s="31"/>
      <c r="H67" s="31"/>
      <c r="I67" s="31"/>
    </row>
    <row r="68" spans="1:9" x14ac:dyDescent="0.25">
      <c r="A68" s="287" t="s">
        <v>29</v>
      </c>
      <c r="B68" s="21">
        <v>51438.226552287582</v>
      </c>
      <c r="C68" s="21">
        <v>51438.226552287582</v>
      </c>
      <c r="D68" s="21">
        <v>51438.226552287582</v>
      </c>
      <c r="E68" s="21">
        <v>51438.226552287582</v>
      </c>
      <c r="F68" s="39">
        <v>205752.90620915033</v>
      </c>
      <c r="G68" s="21">
        <v>1021796</v>
      </c>
      <c r="H68" s="21">
        <v>558851.96102941176</v>
      </c>
      <c r="I68" s="21">
        <v>462944.03897058824</v>
      </c>
    </row>
    <row r="69" spans="1:9" x14ac:dyDescent="0.25">
      <c r="A69" s="287" t="s">
        <v>30</v>
      </c>
      <c r="B69" s="21">
        <v>7910.0399639047173</v>
      </c>
      <c r="C69" s="21">
        <v>7779.4444415159614</v>
      </c>
      <c r="D69" s="21">
        <v>7586.3130400083282</v>
      </c>
      <c r="E69" s="21">
        <v>7324.320620120825</v>
      </c>
      <c r="F69" s="39">
        <v>30600.118065549832</v>
      </c>
      <c r="G69" s="60"/>
      <c r="H69" s="61"/>
      <c r="I69" s="61"/>
    </row>
    <row r="70" spans="1:9" x14ac:dyDescent="0.25">
      <c r="A70" s="287" t="s">
        <v>31</v>
      </c>
      <c r="B70" s="21">
        <v>914.8</v>
      </c>
      <c r="C70" s="21">
        <v>914.8</v>
      </c>
      <c r="D70" s="21">
        <v>914.8</v>
      </c>
      <c r="E70" s="21">
        <v>914.8</v>
      </c>
      <c r="F70" s="39">
        <v>3659.2</v>
      </c>
      <c r="G70" s="37"/>
    </row>
    <row r="71" spans="1:9" x14ac:dyDescent="0.25">
      <c r="A71" s="287" t="s">
        <v>32</v>
      </c>
      <c r="B71" s="21">
        <v>204.86051199435201</v>
      </c>
      <c r="C71" s="21">
        <v>202.39670541590593</v>
      </c>
      <c r="D71" s="21">
        <v>198.75310103471941</v>
      </c>
      <c r="E71" s="21">
        <v>193.81036918744888</v>
      </c>
      <c r="F71" s="39">
        <v>799.82068763242614</v>
      </c>
    </row>
    <row r="72" spans="1:9" x14ac:dyDescent="0.25">
      <c r="A72" s="288"/>
      <c r="B72" s="21"/>
      <c r="C72" s="21"/>
      <c r="D72" s="21"/>
      <c r="E72" s="21"/>
      <c r="F72" s="21"/>
      <c r="G72" s="21"/>
      <c r="H72" s="21"/>
      <c r="I72" s="21"/>
    </row>
    <row r="73" spans="1:9" x14ac:dyDescent="0.25">
      <c r="A73" s="296" t="s">
        <v>49</v>
      </c>
      <c r="B73" s="30"/>
      <c r="C73" s="30"/>
      <c r="D73" s="30"/>
      <c r="E73" s="30"/>
      <c r="F73" s="31"/>
      <c r="G73" s="31"/>
      <c r="H73" s="31"/>
      <c r="I73" s="31"/>
    </row>
    <row r="74" spans="1:9" x14ac:dyDescent="0.25">
      <c r="A74" s="287" t="s">
        <v>29</v>
      </c>
      <c r="B74" s="21">
        <v>284132.8</v>
      </c>
      <c r="C74" s="21">
        <v>284132.8</v>
      </c>
      <c r="D74" s="21">
        <v>284132.8</v>
      </c>
      <c r="E74" s="21">
        <v>284132.8</v>
      </c>
      <c r="F74" s="39">
        <v>1136531.2</v>
      </c>
      <c r="G74" s="21">
        <v>5682656</v>
      </c>
      <c r="H74" s="21">
        <v>2557195.1999999997</v>
      </c>
      <c r="I74" s="21">
        <v>3125460.8000000003</v>
      </c>
    </row>
    <row r="75" spans="1:9" x14ac:dyDescent="0.25">
      <c r="A75" s="287" t="s">
        <v>30</v>
      </c>
      <c r="B75" s="21">
        <v>52403.731696879811</v>
      </c>
      <c r="C75" s="21">
        <v>52063.350740760463</v>
      </c>
      <c r="D75" s="21">
        <v>51381.792056620754</v>
      </c>
      <c r="E75" s="21">
        <v>50318.898340648848</v>
      </c>
      <c r="F75" s="39">
        <v>206167.77283490988</v>
      </c>
      <c r="G75" s="60"/>
      <c r="H75" s="61"/>
      <c r="I75" s="61"/>
    </row>
    <row r="76" spans="1:9" x14ac:dyDescent="0.25">
      <c r="A76" s="287" t="s">
        <v>31</v>
      </c>
      <c r="B76" s="21">
        <v>1824.7</v>
      </c>
      <c r="C76" s="21">
        <v>1824.7</v>
      </c>
      <c r="D76" s="21">
        <v>1824.7</v>
      </c>
      <c r="E76" s="21">
        <v>1824.7</v>
      </c>
      <c r="F76" s="39">
        <v>7298.8</v>
      </c>
      <c r="G76" s="37"/>
    </row>
    <row r="77" spans="1:9" x14ac:dyDescent="0.25">
      <c r="A77" s="287" t="s">
        <v>32</v>
      </c>
      <c r="B77" s="21">
        <v>421.02074137327412</v>
      </c>
      <c r="C77" s="21">
        <v>418.74936664533158</v>
      </c>
      <c r="D77" s="21">
        <v>414.20130030103888</v>
      </c>
      <c r="E77" s="21">
        <v>407.10857116462711</v>
      </c>
      <c r="F77" s="39">
        <v>1661.0799794842717</v>
      </c>
    </row>
    <row r="78" spans="1:9" x14ac:dyDescent="0.25">
      <c r="A78" s="288"/>
      <c r="B78" s="21"/>
      <c r="C78" s="21"/>
      <c r="D78" s="21"/>
      <c r="E78" s="21"/>
      <c r="F78" s="39"/>
      <c r="G78" s="21"/>
      <c r="H78" s="21"/>
      <c r="I78" s="21"/>
    </row>
    <row r="79" spans="1:9" x14ac:dyDescent="0.25">
      <c r="A79" s="296" t="s">
        <v>178</v>
      </c>
      <c r="B79" s="30"/>
      <c r="C79" s="30"/>
      <c r="D79" s="30"/>
      <c r="E79" s="30"/>
      <c r="F79" s="31"/>
      <c r="G79" s="31"/>
      <c r="H79" s="31"/>
      <c r="I79" s="31"/>
    </row>
    <row r="80" spans="1:9" x14ac:dyDescent="0.25">
      <c r="A80" s="287" t="s">
        <v>29</v>
      </c>
      <c r="B80" s="21">
        <v>36261.35</v>
      </c>
      <c r="C80" s="21">
        <v>36261.35</v>
      </c>
      <c r="D80" s="21">
        <v>36261.35</v>
      </c>
      <c r="E80" s="21">
        <v>36261.35</v>
      </c>
      <c r="F80" s="39">
        <v>145045.4</v>
      </c>
      <c r="G80" s="21">
        <v>725227</v>
      </c>
      <c r="H80" s="21">
        <v>326352.14999999997</v>
      </c>
      <c r="I80" s="21">
        <v>398874.85000000003</v>
      </c>
    </row>
    <row r="81" spans="1:9" x14ac:dyDescent="0.25">
      <c r="A81" s="287" t="s">
        <v>30</v>
      </c>
      <c r="B81" s="21">
        <v>10564.939751757103</v>
      </c>
      <c r="C81" s="21">
        <v>10517.578541974444</v>
      </c>
      <c r="D81" s="21">
        <v>10422.74525815402</v>
      </c>
      <c r="E81" s="21">
        <v>10274.852341838319</v>
      </c>
      <c r="F81" s="39">
        <v>41780.115893723887</v>
      </c>
      <c r="G81" s="60"/>
      <c r="H81" s="61"/>
      <c r="I81" s="61"/>
    </row>
    <row r="82" spans="1:9" x14ac:dyDescent="0.25">
      <c r="A82" s="287" t="s">
        <v>31</v>
      </c>
      <c r="B82" s="21">
        <v>0</v>
      </c>
      <c r="C82" s="21">
        <v>0</v>
      </c>
      <c r="D82" s="21">
        <v>0</v>
      </c>
      <c r="E82" s="21">
        <v>0</v>
      </c>
      <c r="F82" s="39">
        <v>0</v>
      </c>
      <c r="G82" s="37"/>
    </row>
    <row r="83" spans="1:9" x14ac:dyDescent="0.25">
      <c r="A83" s="287" t="s">
        <v>32</v>
      </c>
      <c r="B83" s="21">
        <v>0</v>
      </c>
      <c r="C83" s="21">
        <v>0</v>
      </c>
      <c r="D83" s="21">
        <v>0</v>
      </c>
      <c r="E83" s="21">
        <v>0</v>
      </c>
      <c r="F83" s="39">
        <v>0</v>
      </c>
    </row>
    <row r="84" spans="1:9" x14ac:dyDescent="0.25">
      <c r="B84" s="21"/>
      <c r="C84" s="21"/>
      <c r="D84" s="21"/>
      <c r="E84" s="21"/>
      <c r="F84" s="39"/>
    </row>
    <row r="85" spans="1:9" x14ac:dyDescent="0.25">
      <c r="A85" s="296" t="s">
        <v>143</v>
      </c>
      <c r="B85" s="258"/>
      <c r="C85" s="30"/>
      <c r="D85" s="30"/>
      <c r="E85" s="30"/>
      <c r="F85" s="31"/>
      <c r="G85" s="31"/>
      <c r="H85" s="31"/>
      <c r="I85" s="31"/>
    </row>
    <row r="86" spans="1:9" x14ac:dyDescent="0.25">
      <c r="A86" s="287" t="s">
        <v>29</v>
      </c>
      <c r="B86" s="21">
        <v>123668.0365</v>
      </c>
      <c r="C86" s="21">
        <v>123668.0365</v>
      </c>
      <c r="D86" s="21">
        <v>123668.0365</v>
      </c>
      <c r="E86" s="21">
        <v>123668.0365</v>
      </c>
      <c r="F86" s="39">
        <v>494672.14600000001</v>
      </c>
      <c r="G86" s="21">
        <v>2473360.73</v>
      </c>
      <c r="H86" s="21">
        <v>989344.29200000013</v>
      </c>
      <c r="I86" s="21">
        <v>1484016.4379999998</v>
      </c>
    </row>
    <row r="87" spans="1:9" x14ac:dyDescent="0.25">
      <c r="A87" s="287" t="s">
        <v>30</v>
      </c>
      <c r="B87" s="21">
        <v>24892.167079200197</v>
      </c>
      <c r="C87" s="21">
        <v>24827.856057237826</v>
      </c>
      <c r="D87" s="21">
        <v>24615.821397835603</v>
      </c>
      <c r="E87" s="21">
        <v>24237.414647470567</v>
      </c>
      <c r="F87" s="39">
        <v>98573.259181744186</v>
      </c>
      <c r="G87" s="60"/>
      <c r="H87" s="61"/>
      <c r="I87" s="61"/>
    </row>
    <row r="88" spans="1:9" x14ac:dyDescent="0.25">
      <c r="A88" s="287" t="s">
        <v>31</v>
      </c>
      <c r="B88" s="21">
        <v>557.70900000000006</v>
      </c>
      <c r="C88" s="21">
        <v>557.70900000000006</v>
      </c>
      <c r="D88" s="21">
        <v>557.70900000000006</v>
      </c>
      <c r="E88" s="21">
        <v>557.70900000000006</v>
      </c>
      <c r="F88" s="39">
        <v>2230.8360000000002</v>
      </c>
      <c r="G88" s="37"/>
    </row>
    <row r="89" spans="1:9" x14ac:dyDescent="0.25">
      <c r="A89" s="287" t="s">
        <v>32</v>
      </c>
      <c r="B89" s="21">
        <v>136.66217367453876</v>
      </c>
      <c r="C89" s="21">
        <v>136.36158361929955</v>
      </c>
      <c r="D89" s="21">
        <v>135.37053250492551</v>
      </c>
      <c r="E89" s="21">
        <v>133.6018573614692</v>
      </c>
      <c r="F89" s="39">
        <v>541.99614716023302</v>
      </c>
    </row>
    <row r="90" spans="1:9" x14ac:dyDescent="0.25">
      <c r="B90" s="21"/>
      <c r="C90" s="21"/>
      <c r="D90" s="21"/>
      <c r="E90" s="21"/>
      <c r="F90" s="39"/>
    </row>
    <row r="91" spans="1:9" x14ac:dyDescent="0.25">
      <c r="A91" s="296" t="s">
        <v>48</v>
      </c>
      <c r="B91" s="30"/>
      <c r="C91" s="30"/>
      <c r="D91" s="30"/>
      <c r="E91" s="30"/>
      <c r="F91" s="31"/>
      <c r="G91" s="31"/>
      <c r="H91" s="31"/>
      <c r="I91" s="31"/>
    </row>
    <row r="92" spans="1:9" x14ac:dyDescent="0.25">
      <c r="A92" s="287" t="s">
        <v>29</v>
      </c>
      <c r="B92" s="21">
        <v>25432.191700639516</v>
      </c>
      <c r="C92" s="21">
        <v>25432.191700639516</v>
      </c>
      <c r="D92" s="21">
        <v>25432.191700639516</v>
      </c>
      <c r="E92" s="21">
        <v>25432.191700639516</v>
      </c>
      <c r="F92" s="39">
        <v>101728.76680255806</v>
      </c>
      <c r="G92" s="21">
        <v>508643.83401279029</v>
      </c>
      <c r="H92" s="21">
        <v>254321.9170063952</v>
      </c>
      <c r="I92" s="21">
        <v>254321.91700639509</v>
      </c>
    </row>
    <row r="93" spans="1:9" x14ac:dyDescent="0.25">
      <c r="A93" s="287" t="s">
        <v>30</v>
      </c>
      <c r="B93" s="21">
        <v>4157.4455428948331</v>
      </c>
      <c r="C93" s="21">
        <v>4110.0865702764031</v>
      </c>
      <c r="D93" s="21">
        <v>4032.1446874404301</v>
      </c>
      <c r="E93" s="21">
        <v>3920.2759932003905</v>
      </c>
      <c r="F93" s="39">
        <v>16219.952793812057</v>
      </c>
    </row>
    <row r="94" spans="1:9" x14ac:dyDescent="0.25">
      <c r="A94" s="287" t="s">
        <v>31</v>
      </c>
      <c r="B94" s="21">
        <v>13301.308299360488</v>
      </c>
      <c r="C94" s="21">
        <v>13301.308299360488</v>
      </c>
      <c r="D94" s="21">
        <v>13301.308299360488</v>
      </c>
      <c r="E94" s="21">
        <v>13301.308299360488</v>
      </c>
      <c r="F94" s="39">
        <v>53205.23319744195</v>
      </c>
    </row>
    <row r="95" spans="1:9" x14ac:dyDescent="0.25">
      <c r="A95" s="287" t="s">
        <v>32</v>
      </c>
      <c r="B95" s="21">
        <v>2529.5002776490737</v>
      </c>
      <c r="C95" s="21">
        <v>2504.1626628701015</v>
      </c>
      <c r="D95" s="21">
        <v>2462.4628266351165</v>
      </c>
      <c r="E95" s="21">
        <v>2402.6117419564403</v>
      </c>
      <c r="F95" s="39">
        <v>9898.7375091107315</v>
      </c>
    </row>
    <row r="96" spans="1:9" x14ac:dyDescent="0.25">
      <c r="B96" s="21"/>
      <c r="C96" s="21"/>
      <c r="D96" s="21"/>
      <c r="E96" s="21"/>
      <c r="F96" s="39"/>
    </row>
    <row r="97" spans="1:9" x14ac:dyDescent="0.25">
      <c r="A97" s="296" t="s">
        <v>45</v>
      </c>
      <c r="B97" s="30"/>
      <c r="C97" s="30"/>
      <c r="D97" s="30"/>
      <c r="E97" s="30"/>
      <c r="F97" s="31"/>
      <c r="G97" s="31"/>
      <c r="H97" s="31"/>
      <c r="I97" s="31"/>
    </row>
    <row r="98" spans="1:9" x14ac:dyDescent="0.25">
      <c r="A98" s="287" t="s">
        <v>29</v>
      </c>
      <c r="B98" s="21">
        <v>752.65</v>
      </c>
      <c r="C98" s="21">
        <v>752.65</v>
      </c>
      <c r="D98" s="21">
        <v>752.65</v>
      </c>
      <c r="E98" s="21">
        <v>752.65</v>
      </c>
      <c r="F98" s="39">
        <v>3010.6</v>
      </c>
      <c r="G98" s="21">
        <v>15053</v>
      </c>
      <c r="H98" s="21">
        <v>9784.4499999999971</v>
      </c>
      <c r="I98" s="21">
        <v>5268.5500000000029</v>
      </c>
    </row>
    <row r="99" spans="1:9" x14ac:dyDescent="0.25">
      <c r="A99" s="287" t="s">
        <v>30</v>
      </c>
      <c r="B99" s="21">
        <v>89.900122477341</v>
      </c>
      <c r="C99" s="21">
        <v>87.006589169662263</v>
      </c>
      <c r="D99" s="21">
        <v>83.190354038976977</v>
      </c>
      <c r="E99" s="21">
        <v>78.372765965333897</v>
      </c>
      <c r="F99" s="39">
        <v>338.46983165131411</v>
      </c>
      <c r="G99" s="60"/>
      <c r="H99" s="61"/>
      <c r="I99" s="61"/>
    </row>
    <row r="100" spans="1:9" x14ac:dyDescent="0.25">
      <c r="A100" s="287" t="s">
        <v>31</v>
      </c>
      <c r="B100" s="21">
        <v>0</v>
      </c>
      <c r="C100" s="21">
        <v>0</v>
      </c>
      <c r="D100" s="21">
        <v>0</v>
      </c>
      <c r="E100" s="21">
        <v>0</v>
      </c>
      <c r="F100" s="39">
        <v>0</v>
      </c>
      <c r="G100" s="37"/>
    </row>
    <row r="101" spans="1:9" x14ac:dyDescent="0.25">
      <c r="A101" s="287" t="s">
        <v>32</v>
      </c>
      <c r="B101" s="21">
        <v>0</v>
      </c>
      <c r="C101" s="21">
        <v>0</v>
      </c>
      <c r="D101" s="21">
        <v>0</v>
      </c>
      <c r="E101" s="21">
        <v>0</v>
      </c>
      <c r="F101" s="39">
        <v>0</v>
      </c>
    </row>
    <row r="102" spans="1:9" x14ac:dyDescent="0.25">
      <c r="B102" s="21"/>
      <c r="C102" s="21"/>
      <c r="D102" s="21"/>
      <c r="E102" s="21"/>
      <c r="F102" s="39"/>
    </row>
    <row r="103" spans="1:9" x14ac:dyDescent="0.25">
      <c r="A103" s="296" t="s">
        <v>151</v>
      </c>
      <c r="B103" s="30"/>
      <c r="C103" s="30"/>
      <c r="D103" s="30"/>
      <c r="E103" s="30"/>
      <c r="F103" s="31"/>
      <c r="G103" s="31"/>
      <c r="H103" s="31"/>
      <c r="I103" s="31"/>
    </row>
    <row r="104" spans="1:9" x14ac:dyDescent="0.25">
      <c r="A104" s="287" t="s">
        <v>29</v>
      </c>
      <c r="B104" s="21">
        <v>0</v>
      </c>
      <c r="C104" s="21">
        <v>499896.9072164949</v>
      </c>
      <c r="D104" s="21">
        <v>62989.690721649487</v>
      </c>
      <c r="E104" s="21">
        <v>62989.690721649487</v>
      </c>
      <c r="F104" s="39">
        <v>625876.28865979379</v>
      </c>
      <c r="G104" s="21">
        <v>1259793.8144329898</v>
      </c>
      <c r="H104" s="21">
        <v>625876.28865979379</v>
      </c>
      <c r="I104" s="21">
        <v>633917.52577319602</v>
      </c>
    </row>
    <row r="105" spans="1:9" x14ac:dyDescent="0.25">
      <c r="A105" s="287" t="s">
        <v>30</v>
      </c>
      <c r="B105" s="21">
        <v>0</v>
      </c>
      <c r="C105" s="21">
        <v>114560.16431046918</v>
      </c>
      <c r="D105" s="21">
        <v>25476.83486574913</v>
      </c>
      <c r="E105" s="21">
        <v>25144.534748377511</v>
      </c>
      <c r="F105" s="39">
        <v>165181.5339245958</v>
      </c>
      <c r="G105" s="60"/>
      <c r="H105" s="61"/>
      <c r="I105" s="61"/>
    </row>
    <row r="106" spans="1:9" x14ac:dyDescent="0.25">
      <c r="A106" s="287" t="s">
        <v>31</v>
      </c>
      <c r="B106" s="21">
        <v>0</v>
      </c>
      <c r="C106" s="21">
        <v>0</v>
      </c>
      <c r="D106" s="21">
        <v>0</v>
      </c>
      <c r="E106" s="21">
        <v>0</v>
      </c>
      <c r="F106" s="39">
        <v>0</v>
      </c>
      <c r="G106" s="37"/>
    </row>
    <row r="107" spans="1:9" x14ac:dyDescent="0.25">
      <c r="A107" s="287" t="s">
        <v>32</v>
      </c>
      <c r="B107" s="21">
        <v>0</v>
      </c>
      <c r="C107" s="21">
        <v>0</v>
      </c>
      <c r="D107" s="21">
        <v>0</v>
      </c>
      <c r="E107" s="21">
        <v>0</v>
      </c>
      <c r="F107" s="39">
        <v>0</v>
      </c>
    </row>
    <row r="108" spans="1:9" x14ac:dyDescent="0.25">
      <c r="B108" s="21"/>
      <c r="C108" s="21"/>
      <c r="D108" s="21"/>
      <c r="E108" s="21"/>
      <c r="F108" s="39"/>
    </row>
    <row r="109" spans="1:9" x14ac:dyDescent="0.25">
      <c r="A109" s="296" t="s">
        <v>179</v>
      </c>
      <c r="B109" s="30"/>
      <c r="C109" s="30"/>
      <c r="D109" s="30"/>
      <c r="E109" s="30"/>
      <c r="F109" s="31"/>
      <c r="G109" s="31"/>
      <c r="H109" s="31"/>
      <c r="I109" s="31"/>
    </row>
    <row r="110" spans="1:9" x14ac:dyDescent="0.25">
      <c r="A110" s="287" t="s">
        <v>29</v>
      </c>
      <c r="B110" s="21">
        <v>671684.15</v>
      </c>
      <c r="C110" s="21">
        <v>0</v>
      </c>
      <c r="D110" s="21">
        <v>0</v>
      </c>
      <c r="E110" s="21">
        <v>0</v>
      </c>
      <c r="F110" s="39">
        <v>671684.15</v>
      </c>
      <c r="G110" s="21">
        <v>13433683</v>
      </c>
      <c r="H110" s="21">
        <v>13433683.000000004</v>
      </c>
      <c r="I110" s="21">
        <v>0</v>
      </c>
    </row>
    <row r="111" spans="1:9" x14ac:dyDescent="0.25">
      <c r="A111" s="287" t="s">
        <v>30</v>
      </c>
      <c r="B111" s="21">
        <v>22676.122476256067</v>
      </c>
      <c r="C111" s="21">
        <v>0</v>
      </c>
      <c r="D111" s="21">
        <v>0</v>
      </c>
      <c r="E111" s="21">
        <v>0</v>
      </c>
      <c r="F111" s="39">
        <v>22676.122476256067</v>
      </c>
    </row>
    <row r="112" spans="1:9" x14ac:dyDescent="0.25">
      <c r="A112" s="287" t="s">
        <v>31</v>
      </c>
      <c r="B112" s="21">
        <v>0</v>
      </c>
      <c r="C112" s="21">
        <v>0</v>
      </c>
      <c r="D112" s="21">
        <v>0</v>
      </c>
      <c r="E112" s="21">
        <v>0</v>
      </c>
      <c r="F112" s="39">
        <v>0</v>
      </c>
    </row>
    <row r="113" spans="1:9" x14ac:dyDescent="0.25">
      <c r="A113" s="287" t="s">
        <v>32</v>
      </c>
      <c r="B113" s="21">
        <v>0</v>
      </c>
      <c r="C113" s="21">
        <v>0</v>
      </c>
      <c r="D113" s="21">
        <v>0</v>
      </c>
      <c r="E113" s="21">
        <v>0</v>
      </c>
      <c r="F113" s="39">
        <v>0</v>
      </c>
    </row>
    <row r="114" spans="1:9" x14ac:dyDescent="0.25">
      <c r="B114" s="21"/>
      <c r="C114" s="21"/>
      <c r="D114" s="21"/>
      <c r="E114" s="21"/>
      <c r="F114" s="39"/>
    </row>
    <row r="115" spans="1:9" x14ac:dyDescent="0.25">
      <c r="A115" s="296" t="s">
        <v>180</v>
      </c>
      <c r="B115" s="30"/>
      <c r="C115" s="30"/>
      <c r="D115" s="30"/>
      <c r="E115" s="30"/>
      <c r="F115" s="31"/>
      <c r="G115" s="31"/>
      <c r="H115" s="31"/>
      <c r="I115" s="31"/>
    </row>
    <row r="116" spans="1:9" x14ac:dyDescent="0.25">
      <c r="A116" s="287" t="s">
        <v>29</v>
      </c>
      <c r="B116" s="21">
        <v>894591.65</v>
      </c>
      <c r="C116" s="21">
        <v>894591.65</v>
      </c>
      <c r="D116" s="21">
        <v>0</v>
      </c>
      <c r="E116" s="21">
        <v>0</v>
      </c>
      <c r="F116" s="39">
        <v>1789183.3</v>
      </c>
      <c r="G116" s="21">
        <v>17891833</v>
      </c>
      <c r="H116" s="21">
        <v>17891833.000000004</v>
      </c>
      <c r="I116" s="21">
        <v>0</v>
      </c>
    </row>
    <row r="117" spans="1:9" x14ac:dyDescent="0.25">
      <c r="A117" s="287" t="s">
        <v>30</v>
      </c>
      <c r="B117" s="21">
        <v>39646.661415084731</v>
      </c>
      <c r="C117" s="21">
        <v>30665.789543402832</v>
      </c>
      <c r="D117" s="21">
        <v>0</v>
      </c>
      <c r="E117" s="21">
        <v>0</v>
      </c>
      <c r="F117" s="39">
        <v>70312.450958487563</v>
      </c>
    </row>
    <row r="118" spans="1:9" x14ac:dyDescent="0.25">
      <c r="A118" s="287" t="s">
        <v>31</v>
      </c>
      <c r="B118" s="21">
        <v>0</v>
      </c>
      <c r="C118" s="21">
        <v>0</v>
      </c>
      <c r="D118" s="21">
        <v>0</v>
      </c>
      <c r="E118" s="21">
        <v>0</v>
      </c>
      <c r="F118" s="39">
        <v>0</v>
      </c>
    </row>
    <row r="119" spans="1:9" x14ac:dyDescent="0.25">
      <c r="A119" s="287" t="s">
        <v>32</v>
      </c>
      <c r="B119" s="21">
        <v>0</v>
      </c>
      <c r="C119" s="21">
        <v>0</v>
      </c>
      <c r="D119" s="21">
        <v>0</v>
      </c>
      <c r="E119" s="21">
        <v>0</v>
      </c>
      <c r="F119" s="39">
        <v>0</v>
      </c>
    </row>
    <row r="120" spans="1:9" x14ac:dyDescent="0.25">
      <c r="A120" s="288"/>
      <c r="B120" s="21"/>
      <c r="C120" s="21"/>
      <c r="D120" s="21"/>
      <c r="E120" s="21"/>
      <c r="F120" s="39"/>
      <c r="G120" s="21"/>
      <c r="H120" s="21"/>
      <c r="I120" s="21"/>
    </row>
    <row r="121" spans="1:9" x14ac:dyDescent="0.25">
      <c r="A121" s="296" t="s">
        <v>181</v>
      </c>
      <c r="B121" s="30"/>
      <c r="C121" s="30"/>
      <c r="D121" s="30"/>
      <c r="E121" s="30"/>
      <c r="F121" s="31"/>
      <c r="G121" s="31"/>
      <c r="H121" s="31"/>
      <c r="I121" s="31"/>
    </row>
    <row r="122" spans="1:9" x14ac:dyDescent="0.25">
      <c r="A122" s="287" t="s">
        <v>29</v>
      </c>
      <c r="B122" s="21">
        <v>182500</v>
      </c>
      <c r="C122" s="21">
        <v>0</v>
      </c>
      <c r="D122" s="21">
        <v>0</v>
      </c>
      <c r="E122" s="21">
        <v>0</v>
      </c>
      <c r="F122" s="39">
        <v>182500</v>
      </c>
      <c r="G122" s="21">
        <v>3650000</v>
      </c>
      <c r="H122" s="21">
        <v>3650000</v>
      </c>
      <c r="I122" s="21">
        <v>0</v>
      </c>
    </row>
    <row r="123" spans="1:9" x14ac:dyDescent="0.25">
      <c r="A123" s="287" t="s">
        <v>30</v>
      </c>
      <c r="B123" s="21">
        <v>11006.162484402195</v>
      </c>
      <c r="C123" s="21">
        <v>0</v>
      </c>
      <c r="D123" s="21">
        <v>0</v>
      </c>
      <c r="E123" s="21">
        <v>0</v>
      </c>
      <c r="F123" s="39">
        <v>11006.162484402195</v>
      </c>
    </row>
    <row r="124" spans="1:9" x14ac:dyDescent="0.25">
      <c r="A124" s="287" t="s">
        <v>31</v>
      </c>
      <c r="B124" s="21">
        <v>10000</v>
      </c>
      <c r="C124" s="21">
        <v>0</v>
      </c>
      <c r="D124" s="21">
        <v>0</v>
      </c>
      <c r="E124" s="21">
        <v>0</v>
      </c>
      <c r="F124" s="39">
        <v>10000</v>
      </c>
    </row>
    <row r="125" spans="1:9" x14ac:dyDescent="0.25">
      <c r="A125" s="287" t="s">
        <v>32</v>
      </c>
      <c r="B125" s="21">
        <v>848.68729512522611</v>
      </c>
      <c r="C125" s="21">
        <v>0</v>
      </c>
      <c r="D125" s="21">
        <v>0</v>
      </c>
      <c r="E125" s="21">
        <v>0</v>
      </c>
      <c r="F125" s="39">
        <v>848.68729512522611</v>
      </c>
    </row>
    <row r="126" spans="1:9" x14ac:dyDescent="0.25">
      <c r="B126" s="21"/>
      <c r="C126" s="21"/>
      <c r="D126" s="21"/>
      <c r="E126" s="21"/>
      <c r="F126" s="39"/>
    </row>
    <row r="127" spans="1:9" x14ac:dyDescent="0.25">
      <c r="A127" s="296" t="s">
        <v>182</v>
      </c>
      <c r="B127" s="30"/>
      <c r="C127" s="30"/>
      <c r="D127" s="30"/>
      <c r="E127" s="30"/>
      <c r="F127" s="31"/>
      <c r="G127" s="31"/>
      <c r="H127" s="31"/>
      <c r="I127" s="31"/>
    </row>
    <row r="128" spans="1:9" x14ac:dyDescent="0.25">
      <c r="A128" s="287" t="s">
        <v>29</v>
      </c>
      <c r="B128" s="21">
        <v>37319.25</v>
      </c>
      <c r="C128" s="21">
        <v>37319.25</v>
      </c>
      <c r="D128" s="21">
        <v>37319.25</v>
      </c>
      <c r="E128" s="21">
        <v>0</v>
      </c>
      <c r="F128" s="39">
        <v>111957.75</v>
      </c>
      <c r="G128" s="21">
        <v>746385</v>
      </c>
      <c r="H128" s="21">
        <v>746385</v>
      </c>
      <c r="I128" s="21">
        <v>0</v>
      </c>
    </row>
    <row r="129" spans="1:9" x14ac:dyDescent="0.25">
      <c r="A129" s="287" t="s">
        <v>30</v>
      </c>
      <c r="B129" s="21">
        <v>3549.5581568096177</v>
      </c>
      <c r="C129" s="21">
        <v>3216.7508678776594</v>
      </c>
      <c r="D129" s="21">
        <v>2832.7259245477644</v>
      </c>
      <c r="E129" s="21">
        <v>0</v>
      </c>
      <c r="F129" s="39">
        <v>9599.0349492350415</v>
      </c>
    </row>
    <row r="130" spans="1:9" x14ac:dyDescent="0.25">
      <c r="A130" s="287" t="s">
        <v>31</v>
      </c>
      <c r="B130" s="21">
        <v>0</v>
      </c>
      <c r="C130" s="21">
        <v>0</v>
      </c>
      <c r="D130" s="21">
        <v>0</v>
      </c>
      <c r="E130" s="21">
        <v>0</v>
      </c>
      <c r="F130" s="39">
        <v>0</v>
      </c>
    </row>
    <row r="131" spans="1:9" x14ac:dyDescent="0.25">
      <c r="A131" s="287" t="s">
        <v>32</v>
      </c>
      <c r="B131" s="21">
        <v>0</v>
      </c>
      <c r="C131" s="21">
        <v>0</v>
      </c>
      <c r="D131" s="21">
        <v>0</v>
      </c>
      <c r="E131" s="21">
        <v>0</v>
      </c>
      <c r="F131" s="39">
        <v>0</v>
      </c>
    </row>
    <row r="132" spans="1:9" x14ac:dyDescent="0.25">
      <c r="B132" s="21"/>
      <c r="C132" s="21"/>
      <c r="D132" s="21"/>
      <c r="E132" s="21"/>
      <c r="F132" s="39"/>
    </row>
    <row r="133" spans="1:9" x14ac:dyDescent="0.25">
      <c r="A133" s="297" t="s">
        <v>183</v>
      </c>
      <c r="B133" s="41"/>
      <c r="C133" s="41"/>
      <c r="D133" s="41"/>
      <c r="E133" s="41"/>
      <c r="F133" s="42"/>
      <c r="G133" s="38"/>
      <c r="H133" s="38"/>
      <c r="I133" s="38"/>
    </row>
    <row r="134" spans="1:9" x14ac:dyDescent="0.25">
      <c r="A134" s="298" t="s">
        <v>29</v>
      </c>
      <c r="B134" s="39">
        <v>8623198.7950671203</v>
      </c>
      <c r="C134" s="39">
        <v>11692704.182283612</v>
      </c>
      <c r="D134" s="39">
        <v>7165665.5277887695</v>
      </c>
      <c r="E134" s="39">
        <v>7128346.2777887695</v>
      </c>
      <c r="F134" s="39">
        <v>34609914.782928273</v>
      </c>
      <c r="G134" s="39">
        <v>178274779.39844576</v>
      </c>
      <c r="H134" s="39">
        <v>113714738.82186787</v>
      </c>
      <c r="I134" s="39">
        <v>64560040.576577909</v>
      </c>
    </row>
    <row r="135" spans="1:9" x14ac:dyDescent="0.25">
      <c r="A135" s="298" t="s">
        <v>30</v>
      </c>
      <c r="B135" s="39">
        <v>1302478.8663408679</v>
      </c>
      <c r="C135" s="39">
        <v>1664551.5716143502</v>
      </c>
      <c r="D135" s="39">
        <v>1243687.8441332364</v>
      </c>
      <c r="E135" s="39">
        <v>1203969.3406316026</v>
      </c>
      <c r="F135" s="39">
        <v>5414687.6227200571</v>
      </c>
      <c r="G135" s="40"/>
      <c r="H135" s="40"/>
      <c r="I135" s="40"/>
    </row>
    <row r="136" spans="1:9" x14ac:dyDescent="0.25">
      <c r="A136" s="298" t="s">
        <v>32</v>
      </c>
      <c r="B136" s="39">
        <v>4345.5915118108169</v>
      </c>
      <c r="C136" s="39">
        <v>3464.0670239665442</v>
      </c>
      <c r="D136" s="39">
        <v>3409.5408615105198</v>
      </c>
      <c r="E136" s="39">
        <v>3330.9429088574343</v>
      </c>
      <c r="F136" s="39">
        <v>14550.142306145315</v>
      </c>
      <c r="G136" s="32"/>
      <c r="H136" s="40"/>
      <c r="I136" s="40"/>
    </row>
    <row r="138" spans="1:9" x14ac:dyDescent="0.25">
      <c r="A138" s="298" t="s">
        <v>11</v>
      </c>
      <c r="I138" s="63"/>
    </row>
    <row r="139" spans="1:9" x14ac:dyDescent="0.25">
      <c r="A139" s="299" t="s">
        <v>38</v>
      </c>
      <c r="I139" s="63"/>
    </row>
    <row r="140" spans="1:9" s="22" customFormat="1" x14ac:dyDescent="0.25">
      <c r="A140" s="338" t="s">
        <v>36</v>
      </c>
      <c r="B140" s="338"/>
      <c r="C140" s="338"/>
      <c r="D140" s="338"/>
      <c r="E140" s="338"/>
      <c r="F140" s="338"/>
      <c r="I140" s="61"/>
    </row>
    <row r="141" spans="1:9" s="22" customFormat="1" x14ac:dyDescent="0.25">
      <c r="A141" s="338" t="s">
        <v>43</v>
      </c>
      <c r="B141" s="338"/>
      <c r="C141" s="338"/>
      <c r="D141" s="338"/>
      <c r="E141" s="338"/>
      <c r="F141" s="338"/>
      <c r="G141" s="338"/>
      <c r="H141" s="338"/>
    </row>
    <row r="142" spans="1:9" s="22" customFormat="1" x14ac:dyDescent="0.25">
      <c r="A142" s="338" t="s">
        <v>37</v>
      </c>
      <c r="B142" s="338"/>
      <c r="C142" s="338"/>
      <c r="D142" s="338"/>
      <c r="E142" s="338"/>
      <c r="F142" s="338"/>
    </row>
    <row r="143" spans="1:9" s="22" customFormat="1" x14ac:dyDescent="0.25">
      <c r="A143" s="333" t="s">
        <v>44</v>
      </c>
      <c r="B143" s="333"/>
      <c r="C143" s="333"/>
      <c r="D143" s="333"/>
      <c r="E143" s="333"/>
      <c r="F143" s="333"/>
    </row>
    <row r="144" spans="1:9" s="22" customFormat="1" x14ac:dyDescent="0.25">
      <c r="A144" s="333"/>
      <c r="B144" s="333"/>
      <c r="C144" s="333"/>
      <c r="D144" s="333"/>
      <c r="E144" s="333"/>
      <c r="F144" s="333"/>
    </row>
    <row r="145" spans="1:6" s="22" customFormat="1" x14ac:dyDescent="0.25">
      <c r="A145" s="334" t="s">
        <v>39</v>
      </c>
      <c r="B145" s="334"/>
      <c r="C145" s="334"/>
      <c r="D145" s="334"/>
      <c r="E145" s="334"/>
      <c r="F145" s="334"/>
    </row>
    <row r="146" spans="1:6" s="22" customFormat="1" x14ac:dyDescent="0.25">
      <c r="A146" s="334"/>
      <c r="B146" s="334"/>
      <c r="C146" s="334"/>
      <c r="D146" s="334"/>
      <c r="E146" s="334"/>
      <c r="F146" s="334"/>
    </row>
  </sheetData>
  <mergeCells count="8">
    <mergeCell ref="A143:F144"/>
    <mergeCell ref="A145:F146"/>
    <mergeCell ref="A1:I1"/>
    <mergeCell ref="A2:I2"/>
    <mergeCell ref="B4:E4"/>
    <mergeCell ref="A140:F140"/>
    <mergeCell ref="A141:H141"/>
    <mergeCell ref="A142:F142"/>
  </mergeCells>
  <printOptions horizontalCentered="1"/>
  <pageMargins left="0.7" right="0.7" top="0.75" bottom="0.75" header="0.3" footer="0.3"/>
  <pageSetup scale="67" fitToHeight="0" orientation="portrait" r:id="rId1"/>
  <headerFooter alignWithMargins="0">
    <oddHeader>&amp;RTO2021 Annual Update
Attachment 4
WP- Schedule 22 NUCs
Page &amp;P of &amp;N</oddHeader>
    <oddFooter>&amp;R&amp;A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X192"/>
  <sheetViews>
    <sheetView view="pageLayout" zoomScale="50" zoomScaleNormal="60" zoomScalePageLayoutView="50" workbookViewId="0"/>
  </sheetViews>
  <sheetFormatPr defaultColWidth="36.1796875" defaultRowHeight="12.5" outlineLevelRow="2" x14ac:dyDescent="0.25"/>
  <cols>
    <col min="1" max="1" width="11.453125" style="6" bestFit="1" customWidth="1"/>
    <col min="2" max="2" width="24.54296875" style="6" bestFit="1" customWidth="1"/>
    <col min="3" max="3" width="13.453125" style="6" bestFit="1" customWidth="1"/>
    <col min="4" max="4" width="10.81640625" style="6" bestFit="1" customWidth="1"/>
    <col min="5" max="5" width="13.453125" style="6" bestFit="1" customWidth="1"/>
    <col min="6" max="6" width="22.26953125" style="6" bestFit="1" customWidth="1"/>
    <col min="7" max="7" width="15.1796875" style="6" bestFit="1" customWidth="1"/>
    <col min="8" max="8" width="23.1796875" style="6" bestFit="1" customWidth="1"/>
    <col min="9" max="9" width="25.81640625" style="6" bestFit="1" customWidth="1"/>
    <col min="10" max="10" width="19.1796875" style="6" bestFit="1" customWidth="1"/>
    <col min="11" max="11" width="23" style="6" customWidth="1"/>
    <col min="12" max="12" width="17.26953125" style="6" bestFit="1" customWidth="1"/>
    <col min="13" max="13" width="13.81640625" style="6" bestFit="1" customWidth="1"/>
    <col min="14" max="14" width="17.7265625" style="6" bestFit="1" customWidth="1"/>
    <col min="15" max="15" width="17.453125" style="6" bestFit="1" customWidth="1"/>
    <col min="16" max="16" width="36.1796875" style="6"/>
    <col min="17" max="17" width="10.7265625" style="6" bestFit="1" customWidth="1"/>
    <col min="18" max="18" width="10.81640625" style="6" bestFit="1" customWidth="1"/>
    <col min="19" max="19" width="25.81640625" style="6" bestFit="1" customWidth="1"/>
    <col min="20" max="20" width="19.1796875" style="6" bestFit="1" customWidth="1"/>
    <col min="21" max="21" width="22.26953125" style="6" bestFit="1" customWidth="1"/>
    <col min="22" max="22" width="17.26953125" style="6" bestFit="1" customWidth="1"/>
    <col min="23" max="16384" width="36.1796875" style="6"/>
  </cols>
  <sheetData>
    <row r="1" spans="1:9" ht="26" x14ac:dyDescent="0.3">
      <c r="A1" s="81" t="s">
        <v>8</v>
      </c>
      <c r="B1" s="82" t="s">
        <v>86</v>
      </c>
      <c r="C1" s="81" t="s">
        <v>2</v>
      </c>
      <c r="D1" s="81" t="s">
        <v>1</v>
      </c>
      <c r="E1" s="82" t="s">
        <v>72</v>
      </c>
      <c r="F1" s="82" t="s">
        <v>47</v>
      </c>
    </row>
    <row r="2" spans="1:9" outlineLevel="1" x14ac:dyDescent="0.25">
      <c r="A2" s="78" t="s">
        <v>52</v>
      </c>
      <c r="B2" s="262">
        <v>42172</v>
      </c>
      <c r="C2" s="43">
        <v>145335</v>
      </c>
      <c r="D2" s="43">
        <v>0</v>
      </c>
      <c r="E2" s="43">
        <v>76013</v>
      </c>
      <c r="F2" s="7">
        <f>SUM(C2:E2)</f>
        <v>221348</v>
      </c>
      <c r="H2" s="269"/>
      <c r="I2" s="175"/>
    </row>
    <row r="3" spans="1:9" outlineLevel="1" x14ac:dyDescent="0.25">
      <c r="A3" s="78" t="s">
        <v>53</v>
      </c>
      <c r="B3" s="18">
        <v>42201</v>
      </c>
      <c r="C3" s="43">
        <v>91779</v>
      </c>
      <c r="D3" s="43">
        <v>0</v>
      </c>
      <c r="E3" s="43">
        <v>48001</v>
      </c>
      <c r="F3" s="7">
        <f t="shared" ref="F3:F21" si="0">SUM(C3:E3)</f>
        <v>139780</v>
      </c>
      <c r="H3" s="269"/>
      <c r="I3" s="175"/>
    </row>
    <row r="4" spans="1:9" outlineLevel="1" x14ac:dyDescent="0.25">
      <c r="A4" s="78" t="s">
        <v>54</v>
      </c>
      <c r="B4" s="18">
        <v>42262</v>
      </c>
      <c r="C4" s="43">
        <v>111285</v>
      </c>
      <c r="D4" s="43">
        <v>0</v>
      </c>
      <c r="E4" s="43">
        <v>58203</v>
      </c>
      <c r="F4" s="7">
        <f t="shared" si="0"/>
        <v>169488</v>
      </c>
      <c r="H4" s="269"/>
      <c r="I4" s="175"/>
    </row>
    <row r="5" spans="1:9" outlineLevel="1" x14ac:dyDescent="0.25">
      <c r="A5" s="78" t="s">
        <v>55</v>
      </c>
      <c r="B5" s="18">
        <v>42299</v>
      </c>
      <c r="C5" s="43">
        <v>118991</v>
      </c>
      <c r="D5" s="43">
        <v>0</v>
      </c>
      <c r="E5" s="43">
        <v>62233</v>
      </c>
      <c r="F5" s="7">
        <f t="shared" si="0"/>
        <v>181224</v>
      </c>
      <c r="H5" s="269"/>
      <c r="I5" s="175"/>
    </row>
    <row r="6" spans="1:9" outlineLevel="1" x14ac:dyDescent="0.25">
      <c r="A6" s="78" t="s">
        <v>56</v>
      </c>
      <c r="B6" s="18">
        <v>42298</v>
      </c>
      <c r="C6" s="43">
        <v>41253.83401279027</v>
      </c>
      <c r="D6" s="43">
        <v>0</v>
      </c>
      <c r="E6" s="43">
        <v>21576.165987209733</v>
      </c>
      <c r="F6" s="7">
        <f t="shared" si="0"/>
        <v>62830</v>
      </c>
      <c r="H6" s="269"/>
      <c r="I6" s="175"/>
    </row>
    <row r="7" spans="1:9" outlineLevel="1" x14ac:dyDescent="0.25">
      <c r="A7" s="78" t="s">
        <v>57</v>
      </c>
      <c r="B7" s="18" t="s">
        <v>21</v>
      </c>
      <c r="C7" s="43">
        <v>0</v>
      </c>
      <c r="D7" s="43">
        <v>0</v>
      </c>
      <c r="E7" s="43">
        <v>0</v>
      </c>
      <c r="F7" s="7">
        <f t="shared" si="0"/>
        <v>0</v>
      </c>
      <c r="H7" s="269"/>
      <c r="I7" s="175"/>
    </row>
    <row r="8" spans="1:9" outlineLevel="1" x14ac:dyDescent="0.25">
      <c r="A8" s="78" t="s">
        <v>58</v>
      </c>
      <c r="B8" s="18" t="s">
        <v>21</v>
      </c>
      <c r="C8" s="43">
        <v>0</v>
      </c>
      <c r="D8" s="43">
        <v>0</v>
      </c>
      <c r="E8" s="43">
        <v>0</v>
      </c>
      <c r="F8" s="7">
        <f t="shared" si="0"/>
        <v>0</v>
      </c>
    </row>
    <row r="9" spans="1:9" outlineLevel="1" x14ac:dyDescent="0.25">
      <c r="A9" s="78" t="s">
        <v>59</v>
      </c>
      <c r="B9" s="18" t="s">
        <v>21</v>
      </c>
      <c r="C9" s="43">
        <v>0</v>
      </c>
      <c r="D9" s="43">
        <v>0</v>
      </c>
      <c r="E9" s="43">
        <v>0</v>
      </c>
      <c r="F9" s="7">
        <f t="shared" si="0"/>
        <v>0</v>
      </c>
    </row>
    <row r="10" spans="1:9" outlineLevel="1" x14ac:dyDescent="0.25">
      <c r="A10" s="78" t="s">
        <v>60</v>
      </c>
      <c r="B10" s="18" t="s">
        <v>21</v>
      </c>
      <c r="C10" s="43">
        <v>0</v>
      </c>
      <c r="D10" s="43">
        <v>0</v>
      </c>
      <c r="E10" s="43">
        <v>0</v>
      </c>
      <c r="F10" s="7">
        <f t="shared" si="0"/>
        <v>0</v>
      </c>
    </row>
    <row r="11" spans="1:9" outlineLevel="1" x14ac:dyDescent="0.25">
      <c r="A11" s="78" t="s">
        <v>61</v>
      </c>
      <c r="B11" s="18" t="s">
        <v>21</v>
      </c>
      <c r="C11" s="43">
        <v>0</v>
      </c>
      <c r="D11" s="43">
        <v>0</v>
      </c>
      <c r="E11" s="43">
        <v>0</v>
      </c>
      <c r="F11" s="7">
        <f t="shared" si="0"/>
        <v>0</v>
      </c>
    </row>
    <row r="12" spans="1:9" outlineLevel="2" x14ac:dyDescent="0.25">
      <c r="A12" s="78" t="s">
        <v>62</v>
      </c>
      <c r="B12" s="18" t="s">
        <v>21</v>
      </c>
      <c r="C12" s="43">
        <v>0</v>
      </c>
      <c r="D12" s="43">
        <v>0</v>
      </c>
      <c r="E12" s="43">
        <v>0</v>
      </c>
      <c r="F12" s="7">
        <f t="shared" si="0"/>
        <v>0</v>
      </c>
    </row>
    <row r="13" spans="1:9" outlineLevel="2" x14ac:dyDescent="0.25">
      <c r="A13" s="78" t="s">
        <v>63</v>
      </c>
      <c r="B13" s="18" t="s">
        <v>21</v>
      </c>
      <c r="C13" s="43">
        <v>0</v>
      </c>
      <c r="D13" s="43">
        <v>0</v>
      </c>
      <c r="E13" s="43">
        <v>0</v>
      </c>
      <c r="F13" s="7">
        <f t="shared" si="0"/>
        <v>0</v>
      </c>
    </row>
    <row r="14" spans="1:9" outlineLevel="2" x14ac:dyDescent="0.25">
      <c r="A14" s="78" t="s">
        <v>64</v>
      </c>
      <c r="B14" s="18" t="s">
        <v>21</v>
      </c>
      <c r="C14" s="43">
        <v>0</v>
      </c>
      <c r="D14" s="43">
        <v>0</v>
      </c>
      <c r="E14" s="43">
        <v>0</v>
      </c>
      <c r="F14" s="7">
        <f t="shared" si="0"/>
        <v>0</v>
      </c>
    </row>
    <row r="15" spans="1:9" outlineLevel="2" x14ac:dyDescent="0.25">
      <c r="A15" s="78" t="s">
        <v>65</v>
      </c>
      <c r="B15" s="18" t="s">
        <v>21</v>
      </c>
      <c r="C15" s="43">
        <v>0</v>
      </c>
      <c r="D15" s="43">
        <v>0</v>
      </c>
      <c r="E15" s="43">
        <v>0</v>
      </c>
      <c r="F15" s="7">
        <f t="shared" si="0"/>
        <v>0</v>
      </c>
    </row>
    <row r="16" spans="1:9" outlineLevel="2" x14ac:dyDescent="0.25">
      <c r="A16" s="78" t="s">
        <v>66</v>
      </c>
      <c r="B16" s="18" t="s">
        <v>21</v>
      </c>
      <c r="C16" s="43">
        <v>0</v>
      </c>
      <c r="D16" s="43">
        <v>0</v>
      </c>
      <c r="E16" s="43">
        <v>0</v>
      </c>
      <c r="F16" s="7">
        <f t="shared" si="0"/>
        <v>0</v>
      </c>
    </row>
    <row r="17" spans="1:24" outlineLevel="2" x14ac:dyDescent="0.25">
      <c r="A17" s="78" t="s">
        <v>67</v>
      </c>
      <c r="B17" s="18" t="s">
        <v>21</v>
      </c>
      <c r="C17" s="43">
        <v>0</v>
      </c>
      <c r="D17" s="43">
        <v>0</v>
      </c>
      <c r="E17" s="43">
        <v>0</v>
      </c>
      <c r="F17" s="7">
        <f t="shared" si="0"/>
        <v>0</v>
      </c>
    </row>
    <row r="18" spans="1:24" outlineLevel="2" x14ac:dyDescent="0.25">
      <c r="A18" s="78" t="s">
        <v>68</v>
      </c>
      <c r="B18" s="18" t="s">
        <v>21</v>
      </c>
      <c r="C18" s="43">
        <v>0</v>
      </c>
      <c r="D18" s="43">
        <v>0</v>
      </c>
      <c r="E18" s="43">
        <v>0</v>
      </c>
      <c r="F18" s="7">
        <f t="shared" si="0"/>
        <v>0</v>
      </c>
    </row>
    <row r="19" spans="1:24" outlineLevel="2" x14ac:dyDescent="0.25">
      <c r="A19" s="78" t="s">
        <v>69</v>
      </c>
      <c r="B19" s="18" t="s">
        <v>21</v>
      </c>
      <c r="C19" s="43">
        <v>0</v>
      </c>
      <c r="D19" s="43">
        <v>0</v>
      </c>
      <c r="E19" s="43">
        <v>0</v>
      </c>
      <c r="F19" s="7">
        <f t="shared" si="0"/>
        <v>0</v>
      </c>
    </row>
    <row r="20" spans="1:24" outlineLevel="2" x14ac:dyDescent="0.25">
      <c r="A20" s="78" t="s">
        <v>70</v>
      </c>
      <c r="B20" s="18" t="s">
        <v>21</v>
      </c>
      <c r="C20" s="43">
        <v>0</v>
      </c>
      <c r="D20" s="43">
        <v>0</v>
      </c>
      <c r="E20" s="43">
        <v>0</v>
      </c>
      <c r="F20" s="7">
        <f t="shared" si="0"/>
        <v>0</v>
      </c>
    </row>
    <row r="21" spans="1:24" ht="13" outlineLevel="2" thickBot="1" x14ac:dyDescent="0.3">
      <c r="A21" s="78" t="s">
        <v>71</v>
      </c>
      <c r="B21" s="18" t="s">
        <v>21</v>
      </c>
      <c r="C21" s="43">
        <v>0</v>
      </c>
      <c r="D21" s="43">
        <v>0</v>
      </c>
      <c r="E21" s="43">
        <v>0</v>
      </c>
      <c r="F21" s="7">
        <f t="shared" si="0"/>
        <v>0</v>
      </c>
    </row>
    <row r="22" spans="1:24" ht="13" x14ac:dyDescent="0.3">
      <c r="B22" s="34" t="s">
        <v>0</v>
      </c>
      <c r="C22" s="109">
        <f>SUM(C2:C21)</f>
        <v>508643.83401279029</v>
      </c>
      <c r="D22" s="109">
        <f>SUM(D2:D21)</f>
        <v>0</v>
      </c>
      <c r="E22" s="109">
        <f>SUM(E2:E21)</f>
        <v>266026.16598720971</v>
      </c>
      <c r="F22" s="109">
        <f>SUM(F2:F21)</f>
        <v>774670</v>
      </c>
      <c r="H22" s="153"/>
      <c r="I22" s="149" t="s">
        <v>13</v>
      </c>
      <c r="J22" s="149" t="s">
        <v>12</v>
      </c>
      <c r="K22" s="150" t="s">
        <v>20</v>
      </c>
      <c r="L22" s="151"/>
      <c r="M22" s="152"/>
    </row>
    <row r="23" spans="1:24" ht="13" x14ac:dyDescent="0.3">
      <c r="A23" s="17" t="s">
        <v>18</v>
      </c>
      <c r="B23" s="18" t="s">
        <v>21</v>
      </c>
      <c r="C23" s="8">
        <v>0</v>
      </c>
      <c r="D23" s="8">
        <v>0</v>
      </c>
      <c r="E23" s="8">
        <v>0</v>
      </c>
      <c r="F23" s="8">
        <f>SUM(C23:E23)</f>
        <v>0</v>
      </c>
      <c r="H23" s="147" t="s">
        <v>10</v>
      </c>
      <c r="I23" s="84">
        <v>42491</v>
      </c>
      <c r="J23" s="85">
        <f>I23</f>
        <v>42491</v>
      </c>
      <c r="K23" s="86"/>
      <c r="L23" s="87"/>
      <c r="M23" s="88"/>
    </row>
    <row r="24" spans="1:24" ht="13" x14ac:dyDescent="0.3">
      <c r="A24" s="17" t="s">
        <v>19</v>
      </c>
      <c r="B24" s="18" t="s">
        <v>21</v>
      </c>
      <c r="C24" s="8">
        <v>0</v>
      </c>
      <c r="D24" s="8">
        <v>0</v>
      </c>
      <c r="E24" s="8">
        <v>0</v>
      </c>
      <c r="F24" s="8">
        <f>SUM(C24:E24)</f>
        <v>0</v>
      </c>
      <c r="H24" s="147" t="s">
        <v>16</v>
      </c>
      <c r="I24" s="156">
        <v>42608</v>
      </c>
      <c r="J24" s="173">
        <f>I24</f>
        <v>42608</v>
      </c>
      <c r="K24" s="157"/>
      <c r="L24" s="158"/>
      <c r="M24" s="159"/>
    </row>
    <row r="25" spans="1:24" ht="13.5" thickBot="1" x14ac:dyDescent="0.35">
      <c r="B25" s="34" t="s">
        <v>50</v>
      </c>
      <c r="C25" s="65">
        <f>+SUM(C22:C24)</f>
        <v>508643.83401279029</v>
      </c>
      <c r="D25" s="65">
        <f>+SUM(D22:D24)</f>
        <v>0</v>
      </c>
      <c r="E25" s="65">
        <f>+SUM(E22:E24)</f>
        <v>266026.16598720971</v>
      </c>
      <c r="F25" s="65">
        <f>+SUM(F22:F24)</f>
        <v>774670</v>
      </c>
      <c r="H25" s="155" t="s">
        <v>138</v>
      </c>
      <c r="I25" s="89">
        <v>42767</v>
      </c>
      <c r="J25" s="90"/>
      <c r="K25" s="91"/>
      <c r="L25" s="92"/>
      <c r="M25" s="93"/>
    </row>
    <row r="26" spans="1:24" ht="13.5" thickTop="1" thickBot="1" x14ac:dyDescent="0.3">
      <c r="A26" s="17"/>
      <c r="B26" s="62"/>
      <c r="C26" s="43"/>
      <c r="D26" s="43"/>
      <c r="E26" s="43"/>
      <c r="F26" s="7"/>
    </row>
    <row r="27" spans="1:24" ht="13" x14ac:dyDescent="0.3">
      <c r="I27" s="130"/>
      <c r="J27" s="113"/>
      <c r="K27" s="113"/>
      <c r="L27" s="113"/>
      <c r="M27" s="97"/>
      <c r="Q27" s="346" t="s">
        <v>15</v>
      </c>
      <c r="R27" s="346"/>
      <c r="S27" s="346"/>
      <c r="T27" s="346"/>
      <c r="U27" s="346"/>
      <c r="V27" s="346"/>
    </row>
    <row r="28" spans="1:24" ht="37" x14ac:dyDescent="0.3">
      <c r="A28" s="77" t="s">
        <v>51</v>
      </c>
      <c r="B28" s="77" t="s">
        <v>3</v>
      </c>
      <c r="C28" s="77" t="s">
        <v>4</v>
      </c>
      <c r="D28" s="77" t="s">
        <v>5</v>
      </c>
      <c r="E28" s="77" t="s">
        <v>6</v>
      </c>
      <c r="F28" s="77" t="s">
        <v>7</v>
      </c>
      <c r="G28" s="77" t="s">
        <v>78</v>
      </c>
      <c r="H28" s="77" t="s">
        <v>79</v>
      </c>
      <c r="I28" s="94" t="s">
        <v>80</v>
      </c>
      <c r="J28" s="95" t="s">
        <v>81</v>
      </c>
      <c r="K28" s="95" t="s">
        <v>82</v>
      </c>
      <c r="L28" s="95" t="s">
        <v>83</v>
      </c>
      <c r="M28" s="96" t="s">
        <v>73</v>
      </c>
      <c r="N28" s="77" t="s">
        <v>84</v>
      </c>
      <c r="O28" s="77" t="s">
        <v>85</v>
      </c>
      <c r="Q28" s="260" t="s">
        <v>4</v>
      </c>
      <c r="R28" s="260" t="s">
        <v>5</v>
      </c>
      <c r="S28" s="95" t="s">
        <v>123</v>
      </c>
      <c r="T28" s="95" t="s">
        <v>121</v>
      </c>
      <c r="U28" s="95" t="s">
        <v>124</v>
      </c>
      <c r="V28" s="95" t="s">
        <v>122</v>
      </c>
    </row>
    <row r="29" spans="1:24" x14ac:dyDescent="0.25">
      <c r="A29" s="78" t="s">
        <v>21</v>
      </c>
      <c r="B29" s="72" t="str">
        <f t="shared" ref="B29:B48" si="1">+IF(MONTH(C29)&lt;4,"Q1",IF(MONTH(C29)&lt;7,"Q2",IF(MONTH(C29)&lt;10,"Q3","Q4")))&amp;"/"&amp;YEAR(C29)</f>
        <v>Q2/2016</v>
      </c>
      <c r="C29" s="132">
        <f>$J$23</f>
        <v>42491</v>
      </c>
      <c r="D29" s="132">
        <f>DATE(YEAR(C29),IF(MONTH(C29)&lt;=3,3,IF(MONTH(C29)&lt;=6,6,IF(MONTH(C29)&lt;=9,9,12))),IF(OR(MONTH(C29)&lt;=3,MONTH(C29)&gt;=10),31,30))</f>
        <v>42551</v>
      </c>
      <c r="E29" s="72">
        <f>D29-C29+1</f>
        <v>61</v>
      </c>
      <c r="F29" s="74">
        <f>VLOOKUP(D29,'FERC Interest Rate'!$A:$C,2,TRUE)</f>
        <v>3.4599999999999999E-2</v>
      </c>
      <c r="G29" s="75">
        <f>$C$22</f>
        <v>508643.83401279029</v>
      </c>
      <c r="H29" s="75">
        <f>G29*F29*(E29/(DATE(YEAR(D29),12,31)-DATE(YEAR(D29),1,1)+1))</f>
        <v>2933.1794428070903</v>
      </c>
      <c r="I29" s="99">
        <v>0</v>
      </c>
      <c r="J29" s="76">
        <v>0</v>
      </c>
      <c r="K29" s="116">
        <f>+SUM(I29:J29)</f>
        <v>0</v>
      </c>
      <c r="L29" s="76">
        <v>0</v>
      </c>
      <c r="M29" s="117">
        <f>+SUM(K29:L29)</f>
        <v>0</v>
      </c>
      <c r="N29" s="8">
        <f>+G29+H29+J29</f>
        <v>511577.01345559739</v>
      </c>
      <c r="O29" s="75">
        <f t="shared" ref="O29:O48" si="2">G29+H29-L29-I29</f>
        <v>511577.01345559739</v>
      </c>
      <c r="Q29" s="132">
        <f>$J$23</f>
        <v>42491</v>
      </c>
      <c r="R29" s="132">
        <f>DATE(YEAR(Q29),IF(MONTH(Q29)&lt;=3,3,IF(MONTH(Q29)&lt;=6,6,IF(MONTH(Q29)&lt;=9,9,12))),IF(OR(MONTH(Q29)&lt;=3,MONTH(Q29)&gt;=10),31,30))</f>
        <v>42551</v>
      </c>
      <c r="S29" s="76">
        <f t="shared" ref="S29:S49" si="3">I58+I86+I114+I141+I168</f>
        <v>0</v>
      </c>
      <c r="T29" s="76">
        <f t="shared" ref="T29:T49" si="4">J58+J86+J114+J141+J168</f>
        <v>0</v>
      </c>
      <c r="U29" s="75">
        <f>T29+S29</f>
        <v>0</v>
      </c>
      <c r="V29" s="76">
        <f t="shared" ref="V29:V49" si="5">L58+L86+L114+L141+L168</f>
        <v>0</v>
      </c>
      <c r="W29" s="103"/>
      <c r="X29" s="103"/>
    </row>
    <row r="30" spans="1:24" x14ac:dyDescent="0.25">
      <c r="A30" s="78" t="s">
        <v>21</v>
      </c>
      <c r="B30" s="72" t="str">
        <f t="shared" si="1"/>
        <v>Q3/2016</v>
      </c>
      <c r="C30" s="132">
        <f>D29+1</f>
        <v>42552</v>
      </c>
      <c r="D30" s="132">
        <f t="shared" ref="D30:D49" si="6">EOMONTH(D29,3)</f>
        <v>42643</v>
      </c>
      <c r="E30" s="72">
        <f t="shared" ref="E30:E48" si="7">D30-C30+1</f>
        <v>92</v>
      </c>
      <c r="F30" s="74">
        <f>VLOOKUP(D30,'FERC Interest Rate'!$A:$C,2,TRUE)</f>
        <v>3.5000000000000003E-2</v>
      </c>
      <c r="G30" s="75">
        <f t="shared" ref="G30:G48" si="8">O29</f>
        <v>511577.01345559739</v>
      </c>
      <c r="H30" s="75">
        <f>G30*F30*(E30/(DATE(YEAR(D30),12,31)-DATE(YEAR(D30),1,1)+1))</f>
        <v>4500.7595172869496</v>
      </c>
      <c r="I30" s="99">
        <v>0</v>
      </c>
      <c r="J30" s="76">
        <v>0</v>
      </c>
      <c r="K30" s="116">
        <f t="shared" ref="K30:K48" si="9">+SUM(I30:J30)</f>
        <v>0</v>
      </c>
      <c r="L30" s="76">
        <v>0</v>
      </c>
      <c r="M30" s="117">
        <f t="shared" ref="M30:M48" si="10">+SUM(K30:L30)</f>
        <v>0</v>
      </c>
      <c r="N30" s="8">
        <f t="shared" ref="N30:N48" si="11">+G30+H30+J30</f>
        <v>516077.77297288436</v>
      </c>
      <c r="O30" s="75">
        <f t="shared" si="2"/>
        <v>516077.77297288436</v>
      </c>
      <c r="Q30" s="132">
        <f>R29+1</f>
        <v>42552</v>
      </c>
      <c r="R30" s="132">
        <f>EOMONTH(R29,3)</f>
        <v>42643</v>
      </c>
      <c r="S30" s="76">
        <f t="shared" si="3"/>
        <v>0</v>
      </c>
      <c r="T30" s="76">
        <f t="shared" si="4"/>
        <v>0</v>
      </c>
      <c r="U30" s="75">
        <f>T30+S30</f>
        <v>0</v>
      </c>
      <c r="V30" s="76">
        <f t="shared" si="5"/>
        <v>0</v>
      </c>
      <c r="W30" s="76"/>
      <c r="X30" s="116"/>
    </row>
    <row r="31" spans="1:24" x14ac:dyDescent="0.25">
      <c r="A31" s="78" t="s">
        <v>21</v>
      </c>
      <c r="B31" s="72" t="str">
        <f t="shared" si="1"/>
        <v>Q4/2016</v>
      </c>
      <c r="C31" s="132">
        <f t="shared" ref="C31:C48" si="12">D30+1</f>
        <v>42644</v>
      </c>
      <c r="D31" s="132">
        <f t="shared" si="6"/>
        <v>42735</v>
      </c>
      <c r="E31" s="72">
        <f t="shared" si="7"/>
        <v>92</v>
      </c>
      <c r="F31" s="74">
        <f>VLOOKUP(D31,'FERC Interest Rate'!$A:$C,2,TRUE)</f>
        <v>3.5000000000000003E-2</v>
      </c>
      <c r="G31" s="75">
        <f t="shared" si="8"/>
        <v>516077.77297288436</v>
      </c>
      <c r="H31" s="75">
        <v>0</v>
      </c>
      <c r="I31" s="99">
        <v>0</v>
      </c>
      <c r="J31" s="76">
        <f t="shared" ref="J31:J48" si="13">G31*F31*(E31/(DATE(YEAR(D31),12,31)-DATE(YEAR(D31),1,1)+1))</f>
        <v>4540.3563633133544</v>
      </c>
      <c r="K31" s="116">
        <f t="shared" si="9"/>
        <v>4540.3563633133544</v>
      </c>
      <c r="L31" s="76">
        <v>0</v>
      </c>
      <c r="M31" s="117">
        <v>0</v>
      </c>
      <c r="N31" s="8">
        <f t="shared" si="11"/>
        <v>520618.12933619769</v>
      </c>
      <c r="O31" s="75">
        <f>+N31-M31</f>
        <v>520618.12933619769</v>
      </c>
      <c r="Q31" s="132">
        <f t="shared" ref="Q31:Q46" si="14">R30+1</f>
        <v>42644</v>
      </c>
      <c r="R31" s="132">
        <f t="shared" ref="R31:R49" si="15">EOMONTH(R30,3)</f>
        <v>42735</v>
      </c>
      <c r="S31" s="76">
        <f t="shared" si="3"/>
        <v>0</v>
      </c>
      <c r="T31" s="76">
        <f t="shared" si="4"/>
        <v>2429.1447667114271</v>
      </c>
      <c r="U31" s="75">
        <f>T31+S31</f>
        <v>2429.1447667114271</v>
      </c>
      <c r="V31" s="76">
        <f t="shared" si="5"/>
        <v>0</v>
      </c>
      <c r="W31" s="76"/>
      <c r="X31" s="116"/>
    </row>
    <row r="32" spans="1:24" x14ac:dyDescent="0.25">
      <c r="A32" s="78" t="s">
        <v>21</v>
      </c>
      <c r="B32" s="72" t="str">
        <f t="shared" si="1"/>
        <v>Q1/2017</v>
      </c>
      <c r="C32" s="132">
        <f t="shared" si="12"/>
        <v>42736</v>
      </c>
      <c r="D32" s="132">
        <f t="shared" si="6"/>
        <v>42825</v>
      </c>
      <c r="E32" s="72">
        <f t="shared" si="7"/>
        <v>90</v>
      </c>
      <c r="F32" s="74">
        <f>VLOOKUP(D32,'FERC Interest Rate'!$A:$C,2,TRUE)</f>
        <v>3.5000000000000003E-2</v>
      </c>
      <c r="G32" s="75">
        <f t="shared" si="8"/>
        <v>520618.12933619769</v>
      </c>
      <c r="H32" s="75">
        <v>0</v>
      </c>
      <c r="I32" s="99">
        <v>0</v>
      </c>
      <c r="J32" s="76">
        <f t="shared" si="13"/>
        <v>4493.0057737233501</v>
      </c>
      <c r="K32" s="116">
        <f t="shared" si="9"/>
        <v>4493.0057737233501</v>
      </c>
      <c r="L32" s="76">
        <v>0</v>
      </c>
      <c r="M32" s="117">
        <v>0</v>
      </c>
      <c r="N32" s="8">
        <f t="shared" si="11"/>
        <v>525111.13510992099</v>
      </c>
      <c r="O32" s="75">
        <f>+N32-M32</f>
        <v>525111.13510992099</v>
      </c>
      <c r="Q32" s="132">
        <f t="shared" si="14"/>
        <v>42736</v>
      </c>
      <c r="R32" s="132">
        <f t="shared" si="15"/>
        <v>42825</v>
      </c>
      <c r="S32" s="76">
        <f t="shared" si="3"/>
        <v>0</v>
      </c>
      <c r="T32" s="76">
        <f t="shared" si="4"/>
        <v>2403.8116369525719</v>
      </c>
      <c r="U32" s="75">
        <f>T32+S32</f>
        <v>2403.8116369525719</v>
      </c>
      <c r="V32" s="76">
        <f t="shared" si="5"/>
        <v>0</v>
      </c>
      <c r="W32" s="76"/>
      <c r="X32" s="116"/>
    </row>
    <row r="33" spans="1:24" x14ac:dyDescent="0.25">
      <c r="A33" s="309" t="s">
        <v>101</v>
      </c>
      <c r="B33" s="72" t="str">
        <f t="shared" si="1"/>
        <v>Q2/2017</v>
      </c>
      <c r="C33" s="132">
        <f t="shared" si="12"/>
        <v>42826</v>
      </c>
      <c r="D33" s="132">
        <f t="shared" si="6"/>
        <v>42916</v>
      </c>
      <c r="E33" s="72">
        <f t="shared" si="7"/>
        <v>91</v>
      </c>
      <c r="F33" s="74">
        <f>VLOOKUP(D33,'FERC Interest Rate'!$A:$C,2,TRUE)</f>
        <v>3.7100000000000001E-2</v>
      </c>
      <c r="G33" s="75">
        <f t="shared" si="8"/>
        <v>525111.13510992099</v>
      </c>
      <c r="H33" s="75">
        <v>0</v>
      </c>
      <c r="I33" s="99">
        <f>(SUM($H$29:$H$50)/20)*4</f>
        <v>1486.787792018808</v>
      </c>
      <c r="J33" s="76">
        <f t="shared" si="13"/>
        <v>4857.0622006701487</v>
      </c>
      <c r="K33" s="116">
        <f>+SUM(I31:J33)</f>
        <v>15377.21212972566</v>
      </c>
      <c r="L33" s="76">
        <f>($C$22/20)*4</f>
        <v>101728.76680255806</v>
      </c>
      <c r="M33" s="117">
        <f t="shared" si="10"/>
        <v>117105.97893228373</v>
      </c>
      <c r="N33" s="8">
        <f t="shared" si="11"/>
        <v>529968.19731059112</v>
      </c>
      <c r="O33" s="75">
        <f>+N33-M33</f>
        <v>412862.21837830741</v>
      </c>
      <c r="Q33" s="132">
        <f t="shared" si="14"/>
        <v>42826</v>
      </c>
      <c r="R33" s="132">
        <f t="shared" si="15"/>
        <v>42916</v>
      </c>
      <c r="S33" s="76">
        <f t="shared" si="3"/>
        <v>2016.3186420848931</v>
      </c>
      <c r="T33" s="76">
        <f t="shared" si="4"/>
        <v>2598.5861642234054</v>
      </c>
      <c r="U33" s="75">
        <f t="shared" ref="U33:U49" si="16">T33+S33</f>
        <v>4614.9048063082982</v>
      </c>
      <c r="V33" s="76">
        <f t="shared" si="5"/>
        <v>53205.23319744195</v>
      </c>
      <c r="W33" s="76"/>
      <c r="X33" s="116"/>
    </row>
    <row r="34" spans="1:24" x14ac:dyDescent="0.25">
      <c r="A34" s="17" t="s">
        <v>56</v>
      </c>
      <c r="B34" s="72" t="str">
        <f t="shared" si="1"/>
        <v>Q3/2017</v>
      </c>
      <c r="C34" s="132">
        <f t="shared" si="12"/>
        <v>42917</v>
      </c>
      <c r="D34" s="132">
        <f t="shared" si="6"/>
        <v>43008</v>
      </c>
      <c r="E34" s="72">
        <f t="shared" si="7"/>
        <v>92</v>
      </c>
      <c r="F34" s="74">
        <f>VLOOKUP(D34,'FERC Interest Rate'!$A:$C,2,TRUE)</f>
        <v>3.9600000000000003E-2</v>
      </c>
      <c r="G34" s="75">
        <f t="shared" si="8"/>
        <v>412862.21837830741</v>
      </c>
      <c r="H34" s="75">
        <v>0</v>
      </c>
      <c r="I34" s="99">
        <f t="shared" ref="I34:I49" si="17">(SUM($H$29:$H$50)/20)</f>
        <v>371.69694800470199</v>
      </c>
      <c r="J34" s="76">
        <f t="shared" si="13"/>
        <v>4120.9305040982181</v>
      </c>
      <c r="K34" s="116">
        <f t="shared" si="9"/>
        <v>4492.62745210292</v>
      </c>
      <c r="L34" s="76">
        <f>($C$22/20)</f>
        <v>25432.191700639516</v>
      </c>
      <c r="M34" s="117">
        <f t="shared" si="10"/>
        <v>29924.819152742435</v>
      </c>
      <c r="N34" s="8">
        <f t="shared" si="11"/>
        <v>416983.14888240566</v>
      </c>
      <c r="O34" s="75">
        <f t="shared" si="2"/>
        <v>387058.32972966321</v>
      </c>
      <c r="Q34" s="132">
        <f t="shared" si="14"/>
        <v>42917</v>
      </c>
      <c r="R34" s="132">
        <f t="shared" si="15"/>
        <v>43008</v>
      </c>
      <c r="S34" s="76">
        <f t="shared" si="3"/>
        <v>504.07966052122327</v>
      </c>
      <c r="T34" s="76">
        <f t="shared" si="4"/>
        <v>2204.7469332796081</v>
      </c>
      <c r="U34" s="75">
        <f t="shared" si="16"/>
        <v>2708.8265938008312</v>
      </c>
      <c r="V34" s="76">
        <f t="shared" si="5"/>
        <v>13301.308299360488</v>
      </c>
      <c r="W34" s="76"/>
      <c r="X34" s="116"/>
    </row>
    <row r="35" spans="1:24" x14ac:dyDescent="0.25">
      <c r="A35" s="17" t="s">
        <v>57</v>
      </c>
      <c r="B35" s="72" t="str">
        <f t="shared" si="1"/>
        <v>Q4/2017</v>
      </c>
      <c r="C35" s="132">
        <f t="shared" si="12"/>
        <v>43009</v>
      </c>
      <c r="D35" s="132">
        <f t="shared" si="6"/>
        <v>43100</v>
      </c>
      <c r="E35" s="72">
        <f t="shared" si="7"/>
        <v>92</v>
      </c>
      <c r="F35" s="74">
        <f>VLOOKUP(D35,'FERC Interest Rate'!$A:$C,2,TRUE)</f>
        <v>4.2099999999999999E-2</v>
      </c>
      <c r="G35" s="75">
        <f t="shared" si="8"/>
        <v>387058.32972966321</v>
      </c>
      <c r="H35" s="75">
        <v>0</v>
      </c>
      <c r="I35" s="99">
        <f t="shared" si="17"/>
        <v>371.69694800470199</v>
      </c>
      <c r="J35" s="76">
        <f t="shared" si="13"/>
        <v>4107.2721170107716</v>
      </c>
      <c r="K35" s="116">
        <f t="shared" si="9"/>
        <v>4478.9690650154735</v>
      </c>
      <c r="L35" s="76">
        <f t="shared" ref="L35:L49" si="18">($C$22/20)</f>
        <v>25432.191700639516</v>
      </c>
      <c r="M35" s="117">
        <f t="shared" si="10"/>
        <v>29911.16076565499</v>
      </c>
      <c r="N35" s="8">
        <f t="shared" si="11"/>
        <v>391165.60184667399</v>
      </c>
      <c r="O35" s="75">
        <f t="shared" si="2"/>
        <v>361254.441081019</v>
      </c>
      <c r="Q35" s="132">
        <f t="shared" si="14"/>
        <v>43009</v>
      </c>
      <c r="R35" s="132">
        <f t="shared" si="15"/>
        <v>43100</v>
      </c>
      <c r="S35" s="76">
        <f t="shared" si="3"/>
        <v>504.07966052122327</v>
      </c>
      <c r="T35" s="76">
        <f t="shared" si="4"/>
        <v>2197.4395334060482</v>
      </c>
      <c r="U35" s="75">
        <f t="shared" si="16"/>
        <v>2701.5191939272713</v>
      </c>
      <c r="V35" s="76">
        <f t="shared" si="5"/>
        <v>13301.308299360488</v>
      </c>
      <c r="W35" s="76"/>
      <c r="X35" s="116"/>
    </row>
    <row r="36" spans="1:24" x14ac:dyDescent="0.25">
      <c r="A36" s="17" t="s">
        <v>58</v>
      </c>
      <c r="B36" s="72" t="str">
        <f t="shared" si="1"/>
        <v>Q1/2018</v>
      </c>
      <c r="C36" s="132">
        <f t="shared" si="12"/>
        <v>43101</v>
      </c>
      <c r="D36" s="132">
        <f t="shared" si="6"/>
        <v>43190</v>
      </c>
      <c r="E36" s="72">
        <f t="shared" si="7"/>
        <v>90</v>
      </c>
      <c r="F36" s="74">
        <f>VLOOKUP(D36,'FERC Interest Rate'!$A:$C,2,TRUE)</f>
        <v>4.2500000000000003E-2</v>
      </c>
      <c r="G36" s="75">
        <f t="shared" si="8"/>
        <v>361254.441081019</v>
      </c>
      <c r="H36" s="75">
        <v>0</v>
      </c>
      <c r="I36" s="99">
        <f t="shared" si="17"/>
        <v>371.69694800470199</v>
      </c>
      <c r="J36" s="76">
        <f t="shared" si="13"/>
        <v>3785.7485948901308</v>
      </c>
      <c r="K36" s="116">
        <f t="shared" si="9"/>
        <v>4157.4455428948331</v>
      </c>
      <c r="L36" s="76">
        <f t="shared" si="18"/>
        <v>25432.191700639516</v>
      </c>
      <c r="M36" s="117">
        <f t="shared" si="10"/>
        <v>29589.637243534351</v>
      </c>
      <c r="N36" s="8">
        <f t="shared" si="11"/>
        <v>365040.18967590912</v>
      </c>
      <c r="O36" s="75">
        <f t="shared" si="2"/>
        <v>335450.5524323748</v>
      </c>
      <c r="Q36" s="132">
        <f t="shared" si="14"/>
        <v>43101</v>
      </c>
      <c r="R36" s="132">
        <f t="shared" si="15"/>
        <v>43190</v>
      </c>
      <c r="S36" s="76">
        <f t="shared" si="3"/>
        <v>504.07966052122327</v>
      </c>
      <c r="T36" s="76">
        <f t="shared" si="4"/>
        <v>2025.4206171278506</v>
      </c>
      <c r="U36" s="75">
        <f t="shared" si="16"/>
        <v>2529.5002776490737</v>
      </c>
      <c r="V36" s="76">
        <f t="shared" si="5"/>
        <v>13301.308299360488</v>
      </c>
      <c r="W36" s="76"/>
      <c r="X36" s="116"/>
    </row>
    <row r="37" spans="1:24" x14ac:dyDescent="0.25">
      <c r="A37" s="17" t="s">
        <v>59</v>
      </c>
      <c r="B37" s="72" t="str">
        <f t="shared" si="1"/>
        <v>Q2/2018</v>
      </c>
      <c r="C37" s="132">
        <f t="shared" si="12"/>
        <v>43191</v>
      </c>
      <c r="D37" s="132">
        <f t="shared" si="6"/>
        <v>43281</v>
      </c>
      <c r="E37" s="72">
        <f t="shared" si="7"/>
        <v>91</v>
      </c>
      <c r="F37" s="74">
        <f>VLOOKUP(D37,'FERC Interest Rate'!$A:$C,2,TRUE)</f>
        <v>4.4699999999999997E-2</v>
      </c>
      <c r="G37" s="75">
        <f t="shared" si="8"/>
        <v>335450.5524323748</v>
      </c>
      <c r="H37" s="75">
        <v>0</v>
      </c>
      <c r="I37" s="99">
        <f t="shared" si="17"/>
        <v>371.69694800470199</v>
      </c>
      <c r="J37" s="76">
        <f t="shared" si="13"/>
        <v>3738.3896222717012</v>
      </c>
      <c r="K37" s="116">
        <f t="shared" si="9"/>
        <v>4110.0865702764031</v>
      </c>
      <c r="L37" s="76">
        <f t="shared" si="18"/>
        <v>25432.191700639516</v>
      </c>
      <c r="M37" s="117">
        <f t="shared" si="10"/>
        <v>29542.278270915918</v>
      </c>
      <c r="N37" s="8">
        <f t="shared" si="11"/>
        <v>339188.9420546465</v>
      </c>
      <c r="O37" s="75">
        <f t="shared" si="2"/>
        <v>309646.66378373059</v>
      </c>
      <c r="Q37" s="132">
        <f t="shared" si="14"/>
        <v>43191</v>
      </c>
      <c r="R37" s="132">
        <f t="shared" si="15"/>
        <v>43281</v>
      </c>
      <c r="S37" s="76">
        <f t="shared" si="3"/>
        <v>504.07966052122327</v>
      </c>
      <c r="T37" s="76">
        <f t="shared" si="4"/>
        <v>2000.0830023488782</v>
      </c>
      <c r="U37" s="75">
        <f t="shared" si="16"/>
        <v>2504.1626628701015</v>
      </c>
      <c r="V37" s="76">
        <f t="shared" si="5"/>
        <v>13301.308299360488</v>
      </c>
      <c r="W37" s="76"/>
      <c r="X37" s="116"/>
    </row>
    <row r="38" spans="1:24" x14ac:dyDescent="0.25">
      <c r="A38" s="17" t="s">
        <v>60</v>
      </c>
      <c r="B38" s="72" t="str">
        <f t="shared" si="1"/>
        <v>Q3/2018</v>
      </c>
      <c r="C38" s="132">
        <f t="shared" si="12"/>
        <v>43282</v>
      </c>
      <c r="D38" s="132">
        <f t="shared" si="6"/>
        <v>43373</v>
      </c>
      <c r="E38" s="72">
        <f t="shared" si="7"/>
        <v>92</v>
      </c>
      <c r="F38" s="74">
        <f>VLOOKUP(D38,'FERC Interest Rate'!$A:$C,2,TRUE)</f>
        <v>4.6899999999999997E-2</v>
      </c>
      <c r="G38" s="75">
        <f t="shared" si="8"/>
        <v>309646.66378373059</v>
      </c>
      <c r="H38" s="75">
        <v>0</v>
      </c>
      <c r="I38" s="99">
        <f t="shared" si="17"/>
        <v>371.69694800470199</v>
      </c>
      <c r="J38" s="76">
        <f t="shared" si="13"/>
        <v>3660.4477394357282</v>
      </c>
      <c r="K38" s="116">
        <f t="shared" si="9"/>
        <v>4032.1446874404301</v>
      </c>
      <c r="L38" s="76">
        <f t="shared" si="18"/>
        <v>25432.191700639516</v>
      </c>
      <c r="M38" s="117">
        <f t="shared" si="10"/>
        <v>29464.336388079944</v>
      </c>
      <c r="N38" s="8">
        <f t="shared" si="11"/>
        <v>313307.1115231663</v>
      </c>
      <c r="O38" s="75">
        <f t="shared" si="2"/>
        <v>283842.77513508638</v>
      </c>
      <c r="Q38" s="132">
        <f t="shared" si="14"/>
        <v>43282</v>
      </c>
      <c r="R38" s="132">
        <f t="shared" si="15"/>
        <v>43373</v>
      </c>
      <c r="S38" s="76">
        <f t="shared" si="3"/>
        <v>504.07966052122327</v>
      </c>
      <c r="T38" s="76">
        <f t="shared" si="4"/>
        <v>1958.3831661138934</v>
      </c>
      <c r="U38" s="75">
        <f t="shared" si="16"/>
        <v>2462.4628266351165</v>
      </c>
      <c r="V38" s="76">
        <f t="shared" si="5"/>
        <v>13301.308299360488</v>
      </c>
      <c r="W38" s="76"/>
      <c r="X38" s="116"/>
    </row>
    <row r="39" spans="1:24" x14ac:dyDescent="0.25">
      <c r="A39" s="17" t="s">
        <v>61</v>
      </c>
      <c r="B39" s="72" t="str">
        <f t="shared" si="1"/>
        <v>Q4/2018</v>
      </c>
      <c r="C39" s="132">
        <f t="shared" si="12"/>
        <v>43374</v>
      </c>
      <c r="D39" s="132">
        <f t="shared" si="6"/>
        <v>43465</v>
      </c>
      <c r="E39" s="72">
        <f t="shared" si="7"/>
        <v>92</v>
      </c>
      <c r="F39" s="74">
        <f>VLOOKUP(D39,'FERC Interest Rate'!$A:$C,2,TRUE)</f>
        <v>4.9599999999999998E-2</v>
      </c>
      <c r="G39" s="75">
        <f t="shared" si="8"/>
        <v>283842.77513508638</v>
      </c>
      <c r="H39" s="75">
        <v>0</v>
      </c>
      <c r="I39" s="99">
        <f t="shared" si="17"/>
        <v>371.69694800470199</v>
      </c>
      <c r="J39" s="76">
        <f t="shared" si="13"/>
        <v>3548.5790451956886</v>
      </c>
      <c r="K39" s="116">
        <f t="shared" si="9"/>
        <v>3920.2759932003905</v>
      </c>
      <c r="L39" s="76">
        <f t="shared" si="18"/>
        <v>25432.191700639516</v>
      </c>
      <c r="M39" s="117">
        <f t="shared" si="10"/>
        <v>29352.467693839906</v>
      </c>
      <c r="N39" s="8">
        <f t="shared" si="11"/>
        <v>287391.3541802821</v>
      </c>
      <c r="O39" s="75">
        <f t="shared" si="2"/>
        <v>258038.88648644215</v>
      </c>
      <c r="Q39" s="132">
        <f t="shared" si="14"/>
        <v>43374</v>
      </c>
      <c r="R39" s="132">
        <f t="shared" si="15"/>
        <v>43465</v>
      </c>
      <c r="S39" s="76">
        <f t="shared" si="3"/>
        <v>504.07966052122327</v>
      </c>
      <c r="T39" s="76">
        <f t="shared" si="4"/>
        <v>1898.5320814352169</v>
      </c>
      <c r="U39" s="75">
        <f t="shared" si="16"/>
        <v>2402.6117419564403</v>
      </c>
      <c r="V39" s="76">
        <f t="shared" si="5"/>
        <v>13301.308299360488</v>
      </c>
      <c r="W39" s="76"/>
      <c r="X39" s="116"/>
    </row>
    <row r="40" spans="1:24" x14ac:dyDescent="0.25">
      <c r="A40" s="17" t="s">
        <v>62</v>
      </c>
      <c r="B40" s="72" t="str">
        <f t="shared" si="1"/>
        <v>Q1/2019</v>
      </c>
      <c r="C40" s="132">
        <f t="shared" si="12"/>
        <v>43466</v>
      </c>
      <c r="D40" s="132">
        <f t="shared" si="6"/>
        <v>43555</v>
      </c>
      <c r="E40" s="72">
        <f t="shared" si="7"/>
        <v>90</v>
      </c>
      <c r="F40" s="74">
        <f>VLOOKUP(D40,'FERC Interest Rate'!$A:$C,2,TRUE)</f>
        <v>5.1799999999999999E-2</v>
      </c>
      <c r="G40" s="75">
        <f t="shared" si="8"/>
        <v>258038.88648644215</v>
      </c>
      <c r="H40" s="75">
        <v>0</v>
      </c>
      <c r="I40" s="99">
        <f t="shared" si="17"/>
        <v>371.69694800470199</v>
      </c>
      <c r="J40" s="76">
        <f t="shared" si="13"/>
        <v>3295.8281884925841</v>
      </c>
      <c r="K40" s="116">
        <f t="shared" si="9"/>
        <v>3667.525136497286</v>
      </c>
      <c r="L40" s="76">
        <f t="shared" si="18"/>
        <v>25432.191700639516</v>
      </c>
      <c r="M40" s="117">
        <f t="shared" si="10"/>
        <v>29099.716837136802</v>
      </c>
      <c r="N40" s="8">
        <f t="shared" si="11"/>
        <v>261334.71467493474</v>
      </c>
      <c r="O40" s="75">
        <f t="shared" si="2"/>
        <v>232234.99783779791</v>
      </c>
      <c r="Q40" s="132">
        <f t="shared" si="14"/>
        <v>43466</v>
      </c>
      <c r="R40" s="132">
        <f t="shared" si="15"/>
        <v>43555</v>
      </c>
      <c r="S40" s="76">
        <f t="shared" si="3"/>
        <v>504.07966052122327</v>
      </c>
      <c r="T40" s="76">
        <f t="shared" si="4"/>
        <v>1763.3073607936578</v>
      </c>
      <c r="U40" s="75">
        <f t="shared" si="16"/>
        <v>2267.3870213148812</v>
      </c>
      <c r="V40" s="76">
        <f t="shared" si="5"/>
        <v>13301.308299360488</v>
      </c>
      <c r="W40" s="76"/>
      <c r="X40" s="116"/>
    </row>
    <row r="41" spans="1:24" x14ac:dyDescent="0.25">
      <c r="A41" s="17" t="s">
        <v>63</v>
      </c>
      <c r="B41" s="72" t="str">
        <f t="shared" si="1"/>
        <v>Q2/2019</v>
      </c>
      <c r="C41" s="132">
        <f t="shared" si="12"/>
        <v>43556</v>
      </c>
      <c r="D41" s="132">
        <f t="shared" si="6"/>
        <v>43646</v>
      </c>
      <c r="E41" s="72">
        <f t="shared" si="7"/>
        <v>91</v>
      </c>
      <c r="F41" s="74">
        <f>VLOOKUP(D41,'FERC Interest Rate'!$A:$C,2,TRUE)</f>
        <v>5.45E-2</v>
      </c>
      <c r="G41" s="75">
        <f t="shared" si="8"/>
        <v>232234.99783779791</v>
      </c>
      <c r="H41" s="75">
        <v>0</v>
      </c>
      <c r="I41" s="99">
        <f t="shared" si="17"/>
        <v>371.69694800470199</v>
      </c>
      <c r="J41" s="76">
        <f t="shared" si="13"/>
        <v>3155.5327993878323</v>
      </c>
      <c r="K41" s="116">
        <f t="shared" si="9"/>
        <v>3527.2297473925341</v>
      </c>
      <c r="L41" s="76">
        <f t="shared" si="18"/>
        <v>25432.191700639516</v>
      </c>
      <c r="M41" s="117">
        <f t="shared" si="10"/>
        <v>28959.421448032052</v>
      </c>
      <c r="N41" s="8">
        <f t="shared" si="11"/>
        <v>235390.53063718576</v>
      </c>
      <c r="O41" s="75">
        <f t="shared" si="2"/>
        <v>206431.10918915368</v>
      </c>
      <c r="Q41" s="132">
        <f t="shared" si="14"/>
        <v>43556</v>
      </c>
      <c r="R41" s="132">
        <f t="shared" si="15"/>
        <v>43646</v>
      </c>
      <c r="S41" s="76">
        <f t="shared" si="3"/>
        <v>504.07966052122327</v>
      </c>
      <c r="T41" s="76">
        <f t="shared" si="4"/>
        <v>1688.2476555706844</v>
      </c>
      <c r="U41" s="75">
        <f t="shared" si="16"/>
        <v>2192.3273160919075</v>
      </c>
      <c r="V41" s="76">
        <f t="shared" si="5"/>
        <v>13301.308299360488</v>
      </c>
      <c r="W41" s="76"/>
      <c r="X41" s="116"/>
    </row>
    <row r="42" spans="1:24" x14ac:dyDescent="0.25">
      <c r="A42" s="17" t="s">
        <v>64</v>
      </c>
      <c r="B42" s="72" t="str">
        <f t="shared" si="1"/>
        <v>Q3/2019</v>
      </c>
      <c r="C42" s="132">
        <f t="shared" si="12"/>
        <v>43647</v>
      </c>
      <c r="D42" s="132">
        <f t="shared" si="6"/>
        <v>43738</v>
      </c>
      <c r="E42" s="72">
        <f t="shared" si="7"/>
        <v>92</v>
      </c>
      <c r="F42" s="74">
        <f>VLOOKUP(D42,'FERC Interest Rate'!$A:$C,2,TRUE)</f>
        <v>5.5E-2</v>
      </c>
      <c r="G42" s="75">
        <f t="shared" si="8"/>
        <v>206431.10918915368</v>
      </c>
      <c r="H42" s="75">
        <v>0</v>
      </c>
      <c r="I42" s="99">
        <f t="shared" si="17"/>
        <v>371.69694800470199</v>
      </c>
      <c r="J42" s="76">
        <f t="shared" si="13"/>
        <v>2861.7572945126512</v>
      </c>
      <c r="K42" s="116">
        <f t="shared" si="9"/>
        <v>3233.4542425173531</v>
      </c>
      <c r="L42" s="76">
        <f t="shared" si="18"/>
        <v>25432.191700639516</v>
      </c>
      <c r="M42" s="117">
        <f t="shared" si="10"/>
        <v>28665.645943156869</v>
      </c>
      <c r="N42" s="8">
        <f t="shared" si="11"/>
        <v>209292.86648366632</v>
      </c>
      <c r="O42" s="75">
        <f t="shared" si="2"/>
        <v>180627.22054050944</v>
      </c>
      <c r="Q42" s="132">
        <f t="shared" si="14"/>
        <v>43647</v>
      </c>
      <c r="R42" s="132">
        <f t="shared" si="15"/>
        <v>43738</v>
      </c>
      <c r="S42" s="76">
        <f t="shared" si="3"/>
        <v>504.07966052122327</v>
      </c>
      <c r="T42" s="76">
        <f t="shared" si="4"/>
        <v>1531.074259221949</v>
      </c>
      <c r="U42" s="75">
        <f t="shared" si="16"/>
        <v>2035.1539197431723</v>
      </c>
      <c r="V42" s="76">
        <f t="shared" si="5"/>
        <v>13301.308299360488</v>
      </c>
      <c r="W42" s="76"/>
      <c r="X42" s="116"/>
    </row>
    <row r="43" spans="1:24" x14ac:dyDescent="0.25">
      <c r="A43" s="17" t="s">
        <v>65</v>
      </c>
      <c r="B43" s="72" t="str">
        <f t="shared" si="1"/>
        <v>Q4/2019</v>
      </c>
      <c r="C43" s="132">
        <f t="shared" si="12"/>
        <v>43739</v>
      </c>
      <c r="D43" s="132">
        <f t="shared" si="6"/>
        <v>43830</v>
      </c>
      <c r="E43" s="72">
        <f t="shared" si="7"/>
        <v>92</v>
      </c>
      <c r="F43" s="74">
        <f>VLOOKUP(D43,'FERC Interest Rate'!$A:$C,2,TRUE)</f>
        <v>5.4199999999999998E-2</v>
      </c>
      <c r="G43" s="75">
        <f t="shared" si="8"/>
        <v>180627.22054050944</v>
      </c>
      <c r="H43" s="75">
        <v>0</v>
      </c>
      <c r="I43" s="99">
        <f t="shared" si="17"/>
        <v>371.69694800470199</v>
      </c>
      <c r="J43" s="76">
        <f t="shared" si="13"/>
        <v>2467.6152671320447</v>
      </c>
      <c r="K43" s="116">
        <f t="shared" si="9"/>
        <v>2839.3122151367465</v>
      </c>
      <c r="L43" s="76">
        <f t="shared" si="18"/>
        <v>25432.191700639516</v>
      </c>
      <c r="M43" s="117">
        <f t="shared" si="10"/>
        <v>28271.503915776262</v>
      </c>
      <c r="N43" s="8">
        <f t="shared" si="11"/>
        <v>183094.83580764147</v>
      </c>
      <c r="O43" s="75">
        <f t="shared" si="2"/>
        <v>154823.33189186521</v>
      </c>
      <c r="Q43" s="132">
        <f t="shared" si="14"/>
        <v>43739</v>
      </c>
      <c r="R43" s="132">
        <f t="shared" si="15"/>
        <v>43830</v>
      </c>
      <c r="S43" s="76">
        <f t="shared" si="3"/>
        <v>504.07966052122327</v>
      </c>
      <c r="T43" s="76">
        <f t="shared" si="4"/>
        <v>1320.2035771563803</v>
      </c>
      <c r="U43" s="75">
        <f t="shared" si="16"/>
        <v>1824.2832376776037</v>
      </c>
      <c r="V43" s="76">
        <f t="shared" si="5"/>
        <v>13301.308299360488</v>
      </c>
      <c r="W43" s="76"/>
      <c r="X43" s="116"/>
    </row>
    <row r="44" spans="1:24" x14ac:dyDescent="0.25">
      <c r="A44" s="17" t="s">
        <v>66</v>
      </c>
      <c r="B44" s="72" t="str">
        <f t="shared" si="1"/>
        <v>Q1/2020</v>
      </c>
      <c r="C44" s="132">
        <f t="shared" si="12"/>
        <v>43831</v>
      </c>
      <c r="D44" s="132">
        <f t="shared" si="6"/>
        <v>43921</v>
      </c>
      <c r="E44" s="72">
        <f t="shared" si="7"/>
        <v>91</v>
      </c>
      <c r="F44" s="74">
        <f>VLOOKUP(D44,'FERC Interest Rate'!$A:$C,2,TRUE)</f>
        <v>4.9599999999999998E-2</v>
      </c>
      <c r="G44" s="75">
        <f t="shared" si="8"/>
        <v>154823.33189186521</v>
      </c>
      <c r="H44" s="75">
        <v>0</v>
      </c>
      <c r="I44" s="99">
        <f t="shared" si="17"/>
        <v>371.69694800470199</v>
      </c>
      <c r="J44" s="76">
        <f t="shared" si="13"/>
        <v>1909.3185541724667</v>
      </c>
      <c r="K44" s="116">
        <f t="shared" si="9"/>
        <v>2281.0155021771689</v>
      </c>
      <c r="L44" s="76">
        <f t="shared" si="18"/>
        <v>25432.191700639516</v>
      </c>
      <c r="M44" s="117">
        <f t="shared" si="10"/>
        <v>27713.207202816684</v>
      </c>
      <c r="N44" s="8">
        <f t="shared" si="11"/>
        <v>156732.65044603767</v>
      </c>
      <c r="O44" s="75">
        <f t="shared" si="2"/>
        <v>129019.44324322099</v>
      </c>
      <c r="Q44" s="132">
        <f t="shared" si="14"/>
        <v>43831</v>
      </c>
      <c r="R44" s="132">
        <f t="shared" si="15"/>
        <v>43921</v>
      </c>
      <c r="S44" s="76">
        <f t="shared" si="3"/>
        <v>504.07966052122327</v>
      </c>
      <c r="T44" s="76">
        <f t="shared" si="4"/>
        <v>1021.5081818970825</v>
      </c>
      <c r="U44" s="75">
        <f t="shared" si="16"/>
        <v>1525.5878424183059</v>
      </c>
      <c r="V44" s="76">
        <f t="shared" si="5"/>
        <v>13301.308299360488</v>
      </c>
      <c r="W44" s="76"/>
      <c r="X44" s="116"/>
    </row>
    <row r="45" spans="1:24" x14ac:dyDescent="0.25">
      <c r="A45" s="17" t="s">
        <v>67</v>
      </c>
      <c r="B45" s="72" t="str">
        <f t="shared" si="1"/>
        <v>Q2/2020</v>
      </c>
      <c r="C45" s="132">
        <f t="shared" si="12"/>
        <v>43922</v>
      </c>
      <c r="D45" s="132">
        <f t="shared" si="6"/>
        <v>44012</v>
      </c>
      <c r="E45" s="72">
        <f t="shared" si="7"/>
        <v>91</v>
      </c>
      <c r="F45" s="74">
        <f>VLOOKUP(D45,'FERC Interest Rate'!$A:$C,2,TRUE)</f>
        <v>4.7503500000000004E-2</v>
      </c>
      <c r="G45" s="75">
        <f t="shared" si="8"/>
        <v>129019.44324322099</v>
      </c>
      <c r="H45" s="75">
        <v>0</v>
      </c>
      <c r="I45" s="99">
        <f t="shared" si="17"/>
        <v>371.69694800470199</v>
      </c>
      <c r="J45" s="76">
        <f t="shared" si="13"/>
        <v>1523.846000304633</v>
      </c>
      <c r="K45" s="116">
        <f t="shared" si="9"/>
        <v>1895.5429483093349</v>
      </c>
      <c r="L45" s="76">
        <f t="shared" si="18"/>
        <v>25432.191700639516</v>
      </c>
      <c r="M45" s="117">
        <f t="shared" si="10"/>
        <v>27327.734648948852</v>
      </c>
      <c r="N45" s="8">
        <f t="shared" si="11"/>
        <v>130543.28924352562</v>
      </c>
      <c r="O45" s="75">
        <f t="shared" si="2"/>
        <v>103215.55459457678</v>
      </c>
      <c r="Q45" s="132">
        <f t="shared" si="14"/>
        <v>43922</v>
      </c>
      <c r="R45" s="132">
        <f t="shared" si="15"/>
        <v>44012</v>
      </c>
      <c r="S45" s="76">
        <f t="shared" si="3"/>
        <v>504.07966052122327</v>
      </c>
      <c r="T45" s="76">
        <f t="shared" si="4"/>
        <v>815.27577148434239</v>
      </c>
      <c r="U45" s="75">
        <f t="shared" si="16"/>
        <v>1319.3554320055657</v>
      </c>
      <c r="V45" s="76">
        <f t="shared" si="5"/>
        <v>13301.308299360488</v>
      </c>
      <c r="W45" s="76"/>
      <c r="X45" s="116"/>
    </row>
    <row r="46" spans="1:24" x14ac:dyDescent="0.25">
      <c r="A46" s="17" t="s">
        <v>68</v>
      </c>
      <c r="B46" s="72" t="str">
        <f t="shared" si="1"/>
        <v>Q3/2020</v>
      </c>
      <c r="C46" s="132">
        <f t="shared" si="12"/>
        <v>44013</v>
      </c>
      <c r="D46" s="132">
        <f t="shared" si="6"/>
        <v>44104</v>
      </c>
      <c r="E46" s="72">
        <f t="shared" si="7"/>
        <v>92</v>
      </c>
      <c r="F46" s="74">
        <f>VLOOKUP(D46,'FERC Interest Rate'!$A:$C,2,TRUE)</f>
        <v>4.7507929999999997E-2</v>
      </c>
      <c r="G46" s="75">
        <f t="shared" si="8"/>
        <v>103215.55459457678</v>
      </c>
      <c r="H46" s="75">
        <v>0</v>
      </c>
      <c r="I46" s="99">
        <f t="shared" si="17"/>
        <v>371.69694800470199</v>
      </c>
      <c r="J46" s="76">
        <f t="shared" si="13"/>
        <v>1232.5881844762584</v>
      </c>
      <c r="K46" s="116">
        <f t="shared" si="9"/>
        <v>1604.2851324809603</v>
      </c>
      <c r="L46" s="76">
        <f t="shared" si="18"/>
        <v>25432.191700639516</v>
      </c>
      <c r="M46" s="117">
        <f t="shared" si="10"/>
        <v>27036.476833120476</v>
      </c>
      <c r="N46" s="8">
        <f t="shared" si="11"/>
        <v>104448.14277905304</v>
      </c>
      <c r="O46" s="75">
        <f t="shared" si="2"/>
        <v>77411.665945932575</v>
      </c>
      <c r="Q46" s="132">
        <f t="shared" si="14"/>
        <v>44013</v>
      </c>
      <c r="R46" s="132">
        <f t="shared" si="15"/>
        <v>44104</v>
      </c>
      <c r="S46" s="76">
        <f t="shared" si="3"/>
        <v>504.07966052122327</v>
      </c>
      <c r="T46" s="76">
        <f t="shared" si="4"/>
        <v>659.44936878167232</v>
      </c>
      <c r="U46" s="75">
        <f t="shared" si="16"/>
        <v>1163.5290293028957</v>
      </c>
      <c r="V46" s="76">
        <f t="shared" si="5"/>
        <v>13301.308299360488</v>
      </c>
      <c r="W46" s="76"/>
      <c r="X46" s="116"/>
    </row>
    <row r="47" spans="1:24" x14ac:dyDescent="0.25">
      <c r="A47" s="17" t="s">
        <v>69</v>
      </c>
      <c r="B47" s="72" t="str">
        <f t="shared" si="1"/>
        <v>Q4/2020</v>
      </c>
      <c r="C47" s="132">
        <f t="shared" si="12"/>
        <v>44105</v>
      </c>
      <c r="D47" s="132">
        <f t="shared" si="6"/>
        <v>44196</v>
      </c>
      <c r="E47" s="72">
        <f t="shared" si="7"/>
        <v>92</v>
      </c>
      <c r="F47" s="74">
        <f>VLOOKUP(D47,'FERC Interest Rate'!$A:$C,2,TRUE)</f>
        <v>4.7922320000000004E-2</v>
      </c>
      <c r="G47" s="75">
        <f t="shared" si="8"/>
        <v>77411.665945932575</v>
      </c>
      <c r="H47" s="75">
        <v>0</v>
      </c>
      <c r="I47" s="99">
        <f t="shared" si="17"/>
        <v>371.69694800470199</v>
      </c>
      <c r="J47" s="76">
        <f t="shared" si="13"/>
        <v>932.50461667173693</v>
      </c>
      <c r="K47" s="116">
        <f t="shared" si="9"/>
        <v>1304.2015646764389</v>
      </c>
      <c r="L47" s="76">
        <f t="shared" si="18"/>
        <v>25432.191700639516</v>
      </c>
      <c r="M47" s="117">
        <f t="shared" si="10"/>
        <v>26736.393265315954</v>
      </c>
      <c r="N47" s="8">
        <f t="shared" si="11"/>
        <v>78344.170562604311</v>
      </c>
      <c r="O47" s="75">
        <f t="shared" si="2"/>
        <v>51607.777297288354</v>
      </c>
      <c r="Q47" s="132">
        <f>R46+1</f>
        <v>44105</v>
      </c>
      <c r="R47" s="132">
        <f t="shared" si="15"/>
        <v>44196</v>
      </c>
      <c r="S47" s="76">
        <f t="shared" si="3"/>
        <v>504.07966052122327</v>
      </c>
      <c r="T47" s="76">
        <f t="shared" si="4"/>
        <v>498.9010835857294</v>
      </c>
      <c r="U47" s="75">
        <f t="shared" si="16"/>
        <v>1002.9807441069527</v>
      </c>
      <c r="V47" s="76">
        <f t="shared" si="5"/>
        <v>13301.308299360488</v>
      </c>
      <c r="W47" s="76"/>
      <c r="X47" s="116"/>
    </row>
    <row r="48" spans="1:24" x14ac:dyDescent="0.25">
      <c r="A48" s="17" t="s">
        <v>70</v>
      </c>
      <c r="B48" s="72" t="str">
        <f t="shared" si="1"/>
        <v>Q1/2021</v>
      </c>
      <c r="C48" s="132">
        <f t="shared" si="12"/>
        <v>44197</v>
      </c>
      <c r="D48" s="132">
        <f t="shared" si="6"/>
        <v>44286</v>
      </c>
      <c r="E48" s="72">
        <f t="shared" si="7"/>
        <v>90</v>
      </c>
      <c r="F48" s="74">
        <f>VLOOKUP(D48,'FERC Interest Rate'!$A:$C,2,TRUE)</f>
        <v>5.0023470000000007E-2</v>
      </c>
      <c r="G48" s="75">
        <f t="shared" si="8"/>
        <v>51607.777297288354</v>
      </c>
      <c r="H48" s="75">
        <v>0</v>
      </c>
      <c r="I48" s="99">
        <f t="shared" si="17"/>
        <v>371.69694800470199</v>
      </c>
      <c r="J48" s="76">
        <f t="shared" si="13"/>
        <v>636.55892861858263</v>
      </c>
      <c r="K48" s="116">
        <f t="shared" si="9"/>
        <v>1008.2558766232846</v>
      </c>
      <c r="L48" s="76">
        <f t="shared" si="18"/>
        <v>25432.191700639516</v>
      </c>
      <c r="M48" s="117">
        <f t="shared" si="10"/>
        <v>26440.447577262799</v>
      </c>
      <c r="N48" s="8">
        <f t="shared" si="11"/>
        <v>52244.33622590694</v>
      </c>
      <c r="O48" s="75">
        <f t="shared" si="2"/>
        <v>25803.888648644137</v>
      </c>
      <c r="Q48" s="132">
        <f>R47+1</f>
        <v>44197</v>
      </c>
      <c r="R48" s="132">
        <f t="shared" si="15"/>
        <v>44286</v>
      </c>
      <c r="S48" s="76">
        <f t="shared" si="3"/>
        <v>504.07966052122327</v>
      </c>
      <c r="T48" s="76">
        <f t="shared" si="4"/>
        <v>340.56661337235744</v>
      </c>
      <c r="U48" s="75">
        <f t="shared" si="16"/>
        <v>844.64627389358066</v>
      </c>
      <c r="V48" s="76">
        <f t="shared" si="5"/>
        <v>13301.308299360488</v>
      </c>
      <c r="W48" s="76"/>
      <c r="X48" s="116"/>
    </row>
    <row r="49" spans="1:24" x14ac:dyDescent="0.25">
      <c r="A49" s="17" t="s">
        <v>71</v>
      </c>
      <c r="B49" s="72" t="str">
        <f>+IF(MONTH(C49)&lt;4,"Q1",IF(MONTH(C49)&lt;7,"Q2",IF(MONTH(C49)&lt;10,"Q3","Q4")))&amp;"/"&amp;YEAR(C49)</f>
        <v>Q2/2021</v>
      </c>
      <c r="C49" s="132">
        <f>D48+1</f>
        <v>44287</v>
      </c>
      <c r="D49" s="132">
        <f t="shared" si="6"/>
        <v>44377</v>
      </c>
      <c r="E49" s="72">
        <f>D49-C49+1</f>
        <v>91</v>
      </c>
      <c r="F49" s="74">
        <f>VLOOKUP(D49,'FERC Interest Rate'!$A:$C,2,TRUE)</f>
        <v>5.0403730000000001E-2</v>
      </c>
      <c r="G49" s="75">
        <f>O48</f>
        <v>25803.888648644137</v>
      </c>
      <c r="H49" s="75">
        <v>0</v>
      </c>
      <c r="I49" s="99">
        <f t="shared" si="17"/>
        <v>371.69694800470199</v>
      </c>
      <c r="J49" s="76">
        <f>G49*F49*(E49/(DATE(YEAR(D49),12,31)-DATE(YEAR(D49),1,1)+1))</f>
        <v>324.26222880017946</v>
      </c>
      <c r="K49" s="116">
        <f>+SUM(I49:J49)</f>
        <v>695.95917680488151</v>
      </c>
      <c r="L49" s="76">
        <f t="shared" si="18"/>
        <v>25432.191700639516</v>
      </c>
      <c r="M49" s="117">
        <f>+SUM(K49:L49)</f>
        <v>26128.150877444397</v>
      </c>
      <c r="N49" s="8">
        <f>+G49+H49+J49</f>
        <v>26128.150877444317</v>
      </c>
      <c r="O49" s="75">
        <f>G49+H49-L49-I49</f>
        <v>-8.1058715295512229E-11</v>
      </c>
      <c r="Q49" s="132">
        <f>R48+1</f>
        <v>44287</v>
      </c>
      <c r="R49" s="132">
        <f t="shared" si="15"/>
        <v>44377</v>
      </c>
      <c r="S49" s="76">
        <f t="shared" si="3"/>
        <v>504.07966052122327</v>
      </c>
      <c r="T49" s="76">
        <f t="shared" si="4"/>
        <v>173.48415699188064</v>
      </c>
      <c r="U49" s="75">
        <f t="shared" si="16"/>
        <v>677.56381751310391</v>
      </c>
      <c r="V49" s="76">
        <f t="shared" si="5"/>
        <v>13301.308299360488</v>
      </c>
      <c r="W49" s="76"/>
      <c r="X49" s="116"/>
    </row>
    <row r="50" spans="1:24" x14ac:dyDescent="0.25">
      <c r="A50" s="17"/>
      <c r="B50" s="72"/>
      <c r="C50" s="132"/>
      <c r="D50" s="132"/>
      <c r="E50" s="72"/>
      <c r="F50" s="74"/>
      <c r="G50" s="75"/>
      <c r="H50" s="75"/>
      <c r="I50" s="99"/>
      <c r="J50" s="76"/>
      <c r="K50" s="116"/>
      <c r="L50" s="76"/>
      <c r="M50" s="117"/>
      <c r="N50" s="8"/>
      <c r="O50" s="75"/>
      <c r="Q50" s="132"/>
      <c r="R50" s="132"/>
      <c r="S50" s="76"/>
      <c r="T50" s="76"/>
      <c r="U50" s="75"/>
      <c r="V50" s="76"/>
      <c r="W50" s="76"/>
      <c r="X50" s="116"/>
    </row>
    <row r="51" spans="1:24" ht="13.5" thickBot="1" x14ac:dyDescent="0.35">
      <c r="A51" s="142"/>
      <c r="B51" s="143"/>
      <c r="C51" s="146"/>
      <c r="D51" s="146"/>
      <c r="E51" s="145"/>
      <c r="F51" s="143"/>
      <c r="G51" s="127">
        <f t="shared" ref="G51:O51" si="19">+SUM(G29:G49)</f>
        <v>6091356.7411030028</v>
      </c>
      <c r="H51" s="127">
        <f t="shared" si="19"/>
        <v>7433.9389600940394</v>
      </c>
      <c r="I51" s="128">
        <f t="shared" si="19"/>
        <v>7433.9389600940385</v>
      </c>
      <c r="J51" s="127">
        <f t="shared" si="19"/>
        <v>55191.604023178057</v>
      </c>
      <c r="K51" s="127">
        <f t="shared" si="19"/>
        <v>71658.905120308802</v>
      </c>
      <c r="L51" s="127">
        <f t="shared" si="19"/>
        <v>508643.83401279018</v>
      </c>
      <c r="M51" s="129">
        <f t="shared" si="19"/>
        <v>571269.37699606235</v>
      </c>
      <c r="N51" s="127">
        <f t="shared" si="19"/>
        <v>6153982.2840862749</v>
      </c>
      <c r="O51" s="127">
        <f t="shared" si="19"/>
        <v>5582712.9070902122</v>
      </c>
      <c r="Q51" s="111"/>
      <c r="R51" s="111"/>
      <c r="S51" s="172">
        <f>SUM(S29:S50)</f>
        <v>10081.593210424468</v>
      </c>
      <c r="T51" s="172">
        <f>SUM(T29:T50)</f>
        <v>29528.165930454634</v>
      </c>
      <c r="U51" s="172">
        <f>SUM(U29:U50)</f>
        <v>39609.75914087909</v>
      </c>
      <c r="V51" s="172">
        <f>SUM(V29:V50)</f>
        <v>266026.16598720965</v>
      </c>
      <c r="W51" s="103"/>
      <c r="X51" s="103"/>
    </row>
    <row r="52" spans="1:24" ht="13" thickTop="1" x14ac:dyDescent="0.25">
      <c r="B52" s="11"/>
      <c r="C52" s="111"/>
      <c r="D52" s="111"/>
      <c r="E52" s="10"/>
      <c r="F52" s="11"/>
      <c r="G52" s="76"/>
      <c r="H52" s="58"/>
      <c r="I52" s="101"/>
      <c r="J52" s="76"/>
      <c r="K52" s="103"/>
      <c r="L52" s="58"/>
      <c r="M52" s="118"/>
      <c r="N52" s="103"/>
      <c r="O52" s="103"/>
      <c r="P52" s="103"/>
      <c r="Q52" s="103"/>
      <c r="R52" s="103"/>
      <c r="S52" s="116">
        <f>I80+I108+I136+I163+I190</f>
        <v>10081.593210424466</v>
      </c>
      <c r="T52" s="116">
        <f>J80+J108+J136+J163+J190</f>
        <v>29528.165930454637</v>
      </c>
      <c r="U52" s="116">
        <f>K80+K108+K136+K163+K190</f>
        <v>44442.715544543098</v>
      </c>
      <c r="V52" s="116">
        <f>L80+L108+L136+L163+L190</f>
        <v>266026.16598720982</v>
      </c>
      <c r="W52" s="103"/>
      <c r="X52" s="103"/>
    </row>
    <row r="53" spans="1:24" ht="37" x14ac:dyDescent="0.3">
      <c r="A53" s="77" t="s">
        <v>51</v>
      </c>
      <c r="B53" s="77" t="s">
        <v>3</v>
      </c>
      <c r="C53" s="77" t="s">
        <v>4</v>
      </c>
      <c r="D53" s="77" t="s">
        <v>5</v>
      </c>
      <c r="E53" s="77" t="s">
        <v>6</v>
      </c>
      <c r="F53" s="77" t="s">
        <v>7</v>
      </c>
      <c r="G53" s="77" t="s">
        <v>78</v>
      </c>
      <c r="H53" s="77" t="s">
        <v>79</v>
      </c>
      <c r="I53" s="94" t="s">
        <v>80</v>
      </c>
      <c r="J53" s="95" t="s">
        <v>81</v>
      </c>
      <c r="K53" s="95" t="s">
        <v>82</v>
      </c>
      <c r="L53" s="95" t="s">
        <v>83</v>
      </c>
      <c r="M53" s="96" t="s">
        <v>73</v>
      </c>
      <c r="N53" s="77" t="s">
        <v>84</v>
      </c>
      <c r="O53" s="77" t="s">
        <v>85</v>
      </c>
      <c r="P53" s="103"/>
      <c r="Q53" s="103"/>
      <c r="R53" s="103"/>
      <c r="S53" s="116">
        <f>+S51-S52</f>
        <v>0</v>
      </c>
      <c r="T53" s="116">
        <f>+T51-T52</f>
        <v>0</v>
      </c>
      <c r="U53" s="116">
        <f>+U51-U52</f>
        <v>-4832.9564036640077</v>
      </c>
      <c r="V53" s="116">
        <f>+V51-V52</f>
        <v>0</v>
      </c>
      <c r="W53" s="103"/>
      <c r="X53" s="103"/>
    </row>
    <row r="54" spans="1:24" ht="13" x14ac:dyDescent="0.3">
      <c r="A54" s="110" t="s">
        <v>40</v>
      </c>
      <c r="B54" s="141" t="s">
        <v>52</v>
      </c>
      <c r="C54" s="73">
        <f>VLOOKUP(B54,A$1:F$26,2,FALSE)</f>
        <v>42172</v>
      </c>
      <c r="D54" s="73">
        <f>DATE(YEAR(C54),IF(MONTH(C54)&lt;=3,3,IF(MONTH(C54)&lt;=6,6,IF(MONTH(C54)&lt;=9,9,12))),IF(OR(MONTH(C54)&lt;=3,MONTH(C54)&gt;=10),31,30))</f>
        <v>42185</v>
      </c>
      <c r="E54" s="72">
        <f>D54-C54+1</f>
        <v>14</v>
      </c>
      <c r="F54" s="74">
        <f>VLOOKUP(D54,'FERC Interest Rate'!$A:$B,2,TRUE)</f>
        <v>3.2500000000000001E-2</v>
      </c>
      <c r="G54" s="75">
        <f>VLOOKUP(B54,$A$1:$F$26,5,FALSE)</f>
        <v>76013</v>
      </c>
      <c r="H54" s="75">
        <f t="shared" ref="H54:H59" si="20">G54*F54*(E54/(DATE(YEAR(D54),12,31)-DATE(YEAR(D54),1,1)+1))</f>
        <v>94.755931506849322</v>
      </c>
      <c r="I54" s="180">
        <v>0</v>
      </c>
      <c r="J54" s="76">
        <v>0</v>
      </c>
      <c r="K54" s="116">
        <f t="shared" ref="K54:K60" si="21">+SUM(I54:J54)</f>
        <v>0</v>
      </c>
      <c r="L54" s="76">
        <v>0</v>
      </c>
      <c r="M54" s="117">
        <f t="shared" ref="M54:M77" si="22">+SUM(K54:L54)</f>
        <v>0</v>
      </c>
      <c r="N54" s="8">
        <f t="shared" ref="N54:N77" si="23">+G54+H54+J54</f>
        <v>76107.75593150685</v>
      </c>
      <c r="O54" s="75">
        <f t="shared" ref="O54:O77" si="24">G54+H54-L54-I54</f>
        <v>76107.75593150685</v>
      </c>
      <c r="P54" s="103"/>
      <c r="Q54" s="103"/>
      <c r="R54" s="103"/>
      <c r="S54" s="103"/>
      <c r="T54" s="103"/>
      <c r="U54" s="103"/>
      <c r="V54" s="103"/>
      <c r="W54" s="103"/>
      <c r="X54" s="103"/>
    </row>
    <row r="55" spans="1:24" x14ac:dyDescent="0.25">
      <c r="A55" s="78" t="s">
        <v>21</v>
      </c>
      <c r="B55" s="72" t="str">
        <f t="shared" ref="B55:B78" si="25">+IF(MONTH(C55)&lt;4,"Q1",IF(MONTH(C55)&lt;7,"Q2",IF(MONTH(C55)&lt;10,"Q3","Q4")))&amp;"/"&amp;YEAR(C55)</f>
        <v>Q3/2015</v>
      </c>
      <c r="C55" s="73">
        <f>D54+1</f>
        <v>42186</v>
      </c>
      <c r="D55" s="73">
        <f>EOMONTH(D54,3)</f>
        <v>42277</v>
      </c>
      <c r="E55" s="72">
        <f t="shared" ref="E55:E77" si="26">D55-C55+1</f>
        <v>92</v>
      </c>
      <c r="F55" s="74">
        <f>VLOOKUP(D55,'FERC Interest Rate'!$A:$B,2,TRUE)</f>
        <v>3.2500000000000001E-2</v>
      </c>
      <c r="G55" s="75">
        <f t="shared" ref="G55:G77" si="27">O54</f>
        <v>76107.75593150685</v>
      </c>
      <c r="H55" s="75">
        <f t="shared" si="20"/>
        <v>623.45805543891913</v>
      </c>
      <c r="I55" s="180">
        <v>0</v>
      </c>
      <c r="J55" s="76">
        <v>0</v>
      </c>
      <c r="K55" s="116">
        <f t="shared" si="21"/>
        <v>0</v>
      </c>
      <c r="L55" s="76">
        <v>0</v>
      </c>
      <c r="M55" s="117">
        <f t="shared" si="22"/>
        <v>0</v>
      </c>
      <c r="N55" s="8">
        <f t="shared" si="23"/>
        <v>76731.213986945775</v>
      </c>
      <c r="O55" s="75">
        <f t="shared" si="24"/>
        <v>76731.213986945775</v>
      </c>
      <c r="P55" s="103"/>
      <c r="Q55" s="103"/>
      <c r="R55" s="103"/>
      <c r="S55" s="103"/>
      <c r="T55" s="103"/>
      <c r="U55" s="103"/>
      <c r="V55" s="103"/>
      <c r="W55" s="103"/>
      <c r="X55" s="103"/>
    </row>
    <row r="56" spans="1:24" x14ac:dyDescent="0.25">
      <c r="A56" s="78" t="s">
        <v>21</v>
      </c>
      <c r="B56" s="72" t="str">
        <f t="shared" si="25"/>
        <v>Q4/2015</v>
      </c>
      <c r="C56" s="73">
        <f t="shared" ref="C56:C77" si="28">D55+1</f>
        <v>42278</v>
      </c>
      <c r="D56" s="73">
        <f t="shared" ref="D56:D78" si="29">EOMONTH(D55,3)</f>
        <v>42369</v>
      </c>
      <c r="E56" s="72">
        <f t="shared" si="26"/>
        <v>92</v>
      </c>
      <c r="F56" s="74">
        <f>VLOOKUP(D56,'FERC Interest Rate'!$A:$B,2,TRUE)</f>
        <v>3.2500000000000001E-2</v>
      </c>
      <c r="G56" s="75">
        <f t="shared" si="27"/>
        <v>76731.213986945775</v>
      </c>
      <c r="H56" s="75">
        <f t="shared" si="20"/>
        <v>628.565287180734</v>
      </c>
      <c r="I56" s="180">
        <v>0</v>
      </c>
      <c r="J56" s="76">
        <v>0</v>
      </c>
      <c r="K56" s="116">
        <f t="shared" si="21"/>
        <v>0</v>
      </c>
      <c r="L56" s="76">
        <v>0</v>
      </c>
      <c r="M56" s="117">
        <f t="shared" si="22"/>
        <v>0</v>
      </c>
      <c r="N56" s="8">
        <f t="shared" si="23"/>
        <v>77359.779274126515</v>
      </c>
      <c r="O56" s="75">
        <f t="shared" si="24"/>
        <v>77359.779274126515</v>
      </c>
      <c r="P56" s="103"/>
      <c r="Q56" s="103"/>
      <c r="R56" s="103"/>
      <c r="S56" s="103"/>
      <c r="T56" s="103"/>
      <c r="U56" s="103"/>
      <c r="V56" s="103"/>
      <c r="W56" s="103"/>
      <c r="X56" s="103"/>
    </row>
    <row r="57" spans="1:24" x14ac:dyDescent="0.25">
      <c r="A57" s="78" t="s">
        <v>21</v>
      </c>
      <c r="B57" s="72" t="str">
        <f t="shared" si="25"/>
        <v>Q1/2016</v>
      </c>
      <c r="C57" s="73">
        <f t="shared" si="28"/>
        <v>42370</v>
      </c>
      <c r="D57" s="73">
        <f t="shared" si="29"/>
        <v>42460</v>
      </c>
      <c r="E57" s="72">
        <f t="shared" si="26"/>
        <v>91</v>
      </c>
      <c r="F57" s="74">
        <f>VLOOKUP(D57,'FERC Interest Rate'!$A:$B,2,TRUE)</f>
        <v>3.2500000000000001E-2</v>
      </c>
      <c r="G57" s="75">
        <f t="shared" si="27"/>
        <v>77359.779274126515</v>
      </c>
      <c r="H57" s="75">
        <f t="shared" si="20"/>
        <v>625.11351694871348</v>
      </c>
      <c r="I57" s="180">
        <v>0</v>
      </c>
      <c r="J57" s="76">
        <v>0</v>
      </c>
      <c r="K57" s="116">
        <f t="shared" si="21"/>
        <v>0</v>
      </c>
      <c r="L57" s="76">
        <v>0</v>
      </c>
      <c r="M57" s="117">
        <f t="shared" si="22"/>
        <v>0</v>
      </c>
      <c r="N57" s="8">
        <f t="shared" si="23"/>
        <v>77984.892791075225</v>
      </c>
      <c r="O57" s="75">
        <f t="shared" si="24"/>
        <v>77984.892791075225</v>
      </c>
      <c r="P57" s="103"/>
      <c r="Q57" s="103"/>
      <c r="R57" s="103"/>
      <c r="S57" s="103"/>
      <c r="T57" s="103"/>
      <c r="U57" s="103"/>
      <c r="V57" s="103"/>
      <c r="W57" s="103"/>
      <c r="X57" s="103"/>
    </row>
    <row r="58" spans="1:24" x14ac:dyDescent="0.25">
      <c r="A58" s="78" t="s">
        <v>21</v>
      </c>
      <c r="B58" s="72" t="str">
        <f t="shared" si="25"/>
        <v>Q2/2016</v>
      </c>
      <c r="C58" s="73">
        <f t="shared" si="28"/>
        <v>42461</v>
      </c>
      <c r="D58" s="73">
        <f t="shared" si="29"/>
        <v>42551</v>
      </c>
      <c r="E58" s="72">
        <f t="shared" si="26"/>
        <v>91</v>
      </c>
      <c r="F58" s="74">
        <f>VLOOKUP(D58,'FERC Interest Rate'!$A:$B,2,TRUE)</f>
        <v>3.4599999999999999E-2</v>
      </c>
      <c r="G58" s="75">
        <f t="shared" si="27"/>
        <v>77984.892791075225</v>
      </c>
      <c r="H58" s="75">
        <f t="shared" si="20"/>
        <v>670.88315148081813</v>
      </c>
      <c r="I58" s="99">
        <v>0</v>
      </c>
      <c r="J58" s="76">
        <v>0</v>
      </c>
      <c r="K58" s="116">
        <f t="shared" si="21"/>
        <v>0</v>
      </c>
      <c r="L58" s="76">
        <v>0</v>
      </c>
      <c r="M58" s="117">
        <f t="shared" si="22"/>
        <v>0</v>
      </c>
      <c r="N58" s="8">
        <f t="shared" si="23"/>
        <v>78655.775942556036</v>
      </c>
      <c r="O58" s="75">
        <f t="shared" si="24"/>
        <v>78655.775942556036</v>
      </c>
      <c r="P58" s="103"/>
      <c r="Q58" s="103"/>
      <c r="R58" s="103"/>
      <c r="S58" s="103"/>
      <c r="T58" s="103"/>
      <c r="U58" s="103"/>
      <c r="V58" s="103"/>
      <c r="W58" s="103"/>
      <c r="X58" s="103"/>
    </row>
    <row r="59" spans="1:24" x14ac:dyDescent="0.25">
      <c r="A59" s="78" t="s">
        <v>21</v>
      </c>
      <c r="B59" s="72" t="str">
        <f t="shared" si="25"/>
        <v>Q3/2016</v>
      </c>
      <c r="C59" s="73">
        <f t="shared" si="28"/>
        <v>42552</v>
      </c>
      <c r="D59" s="73">
        <f t="shared" si="29"/>
        <v>42643</v>
      </c>
      <c r="E59" s="72">
        <f t="shared" si="26"/>
        <v>92</v>
      </c>
      <c r="F59" s="74">
        <f>VLOOKUP(D59,'FERC Interest Rate'!$A:$B,2,TRUE)</f>
        <v>3.5000000000000003E-2</v>
      </c>
      <c r="G59" s="75">
        <f t="shared" si="27"/>
        <v>78655.775942556036</v>
      </c>
      <c r="H59" s="75">
        <f t="shared" si="20"/>
        <v>691.99890310117621</v>
      </c>
      <c r="I59" s="99">
        <v>0</v>
      </c>
      <c r="J59" s="76">
        <v>0</v>
      </c>
      <c r="K59" s="116">
        <f t="shared" si="21"/>
        <v>0</v>
      </c>
      <c r="L59" s="76">
        <v>0</v>
      </c>
      <c r="M59" s="117">
        <v>0</v>
      </c>
      <c r="N59" s="8">
        <f t="shared" si="23"/>
        <v>79347.774845657215</v>
      </c>
      <c r="O59" s="75">
        <f>+N59-M59</f>
        <v>79347.774845657215</v>
      </c>
      <c r="P59" s="103"/>
      <c r="Q59" s="103"/>
      <c r="R59" s="103"/>
      <c r="S59" s="103"/>
      <c r="T59" s="103"/>
      <c r="U59" s="103"/>
      <c r="V59" s="103"/>
      <c r="W59" s="103"/>
      <c r="X59" s="103"/>
    </row>
    <row r="60" spans="1:24" x14ac:dyDescent="0.25">
      <c r="A60" s="78" t="s">
        <v>21</v>
      </c>
      <c r="B60" s="72" t="str">
        <f t="shared" si="25"/>
        <v>Q4/2016</v>
      </c>
      <c r="C60" s="73">
        <f t="shared" si="28"/>
        <v>42644</v>
      </c>
      <c r="D60" s="73">
        <f t="shared" si="29"/>
        <v>42735</v>
      </c>
      <c r="E60" s="72">
        <f t="shared" si="26"/>
        <v>92</v>
      </c>
      <c r="F60" s="74">
        <f>VLOOKUP(D60,'FERC Interest Rate'!$A:$B,2,TRUE)</f>
        <v>3.5000000000000003E-2</v>
      </c>
      <c r="G60" s="75">
        <f t="shared" si="27"/>
        <v>79347.774845657215</v>
      </c>
      <c r="H60" s="75">
        <v>0</v>
      </c>
      <c r="I60" s="99">
        <v>0</v>
      </c>
      <c r="J60" s="76">
        <f>G60*F60*(E60/(DATE(YEAR(D60),12,31)-DATE(YEAR(D60),1,1)+1))</f>
        <v>698.08698088255801</v>
      </c>
      <c r="K60" s="116">
        <f t="shared" si="21"/>
        <v>698.08698088255801</v>
      </c>
      <c r="L60" s="76">
        <v>0</v>
      </c>
      <c r="M60" s="117">
        <v>0</v>
      </c>
      <c r="N60" s="8">
        <f t="shared" si="23"/>
        <v>80045.861826539767</v>
      </c>
      <c r="O60" s="75">
        <f>+N60-M60</f>
        <v>80045.861826539767</v>
      </c>
      <c r="P60" s="103"/>
      <c r="Q60" s="103"/>
      <c r="R60" s="103"/>
      <c r="S60" s="103"/>
      <c r="T60" s="103"/>
      <c r="U60" s="103"/>
      <c r="V60" s="103"/>
      <c r="W60" s="103"/>
      <c r="X60" s="103"/>
    </row>
    <row r="61" spans="1:24" x14ac:dyDescent="0.25">
      <c r="A61" s="78" t="s">
        <v>21</v>
      </c>
      <c r="B61" s="72" t="str">
        <f t="shared" si="25"/>
        <v>Q1/2017</v>
      </c>
      <c r="C61" s="132">
        <f t="shared" si="28"/>
        <v>42736</v>
      </c>
      <c r="D61" s="132">
        <f t="shared" si="29"/>
        <v>42825</v>
      </c>
      <c r="E61" s="72">
        <f t="shared" si="26"/>
        <v>90</v>
      </c>
      <c r="F61" s="74">
        <f>VLOOKUP(D61,'FERC Interest Rate'!$A:$B,2,TRUE)</f>
        <v>3.5000000000000003E-2</v>
      </c>
      <c r="G61" s="75">
        <f t="shared" si="27"/>
        <v>80045.861826539767</v>
      </c>
      <c r="H61" s="75">
        <v>0</v>
      </c>
      <c r="I61" s="99">
        <v>0</v>
      </c>
      <c r="J61" s="76">
        <f>G61*F61*(E61/(DATE(YEAR(D61),12,31)-DATE(YEAR(D61),1,1)+1))</f>
        <v>690.8067527495898</v>
      </c>
      <c r="K61" s="116">
        <f t="shared" ref="K61:K77" si="30">+SUM(I61:J61)</f>
        <v>690.8067527495898</v>
      </c>
      <c r="L61" s="76">
        <v>0</v>
      </c>
      <c r="M61" s="117">
        <v>0</v>
      </c>
      <c r="N61" s="8">
        <f t="shared" si="23"/>
        <v>80736.668579289355</v>
      </c>
      <c r="O61" s="75">
        <f>+N61-M61</f>
        <v>80736.668579289355</v>
      </c>
      <c r="P61" s="103"/>
      <c r="Q61" s="103"/>
      <c r="R61" s="103"/>
      <c r="S61" s="103"/>
      <c r="T61" s="103"/>
      <c r="U61" s="103"/>
      <c r="V61" s="103"/>
      <c r="W61" s="103"/>
      <c r="X61" s="103"/>
    </row>
    <row r="62" spans="1:24" x14ac:dyDescent="0.25">
      <c r="A62" s="309" t="s">
        <v>101</v>
      </c>
      <c r="B62" s="72" t="str">
        <f t="shared" si="25"/>
        <v>Q2/2017</v>
      </c>
      <c r="C62" s="73">
        <f t="shared" si="28"/>
        <v>42826</v>
      </c>
      <c r="D62" s="73">
        <f t="shared" si="29"/>
        <v>42916</v>
      </c>
      <c r="E62" s="72">
        <f t="shared" si="26"/>
        <v>91</v>
      </c>
      <c r="F62" s="74">
        <f>VLOOKUP(D62,'FERC Interest Rate'!$A:$B,2,TRUE)</f>
        <v>3.7100000000000001E-2</v>
      </c>
      <c r="G62" s="75">
        <f t="shared" si="27"/>
        <v>80736.668579289355</v>
      </c>
      <c r="H62" s="75">
        <v>0</v>
      </c>
      <c r="I62" s="99">
        <f>(SUM($H$54:$H$78)/20)*4</f>
        <v>666.954969131442</v>
      </c>
      <c r="J62" s="76">
        <f t="shared" ref="J62:J77" si="31">G62*F62*(E62/(DATE(YEAR(D62),12,31)-DATE(YEAR(D62),1,1)+1))</f>
        <v>746.78100490558575</v>
      </c>
      <c r="K62" s="116">
        <f>+SUM(I59:J62)</f>
        <v>2802.6297076691753</v>
      </c>
      <c r="L62" s="76">
        <f>($G$54/20)*4</f>
        <v>15202.6</v>
      </c>
      <c r="M62" s="117">
        <f t="shared" si="22"/>
        <v>18005.229707669176</v>
      </c>
      <c r="N62" s="8">
        <f t="shared" si="23"/>
        <v>81483.449584194939</v>
      </c>
      <c r="O62" s="75">
        <f>+N62-M62</f>
        <v>63478.219876525764</v>
      </c>
      <c r="P62" s="103"/>
      <c r="Q62" s="103"/>
      <c r="R62" s="103"/>
      <c r="S62" s="103"/>
      <c r="T62" s="103"/>
      <c r="U62" s="103"/>
      <c r="V62" s="103"/>
      <c r="W62" s="103"/>
      <c r="X62" s="103"/>
    </row>
    <row r="63" spans="1:24" x14ac:dyDescent="0.25">
      <c r="A63" s="17" t="s">
        <v>56</v>
      </c>
      <c r="B63" s="72" t="str">
        <f t="shared" si="25"/>
        <v>Q3/2017</v>
      </c>
      <c r="C63" s="73">
        <f t="shared" si="28"/>
        <v>42917</v>
      </c>
      <c r="D63" s="73">
        <f t="shared" si="29"/>
        <v>43008</v>
      </c>
      <c r="E63" s="72">
        <f t="shared" si="26"/>
        <v>92</v>
      </c>
      <c r="F63" s="74">
        <f>VLOOKUP(D63,'FERC Interest Rate'!$A:$B,2,TRUE)</f>
        <v>3.9600000000000003E-2</v>
      </c>
      <c r="G63" s="75">
        <f t="shared" si="27"/>
        <v>63478.219876525764</v>
      </c>
      <c r="H63" s="75">
        <v>0</v>
      </c>
      <c r="I63" s="99">
        <f t="shared" ref="I63:I78" si="32">(SUM($H$54:$H$78)/20)</f>
        <v>166.7387422828605</v>
      </c>
      <c r="J63" s="76">
        <f t="shared" si="31"/>
        <v>633.59959083331159</v>
      </c>
      <c r="K63" s="116">
        <f t="shared" si="30"/>
        <v>800.33833311617207</v>
      </c>
      <c r="L63" s="76">
        <f>($G$54/20)</f>
        <v>3800.65</v>
      </c>
      <c r="M63" s="117">
        <f t="shared" si="22"/>
        <v>4600.9883331161718</v>
      </c>
      <c r="N63" s="8">
        <f t="shared" si="23"/>
        <v>64111.819467359077</v>
      </c>
      <c r="O63" s="75">
        <f t="shared" si="24"/>
        <v>59510.831134242901</v>
      </c>
      <c r="P63" s="103"/>
      <c r="Q63" s="103"/>
      <c r="R63" s="103"/>
      <c r="S63" s="103"/>
      <c r="T63" s="103"/>
      <c r="U63" s="103"/>
      <c r="V63" s="103"/>
      <c r="W63" s="103"/>
      <c r="X63" s="103"/>
    </row>
    <row r="64" spans="1:24" x14ac:dyDescent="0.25">
      <c r="A64" s="17" t="s">
        <v>57</v>
      </c>
      <c r="B64" s="72" t="str">
        <f t="shared" si="25"/>
        <v>Q4/2017</v>
      </c>
      <c r="C64" s="73">
        <f t="shared" si="28"/>
        <v>43009</v>
      </c>
      <c r="D64" s="73">
        <f t="shared" si="29"/>
        <v>43100</v>
      </c>
      <c r="E64" s="72">
        <f t="shared" si="26"/>
        <v>92</v>
      </c>
      <c r="F64" s="74">
        <f>VLOOKUP(D64,'FERC Interest Rate'!$A:$B,2,TRUE)</f>
        <v>4.2099999999999999E-2</v>
      </c>
      <c r="G64" s="75">
        <f t="shared" si="27"/>
        <v>59510.831134242901</v>
      </c>
      <c r="H64" s="75">
        <v>0</v>
      </c>
      <c r="I64" s="99">
        <f t="shared" si="32"/>
        <v>166.7387422828605</v>
      </c>
      <c r="J64" s="76">
        <f t="shared" si="31"/>
        <v>631.49959218945105</v>
      </c>
      <c r="K64" s="116">
        <f t="shared" si="30"/>
        <v>798.23833447231152</v>
      </c>
      <c r="L64" s="76">
        <f t="shared" ref="L64:L78" si="33">($G$54/20)</f>
        <v>3800.65</v>
      </c>
      <c r="M64" s="117">
        <f t="shared" si="22"/>
        <v>4598.8883344723117</v>
      </c>
      <c r="N64" s="8">
        <f t="shared" si="23"/>
        <v>60142.330726432352</v>
      </c>
      <c r="O64" s="75">
        <f t="shared" si="24"/>
        <v>55543.442391960038</v>
      </c>
      <c r="P64" s="103"/>
      <c r="Q64" s="103"/>
      <c r="R64" s="103"/>
      <c r="S64" s="103"/>
      <c r="T64" s="103"/>
      <c r="U64" s="103"/>
      <c r="V64" s="103"/>
      <c r="W64" s="103"/>
      <c r="X64" s="103"/>
    </row>
    <row r="65" spans="1:24" x14ac:dyDescent="0.25">
      <c r="A65" s="17" t="s">
        <v>58</v>
      </c>
      <c r="B65" s="72" t="str">
        <f t="shared" si="25"/>
        <v>Q1/2018</v>
      </c>
      <c r="C65" s="73">
        <f t="shared" si="28"/>
        <v>43101</v>
      </c>
      <c r="D65" s="73">
        <f t="shared" si="29"/>
        <v>43190</v>
      </c>
      <c r="E65" s="72">
        <f t="shared" si="26"/>
        <v>90</v>
      </c>
      <c r="F65" s="74">
        <f>VLOOKUP(D65,'FERC Interest Rate'!$A:$B,2,TRUE)</f>
        <v>4.2500000000000003E-2</v>
      </c>
      <c r="G65" s="75">
        <f t="shared" si="27"/>
        <v>55543.442391960038</v>
      </c>
      <c r="H65" s="75">
        <v>0</v>
      </c>
      <c r="I65" s="99">
        <f t="shared" si="32"/>
        <v>166.7387422828605</v>
      </c>
      <c r="J65" s="76">
        <f t="shared" si="31"/>
        <v>582.06484150478673</v>
      </c>
      <c r="K65" s="116">
        <f t="shared" si="30"/>
        <v>748.8035837876472</v>
      </c>
      <c r="L65" s="76">
        <f t="shared" si="33"/>
        <v>3800.65</v>
      </c>
      <c r="M65" s="117">
        <f t="shared" si="22"/>
        <v>4549.4535837876474</v>
      </c>
      <c r="N65" s="8">
        <f t="shared" si="23"/>
        <v>56125.507233464821</v>
      </c>
      <c r="O65" s="75">
        <f t="shared" si="24"/>
        <v>51576.053649677175</v>
      </c>
      <c r="P65" s="103"/>
      <c r="Q65" s="103"/>
      <c r="R65" s="103"/>
      <c r="S65" s="103"/>
      <c r="T65" s="103"/>
      <c r="U65" s="103"/>
      <c r="V65" s="103"/>
      <c r="W65" s="103"/>
      <c r="X65" s="103"/>
    </row>
    <row r="66" spans="1:24" x14ac:dyDescent="0.25">
      <c r="A66" s="17" t="s">
        <v>59</v>
      </c>
      <c r="B66" s="72" t="str">
        <f t="shared" si="25"/>
        <v>Q2/2018</v>
      </c>
      <c r="C66" s="73">
        <f t="shared" si="28"/>
        <v>43191</v>
      </c>
      <c r="D66" s="73">
        <f t="shared" si="29"/>
        <v>43281</v>
      </c>
      <c r="E66" s="72">
        <f t="shared" si="26"/>
        <v>91</v>
      </c>
      <c r="F66" s="74">
        <f>VLOOKUP(D66,'FERC Interest Rate'!$A:$B,2,TRUE)</f>
        <v>4.4699999999999997E-2</v>
      </c>
      <c r="G66" s="75">
        <f t="shared" si="27"/>
        <v>51576.053649677175</v>
      </c>
      <c r="H66" s="75">
        <v>0</v>
      </c>
      <c r="I66" s="99">
        <f t="shared" si="32"/>
        <v>166.7387422828605</v>
      </c>
      <c r="J66" s="76">
        <f t="shared" si="31"/>
        <v>574.78332446792274</v>
      </c>
      <c r="K66" s="116">
        <f t="shared" si="30"/>
        <v>741.52206675078321</v>
      </c>
      <c r="L66" s="76">
        <f t="shared" si="33"/>
        <v>3800.65</v>
      </c>
      <c r="M66" s="117">
        <f t="shared" si="22"/>
        <v>4542.1720667507834</v>
      </c>
      <c r="N66" s="8">
        <f t="shared" si="23"/>
        <v>52150.836974145095</v>
      </c>
      <c r="O66" s="75">
        <f t="shared" si="24"/>
        <v>47608.664907394312</v>
      </c>
      <c r="P66" s="103"/>
      <c r="Q66" s="103"/>
      <c r="R66" s="103"/>
      <c r="S66" s="103"/>
      <c r="T66" s="103"/>
      <c r="U66" s="103"/>
      <c r="V66" s="103"/>
      <c r="W66" s="103"/>
      <c r="X66" s="103"/>
    </row>
    <row r="67" spans="1:24" x14ac:dyDescent="0.25">
      <c r="A67" s="17" t="s">
        <v>60</v>
      </c>
      <c r="B67" s="72" t="str">
        <f t="shared" si="25"/>
        <v>Q3/2018</v>
      </c>
      <c r="C67" s="73">
        <f t="shared" si="28"/>
        <v>43282</v>
      </c>
      <c r="D67" s="73">
        <f t="shared" si="29"/>
        <v>43373</v>
      </c>
      <c r="E67" s="72">
        <f t="shared" si="26"/>
        <v>92</v>
      </c>
      <c r="F67" s="74">
        <f>VLOOKUP(D67,'FERC Interest Rate'!$A:$B,2,TRUE)</f>
        <v>4.6899999999999997E-2</v>
      </c>
      <c r="G67" s="75">
        <f t="shared" si="27"/>
        <v>47608.664907394312</v>
      </c>
      <c r="H67" s="75">
        <v>0</v>
      </c>
      <c r="I67" s="99">
        <f t="shared" si="32"/>
        <v>166.7387422828605</v>
      </c>
      <c r="J67" s="76">
        <f t="shared" si="31"/>
        <v>562.79963655458903</v>
      </c>
      <c r="K67" s="116">
        <f t="shared" si="30"/>
        <v>729.5383788374495</v>
      </c>
      <c r="L67" s="76">
        <f t="shared" si="33"/>
        <v>3800.65</v>
      </c>
      <c r="M67" s="117">
        <f t="shared" si="22"/>
        <v>4530.1883788374498</v>
      </c>
      <c r="N67" s="8">
        <f t="shared" si="23"/>
        <v>48171.464543948903</v>
      </c>
      <c r="O67" s="75">
        <f t="shared" si="24"/>
        <v>43641.276165111449</v>
      </c>
      <c r="P67" s="103"/>
      <c r="Q67" s="103"/>
      <c r="R67" s="103"/>
      <c r="S67" s="103"/>
      <c r="T67" s="103"/>
      <c r="U67" s="103"/>
      <c r="V67" s="103"/>
      <c r="W67" s="103"/>
      <c r="X67" s="103"/>
    </row>
    <row r="68" spans="1:24" x14ac:dyDescent="0.25">
      <c r="A68" s="17" t="s">
        <v>61</v>
      </c>
      <c r="B68" s="72" t="str">
        <f t="shared" si="25"/>
        <v>Q4/2018</v>
      </c>
      <c r="C68" s="73">
        <f t="shared" si="28"/>
        <v>43374</v>
      </c>
      <c r="D68" s="73">
        <f t="shared" si="29"/>
        <v>43465</v>
      </c>
      <c r="E68" s="72">
        <f t="shared" si="26"/>
        <v>92</v>
      </c>
      <c r="F68" s="74">
        <f>VLOOKUP(D68,'FERC Interest Rate'!$A:$B,2,TRUE)</f>
        <v>4.9599999999999998E-2</v>
      </c>
      <c r="G68" s="75">
        <f t="shared" si="27"/>
        <v>43641.276165111449</v>
      </c>
      <c r="H68" s="75">
        <v>0</v>
      </c>
      <c r="I68" s="99">
        <f t="shared" si="32"/>
        <v>166.7387422828605</v>
      </c>
      <c r="J68" s="76">
        <f t="shared" si="31"/>
        <v>545.59964766201801</v>
      </c>
      <c r="K68" s="116">
        <f t="shared" si="30"/>
        <v>712.33838994487849</v>
      </c>
      <c r="L68" s="76">
        <f t="shared" si="33"/>
        <v>3800.65</v>
      </c>
      <c r="M68" s="117">
        <f t="shared" si="22"/>
        <v>4512.9883899448787</v>
      </c>
      <c r="N68" s="8">
        <f t="shared" si="23"/>
        <v>44186.875812773469</v>
      </c>
      <c r="O68" s="75">
        <f t="shared" si="24"/>
        <v>39673.887422828586</v>
      </c>
      <c r="P68" s="103"/>
      <c r="Q68" s="103"/>
      <c r="R68" s="103"/>
      <c r="S68" s="103"/>
      <c r="T68" s="103"/>
      <c r="U68" s="103"/>
      <c r="V68" s="103"/>
      <c r="W68" s="103"/>
      <c r="X68" s="103"/>
    </row>
    <row r="69" spans="1:24" x14ac:dyDescent="0.25">
      <c r="A69" s="17" t="s">
        <v>62</v>
      </c>
      <c r="B69" s="72" t="str">
        <f t="shared" si="25"/>
        <v>Q1/2019</v>
      </c>
      <c r="C69" s="73">
        <f t="shared" si="28"/>
        <v>43466</v>
      </c>
      <c r="D69" s="73">
        <f t="shared" si="29"/>
        <v>43555</v>
      </c>
      <c r="E69" s="72">
        <f t="shared" si="26"/>
        <v>90</v>
      </c>
      <c r="F69" s="74">
        <f>VLOOKUP(D69,'FERC Interest Rate'!$A:$B,2,TRUE)</f>
        <v>5.1799999999999999E-2</v>
      </c>
      <c r="G69" s="75">
        <f t="shared" si="27"/>
        <v>39673.887422828586</v>
      </c>
      <c r="H69" s="75">
        <v>0</v>
      </c>
      <c r="I69" s="99">
        <f t="shared" si="32"/>
        <v>166.7387422828605</v>
      </c>
      <c r="J69" s="76">
        <f t="shared" si="31"/>
        <v>506.73880319240237</v>
      </c>
      <c r="K69" s="116">
        <f t="shared" si="30"/>
        <v>673.4775454752629</v>
      </c>
      <c r="L69" s="76">
        <f t="shared" si="33"/>
        <v>3800.65</v>
      </c>
      <c r="M69" s="117">
        <f t="shared" si="22"/>
        <v>4474.1275454752631</v>
      </c>
      <c r="N69" s="8">
        <f t="shared" si="23"/>
        <v>40180.626226020991</v>
      </c>
      <c r="O69" s="75">
        <f t="shared" si="24"/>
        <v>35706.498680545723</v>
      </c>
      <c r="P69" s="103"/>
      <c r="Q69" s="103"/>
      <c r="R69" s="103"/>
      <c r="S69" s="103"/>
      <c r="T69" s="103"/>
      <c r="U69" s="103"/>
      <c r="V69" s="103"/>
      <c r="W69" s="103"/>
      <c r="X69" s="103"/>
    </row>
    <row r="70" spans="1:24" x14ac:dyDescent="0.25">
      <c r="A70" s="17" t="s">
        <v>63</v>
      </c>
      <c r="B70" s="72" t="str">
        <f t="shared" si="25"/>
        <v>Q2/2019</v>
      </c>
      <c r="C70" s="73">
        <f t="shared" si="28"/>
        <v>43556</v>
      </c>
      <c r="D70" s="73">
        <f t="shared" si="29"/>
        <v>43646</v>
      </c>
      <c r="E70" s="72">
        <f t="shared" si="26"/>
        <v>91</v>
      </c>
      <c r="F70" s="74">
        <f>VLOOKUP(D70,'FERC Interest Rate'!$A:$B,2,TRUE)</f>
        <v>5.45E-2</v>
      </c>
      <c r="G70" s="75">
        <f t="shared" si="27"/>
        <v>35706.498680545723</v>
      </c>
      <c r="H70" s="75">
        <v>0</v>
      </c>
      <c r="I70" s="99">
        <f t="shared" si="32"/>
        <v>166.7387422828605</v>
      </c>
      <c r="J70" s="76">
        <f t="shared" si="31"/>
        <v>485.1681649484014</v>
      </c>
      <c r="K70" s="116">
        <f t="shared" si="30"/>
        <v>651.90690723126193</v>
      </c>
      <c r="L70" s="76">
        <f t="shared" si="33"/>
        <v>3800.65</v>
      </c>
      <c r="M70" s="117">
        <f t="shared" si="22"/>
        <v>4452.5569072312619</v>
      </c>
      <c r="N70" s="8">
        <f t="shared" si="23"/>
        <v>36191.666845494125</v>
      </c>
      <c r="O70" s="75">
        <f t="shared" si="24"/>
        <v>31739.10993826286</v>
      </c>
      <c r="P70" s="103"/>
      <c r="Q70" s="103"/>
      <c r="R70" s="103"/>
      <c r="S70" s="103"/>
      <c r="T70" s="103"/>
      <c r="U70" s="103"/>
      <c r="V70" s="103"/>
      <c r="W70" s="103"/>
      <c r="X70" s="103"/>
    </row>
    <row r="71" spans="1:24" x14ac:dyDescent="0.25">
      <c r="A71" s="17" t="s">
        <v>64</v>
      </c>
      <c r="B71" s="72" t="str">
        <f t="shared" si="25"/>
        <v>Q3/2019</v>
      </c>
      <c r="C71" s="73">
        <f t="shared" si="28"/>
        <v>43647</v>
      </c>
      <c r="D71" s="73">
        <f t="shared" si="29"/>
        <v>43738</v>
      </c>
      <c r="E71" s="72">
        <f t="shared" si="26"/>
        <v>92</v>
      </c>
      <c r="F71" s="74">
        <f>VLOOKUP(D71,'FERC Interest Rate'!$A:$B,2,TRUE)</f>
        <v>5.5E-2</v>
      </c>
      <c r="G71" s="75">
        <f t="shared" si="27"/>
        <v>31739.10993826286</v>
      </c>
      <c r="H71" s="75">
        <v>0</v>
      </c>
      <c r="I71" s="99">
        <f t="shared" si="32"/>
        <v>166.7387422828605</v>
      </c>
      <c r="J71" s="76">
        <f t="shared" si="31"/>
        <v>439.99971585646603</v>
      </c>
      <c r="K71" s="116">
        <f t="shared" si="30"/>
        <v>606.73845813932655</v>
      </c>
      <c r="L71" s="76">
        <f t="shared" si="33"/>
        <v>3800.65</v>
      </c>
      <c r="M71" s="117">
        <f t="shared" si="22"/>
        <v>4407.3884581393268</v>
      </c>
      <c r="N71" s="8">
        <f t="shared" si="23"/>
        <v>32179.109654119326</v>
      </c>
      <c r="O71" s="75">
        <f t="shared" si="24"/>
        <v>27771.721195979997</v>
      </c>
      <c r="P71" s="103"/>
      <c r="Q71" s="103"/>
      <c r="R71" s="103"/>
      <c r="S71" s="103"/>
      <c r="T71" s="103"/>
      <c r="U71" s="103"/>
      <c r="V71" s="103"/>
      <c r="W71" s="103"/>
      <c r="X71" s="103"/>
    </row>
    <row r="72" spans="1:24" x14ac:dyDescent="0.25">
      <c r="A72" s="17" t="s">
        <v>65</v>
      </c>
      <c r="B72" s="72" t="str">
        <f t="shared" si="25"/>
        <v>Q4/2019</v>
      </c>
      <c r="C72" s="73">
        <f t="shared" si="28"/>
        <v>43739</v>
      </c>
      <c r="D72" s="73">
        <f t="shared" si="29"/>
        <v>43830</v>
      </c>
      <c r="E72" s="72">
        <f t="shared" si="26"/>
        <v>92</v>
      </c>
      <c r="F72" s="74">
        <f>VLOOKUP(D72,'FERC Interest Rate'!$A:$B,2,TRUE)</f>
        <v>5.4199999999999998E-2</v>
      </c>
      <c r="G72" s="75">
        <f t="shared" si="27"/>
        <v>27771.721195979997</v>
      </c>
      <c r="H72" s="75">
        <v>0</v>
      </c>
      <c r="I72" s="99">
        <f t="shared" si="32"/>
        <v>166.7387422828605</v>
      </c>
      <c r="J72" s="76">
        <f t="shared" si="31"/>
        <v>379.39975499077991</v>
      </c>
      <c r="K72" s="116">
        <f t="shared" si="30"/>
        <v>546.13849727364038</v>
      </c>
      <c r="L72" s="76">
        <f t="shared" si="33"/>
        <v>3800.65</v>
      </c>
      <c r="M72" s="117">
        <f t="shared" si="22"/>
        <v>4346.7884972736401</v>
      </c>
      <c r="N72" s="8">
        <f t="shared" si="23"/>
        <v>28151.120950970777</v>
      </c>
      <c r="O72" s="75">
        <f t="shared" si="24"/>
        <v>23804.332453697134</v>
      </c>
      <c r="P72" s="103"/>
      <c r="Q72" s="103"/>
      <c r="R72" s="103"/>
      <c r="S72" s="103"/>
      <c r="T72" s="103"/>
      <c r="U72" s="103"/>
      <c r="V72" s="103"/>
      <c r="W72" s="103"/>
      <c r="X72" s="103"/>
    </row>
    <row r="73" spans="1:24" x14ac:dyDescent="0.25">
      <c r="A73" s="17" t="s">
        <v>66</v>
      </c>
      <c r="B73" s="72" t="str">
        <f t="shared" si="25"/>
        <v>Q1/2020</v>
      </c>
      <c r="C73" s="73">
        <f t="shared" si="28"/>
        <v>43831</v>
      </c>
      <c r="D73" s="73">
        <f t="shared" si="29"/>
        <v>43921</v>
      </c>
      <c r="E73" s="72">
        <f t="shared" si="26"/>
        <v>91</v>
      </c>
      <c r="F73" s="74">
        <f>VLOOKUP(D73,'FERC Interest Rate'!$A:$B,2,TRUE)</f>
        <v>4.9599999999999998E-2</v>
      </c>
      <c r="G73" s="75">
        <f t="shared" si="27"/>
        <v>23804.332453697134</v>
      </c>
      <c r="H73" s="75">
        <v>0</v>
      </c>
      <c r="I73" s="99">
        <f t="shared" si="32"/>
        <v>166.7387422828605</v>
      </c>
      <c r="J73" s="76">
        <f t="shared" si="31"/>
        <v>293.56075126504749</v>
      </c>
      <c r="K73" s="116">
        <f t="shared" si="30"/>
        <v>460.29949354790801</v>
      </c>
      <c r="L73" s="76">
        <f t="shared" si="33"/>
        <v>3800.65</v>
      </c>
      <c r="M73" s="117">
        <f t="shared" si="22"/>
        <v>4260.9494935479079</v>
      </c>
      <c r="N73" s="8">
        <f t="shared" si="23"/>
        <v>24097.89320496218</v>
      </c>
      <c r="O73" s="75">
        <f t="shared" si="24"/>
        <v>19836.943711414271</v>
      </c>
      <c r="P73" s="103"/>
      <c r="Q73" s="103"/>
      <c r="R73" s="103"/>
      <c r="S73" s="103"/>
      <c r="T73" s="103"/>
      <c r="U73" s="103"/>
      <c r="V73" s="103"/>
      <c r="W73" s="103"/>
      <c r="X73" s="103"/>
    </row>
    <row r="74" spans="1:24" x14ac:dyDescent="0.25">
      <c r="A74" s="17" t="s">
        <v>67</v>
      </c>
      <c r="B74" s="72" t="str">
        <f t="shared" si="25"/>
        <v>Q2/2020</v>
      </c>
      <c r="C74" s="73">
        <f t="shared" si="28"/>
        <v>43922</v>
      </c>
      <c r="D74" s="73">
        <f t="shared" si="29"/>
        <v>44012</v>
      </c>
      <c r="E74" s="72">
        <f t="shared" si="26"/>
        <v>91</v>
      </c>
      <c r="F74" s="74">
        <f>VLOOKUP(D74,'FERC Interest Rate'!$A:$B,2,TRUE)</f>
        <v>4.7503500000000004E-2</v>
      </c>
      <c r="G74" s="75">
        <f t="shared" si="27"/>
        <v>19836.943711414271</v>
      </c>
      <c r="H74" s="75">
        <v>0</v>
      </c>
      <c r="I74" s="99">
        <f t="shared" si="32"/>
        <v>166.7387422828605</v>
      </c>
      <c r="J74" s="76">
        <f t="shared" si="31"/>
        <v>234.29373568076579</v>
      </c>
      <c r="K74" s="116">
        <f t="shared" si="30"/>
        <v>401.03247796362632</v>
      </c>
      <c r="L74" s="76">
        <f t="shared" si="33"/>
        <v>3800.65</v>
      </c>
      <c r="M74" s="117">
        <f t="shared" si="22"/>
        <v>4201.6824779636263</v>
      </c>
      <c r="N74" s="8">
        <f t="shared" si="23"/>
        <v>20071.237447095038</v>
      </c>
      <c r="O74" s="75">
        <f t="shared" si="24"/>
        <v>15869.554969131412</v>
      </c>
      <c r="P74" s="103"/>
      <c r="Q74" s="103"/>
      <c r="R74" s="103"/>
      <c r="S74" s="103"/>
      <c r="T74" s="103"/>
      <c r="U74" s="103"/>
      <c r="V74" s="103"/>
      <c r="W74" s="103"/>
      <c r="X74" s="103"/>
    </row>
    <row r="75" spans="1:24" x14ac:dyDescent="0.25">
      <c r="A75" s="17" t="s">
        <v>68</v>
      </c>
      <c r="B75" s="72" t="str">
        <f t="shared" si="25"/>
        <v>Q3/2020</v>
      </c>
      <c r="C75" s="73">
        <f t="shared" si="28"/>
        <v>44013</v>
      </c>
      <c r="D75" s="73">
        <f t="shared" si="29"/>
        <v>44104</v>
      </c>
      <c r="E75" s="72">
        <f t="shared" si="26"/>
        <v>92</v>
      </c>
      <c r="F75" s="74">
        <f>VLOOKUP(D75,'FERC Interest Rate'!$A:$B,2,TRUE)</f>
        <v>4.7507929999999997E-2</v>
      </c>
      <c r="G75" s="75">
        <f t="shared" si="27"/>
        <v>15869.554969131412</v>
      </c>
      <c r="H75" s="75">
        <v>0</v>
      </c>
      <c r="I75" s="99">
        <f t="shared" si="32"/>
        <v>166.7387422828605</v>
      </c>
      <c r="J75" s="76">
        <f t="shared" si="31"/>
        <v>189.51238526674192</v>
      </c>
      <c r="K75" s="116">
        <f t="shared" si="30"/>
        <v>356.25112754960242</v>
      </c>
      <c r="L75" s="76">
        <f t="shared" si="33"/>
        <v>3800.65</v>
      </c>
      <c r="M75" s="117">
        <f t="shared" si="22"/>
        <v>4156.9011275496023</v>
      </c>
      <c r="N75" s="8">
        <f t="shared" si="23"/>
        <v>16059.067354398154</v>
      </c>
      <c r="O75" s="75">
        <f t="shared" si="24"/>
        <v>11902.166226848552</v>
      </c>
      <c r="P75" s="103"/>
      <c r="Q75" s="103"/>
      <c r="R75" s="103"/>
      <c r="S75" s="103"/>
      <c r="T75" s="103"/>
      <c r="U75" s="103"/>
      <c r="V75" s="103"/>
      <c r="W75" s="103"/>
      <c r="X75" s="103"/>
    </row>
    <row r="76" spans="1:24" x14ac:dyDescent="0.25">
      <c r="A76" s="17" t="s">
        <v>69</v>
      </c>
      <c r="B76" s="72" t="str">
        <f t="shared" si="25"/>
        <v>Q4/2020</v>
      </c>
      <c r="C76" s="73">
        <f t="shared" si="28"/>
        <v>44105</v>
      </c>
      <c r="D76" s="73">
        <f t="shared" si="29"/>
        <v>44196</v>
      </c>
      <c r="E76" s="72">
        <f t="shared" si="26"/>
        <v>92</v>
      </c>
      <c r="F76" s="74">
        <f>VLOOKUP(D76,'FERC Interest Rate'!$A:$B,2,TRUE)</f>
        <v>4.7922320000000004E-2</v>
      </c>
      <c r="G76" s="75">
        <f t="shared" si="27"/>
        <v>11902.166226848552</v>
      </c>
      <c r="H76" s="75">
        <v>0</v>
      </c>
      <c r="I76" s="99">
        <f t="shared" si="32"/>
        <v>166.7387422828605</v>
      </c>
      <c r="J76" s="76">
        <f t="shared" si="31"/>
        <v>143.37406151009037</v>
      </c>
      <c r="K76" s="116">
        <f t="shared" si="30"/>
        <v>310.1128037929509</v>
      </c>
      <c r="L76" s="76">
        <f t="shared" si="33"/>
        <v>3800.65</v>
      </c>
      <c r="M76" s="117">
        <f t="shared" si="22"/>
        <v>4110.7628037929508</v>
      </c>
      <c r="N76" s="8">
        <f t="shared" si="23"/>
        <v>12045.540288358643</v>
      </c>
      <c r="O76" s="75">
        <f t="shared" si="24"/>
        <v>7934.7774845656922</v>
      </c>
      <c r="P76" s="103"/>
      <c r="Q76" s="103"/>
      <c r="R76" s="103"/>
      <c r="S76" s="103"/>
      <c r="T76" s="103"/>
      <c r="U76" s="103"/>
      <c r="V76" s="103"/>
      <c r="W76" s="103"/>
      <c r="X76" s="103"/>
    </row>
    <row r="77" spans="1:24" x14ac:dyDescent="0.25">
      <c r="A77" s="17" t="s">
        <v>70</v>
      </c>
      <c r="B77" s="72" t="str">
        <f t="shared" si="25"/>
        <v>Q1/2021</v>
      </c>
      <c r="C77" s="73">
        <f t="shared" si="28"/>
        <v>44197</v>
      </c>
      <c r="D77" s="73">
        <f t="shared" si="29"/>
        <v>44286</v>
      </c>
      <c r="E77" s="72">
        <f t="shared" si="26"/>
        <v>90</v>
      </c>
      <c r="F77" s="74">
        <f>VLOOKUP(D77,'FERC Interest Rate'!$A:$B,2,TRUE)</f>
        <v>5.0023470000000007E-2</v>
      </c>
      <c r="G77" s="75">
        <f t="shared" si="27"/>
        <v>7934.7774845656922</v>
      </c>
      <c r="H77" s="75">
        <v>0</v>
      </c>
      <c r="I77" s="99">
        <f t="shared" si="32"/>
        <v>166.7387422828605</v>
      </c>
      <c r="J77" s="76">
        <f t="shared" si="31"/>
        <v>97.871943317880181</v>
      </c>
      <c r="K77" s="116">
        <f t="shared" si="30"/>
        <v>264.61068560074068</v>
      </c>
      <c r="L77" s="76">
        <f t="shared" si="33"/>
        <v>3800.65</v>
      </c>
      <c r="M77" s="117">
        <f t="shared" si="22"/>
        <v>4065.2606856007405</v>
      </c>
      <c r="N77" s="8">
        <f t="shared" si="23"/>
        <v>8032.6494278835726</v>
      </c>
      <c r="O77" s="75">
        <f t="shared" si="24"/>
        <v>3967.3887422828311</v>
      </c>
      <c r="P77" s="103"/>
      <c r="Q77" s="103"/>
      <c r="R77" s="103"/>
      <c r="S77" s="103"/>
      <c r="T77" s="103"/>
      <c r="U77" s="103"/>
      <c r="V77" s="103"/>
      <c r="W77" s="103"/>
      <c r="X77" s="103"/>
    </row>
    <row r="78" spans="1:24" x14ac:dyDescent="0.25">
      <c r="A78" s="17" t="s">
        <v>71</v>
      </c>
      <c r="B78" s="72" t="str">
        <f t="shared" si="25"/>
        <v>Q2/2021</v>
      </c>
      <c r="C78" s="73">
        <f>D77+1</f>
        <v>44287</v>
      </c>
      <c r="D78" s="73">
        <f t="shared" si="29"/>
        <v>44377</v>
      </c>
      <c r="E78" s="72">
        <f>D78-C78+1</f>
        <v>91</v>
      </c>
      <c r="F78" s="74">
        <f>VLOOKUP(D78,'FERC Interest Rate'!$A:$B,2,TRUE)</f>
        <v>5.0403730000000001E-2</v>
      </c>
      <c r="G78" s="75">
        <f>O77</f>
        <v>3967.3887422828311</v>
      </c>
      <c r="H78" s="75">
        <v>0</v>
      </c>
      <c r="I78" s="99">
        <f t="shared" si="32"/>
        <v>166.7387422828605</v>
      </c>
      <c r="J78" s="76">
        <f>G78*F78*(E78/(DATE(YEAR(D78),12,31)-DATE(YEAR(D78),1,1)+1))</f>
        <v>49.855831173607591</v>
      </c>
      <c r="K78" s="116">
        <f>+SUM(I78:J78)</f>
        <v>216.59457345646808</v>
      </c>
      <c r="L78" s="76">
        <f t="shared" si="33"/>
        <v>3800.65</v>
      </c>
      <c r="M78" s="117">
        <f>+SUM(K78:L78)</f>
        <v>4017.2445734564681</v>
      </c>
      <c r="N78" s="8">
        <f>+G78+H78+J78</f>
        <v>4017.2445734564385</v>
      </c>
      <c r="O78" s="75">
        <f>G78+H78-L78-I78</f>
        <v>-2.9473312679328956E-11</v>
      </c>
      <c r="P78" s="103"/>
      <c r="Q78" s="103"/>
      <c r="R78" s="103"/>
      <c r="S78" s="103"/>
      <c r="T78" s="103"/>
      <c r="U78" s="103"/>
      <c r="V78" s="103"/>
      <c r="W78" s="103"/>
      <c r="X78" s="103"/>
    </row>
    <row r="79" spans="1:24" x14ac:dyDescent="0.25">
      <c r="B79" s="72"/>
      <c r="C79" s="73"/>
      <c r="D79" s="73"/>
      <c r="E79" s="72"/>
      <c r="F79" s="74"/>
      <c r="G79" s="75"/>
      <c r="H79" s="75"/>
      <c r="I79" s="99"/>
      <c r="J79" s="76"/>
      <c r="K79" s="103"/>
      <c r="L79" s="76"/>
      <c r="M79" s="118"/>
      <c r="N79" s="103"/>
      <c r="O79" s="75"/>
      <c r="P79" s="103"/>
      <c r="Q79" s="103"/>
      <c r="R79" s="103"/>
      <c r="S79" s="103"/>
      <c r="T79" s="103"/>
      <c r="U79" s="103"/>
      <c r="V79" s="103"/>
      <c r="W79" s="103"/>
      <c r="X79" s="103"/>
    </row>
    <row r="80" spans="1:24" ht="13.5" thickBot="1" x14ac:dyDescent="0.35">
      <c r="A80" s="142"/>
      <c r="B80" s="143"/>
      <c r="C80" s="144"/>
      <c r="D80" s="144"/>
      <c r="E80" s="145"/>
      <c r="F80" s="143"/>
      <c r="G80" s="124">
        <f t="shared" ref="G80:O80" si="34">SUM(G54:G79)</f>
        <v>1242547.5921281658</v>
      </c>
      <c r="H80" s="124">
        <f t="shared" si="34"/>
        <v>3334.7748456572099</v>
      </c>
      <c r="I80" s="125">
        <f t="shared" si="34"/>
        <v>3334.7748456572108</v>
      </c>
      <c r="J80" s="124">
        <f t="shared" si="34"/>
        <v>8485.7965189519928</v>
      </c>
      <c r="K80" s="124">
        <f t="shared" si="34"/>
        <v>13209.465098241351</v>
      </c>
      <c r="L80" s="124">
        <f t="shared" si="34"/>
        <v>76013</v>
      </c>
      <c r="M80" s="126">
        <f t="shared" si="34"/>
        <v>87833.571364609204</v>
      </c>
      <c r="N80" s="124">
        <f t="shared" si="34"/>
        <v>1254368.1634927748</v>
      </c>
      <c r="O80" s="124">
        <f t="shared" si="34"/>
        <v>1166534.5921281655</v>
      </c>
      <c r="P80" s="103"/>
      <c r="Q80" s="103"/>
      <c r="R80" s="103"/>
      <c r="S80" s="103"/>
      <c r="T80" s="103"/>
      <c r="U80" s="103"/>
      <c r="V80" s="103"/>
      <c r="W80" s="103"/>
      <c r="X80" s="103"/>
    </row>
    <row r="81" spans="1:24" ht="13" thickTop="1" x14ac:dyDescent="0.25">
      <c r="B81" s="11"/>
      <c r="C81" s="111"/>
      <c r="D81" s="111"/>
      <c r="E81" s="10"/>
      <c r="F81" s="11"/>
      <c r="G81" s="76"/>
      <c r="H81" s="58"/>
      <c r="I81" s="101"/>
      <c r="J81" s="76"/>
      <c r="K81" s="103"/>
      <c r="L81" s="58"/>
      <c r="M81" s="118"/>
      <c r="N81" s="103"/>
      <c r="O81" s="103"/>
      <c r="P81" s="103"/>
      <c r="Q81" s="103"/>
      <c r="R81" s="103"/>
      <c r="S81" s="103"/>
      <c r="T81" s="103"/>
      <c r="U81" s="103"/>
      <c r="V81" s="103"/>
      <c r="W81" s="103"/>
      <c r="X81" s="103"/>
    </row>
    <row r="82" spans="1:24" ht="37" x14ac:dyDescent="0.3">
      <c r="A82" s="77" t="s">
        <v>51</v>
      </c>
      <c r="B82" s="77" t="s">
        <v>3</v>
      </c>
      <c r="C82" s="77" t="s">
        <v>4</v>
      </c>
      <c r="D82" s="77" t="s">
        <v>5</v>
      </c>
      <c r="E82" s="77" t="s">
        <v>6</v>
      </c>
      <c r="F82" s="77" t="s">
        <v>7</v>
      </c>
      <c r="G82" s="77" t="s">
        <v>78</v>
      </c>
      <c r="H82" s="77" t="s">
        <v>79</v>
      </c>
      <c r="I82" s="94" t="s">
        <v>80</v>
      </c>
      <c r="J82" s="95" t="s">
        <v>81</v>
      </c>
      <c r="K82" s="95" t="s">
        <v>82</v>
      </c>
      <c r="L82" s="95" t="s">
        <v>83</v>
      </c>
      <c r="M82" s="96" t="s">
        <v>73</v>
      </c>
      <c r="N82" s="77" t="s">
        <v>84</v>
      </c>
      <c r="O82" s="77" t="s">
        <v>85</v>
      </c>
      <c r="P82" s="103"/>
      <c r="Q82" s="103"/>
      <c r="R82" s="103"/>
      <c r="S82" s="116"/>
      <c r="T82" s="116"/>
      <c r="U82" s="116"/>
      <c r="V82" s="116"/>
      <c r="W82" s="103"/>
      <c r="X82" s="103"/>
    </row>
    <row r="83" spans="1:24" ht="13" x14ac:dyDescent="0.3">
      <c r="A83" s="110" t="s">
        <v>40</v>
      </c>
      <c r="B83" s="141" t="s">
        <v>53</v>
      </c>
      <c r="C83" s="73">
        <f>VLOOKUP(B83,A$1:F$26,2,FALSE)</f>
        <v>42201</v>
      </c>
      <c r="D83" s="73">
        <f>DATE(YEAR(C83),IF(MONTH(C83)&lt;=3,3,IF(MONTH(C83)&lt;=6,6,IF(MONTH(C83)&lt;=9,9,12))),IF(OR(MONTH(C83)&lt;=3,MONTH(C83)&gt;=10),31,30))</f>
        <v>42277</v>
      </c>
      <c r="E83" s="72">
        <f>D83-C83+1</f>
        <v>77</v>
      </c>
      <c r="F83" s="74">
        <f>VLOOKUP(D83,'FERC Interest Rate'!$A:$B,2,TRUE)</f>
        <v>3.2500000000000001E-2</v>
      </c>
      <c r="G83" s="75">
        <f>VLOOKUP(B83,$A$1:$F$26,5,FALSE)</f>
        <v>48001</v>
      </c>
      <c r="H83" s="75">
        <f>G83*F83*(E83/(DATE(YEAR(D83),12,31)-DATE(YEAR(D83),1,1)+1))</f>
        <v>329.10274657534245</v>
      </c>
      <c r="I83" s="180">
        <v>0</v>
      </c>
      <c r="J83" s="76">
        <v>0</v>
      </c>
      <c r="K83" s="116">
        <f t="shared" ref="K83:K106" si="35">+SUM(I83:J83)</f>
        <v>0</v>
      </c>
      <c r="L83" s="76">
        <v>0</v>
      </c>
      <c r="M83" s="117">
        <f t="shared" ref="M83:M106" si="36">+SUM(K83:L83)</f>
        <v>0</v>
      </c>
      <c r="N83" s="8">
        <f t="shared" ref="N83:N106" si="37">+G83+H83+J83</f>
        <v>48330.102746575343</v>
      </c>
      <c r="O83" s="75">
        <f t="shared" ref="O83:O106" si="38">G83+H83-L83-I83</f>
        <v>48330.102746575343</v>
      </c>
      <c r="P83" s="103"/>
      <c r="Q83" s="103"/>
      <c r="R83" s="103"/>
      <c r="S83" s="103"/>
      <c r="T83" s="103"/>
      <c r="U83" s="103"/>
      <c r="V83" s="103"/>
      <c r="W83" s="103"/>
      <c r="X83" s="103"/>
    </row>
    <row r="84" spans="1:24" x14ac:dyDescent="0.25">
      <c r="A84" s="78" t="s">
        <v>21</v>
      </c>
      <c r="B84" s="72" t="str">
        <f>+IF(MONTH(C84)&lt;4,"Q1",IF(MONTH(C84)&lt;7,"Q2",IF(MONTH(C84)&lt;10,"Q3","Q4")))&amp;"/"&amp;YEAR(C84)</f>
        <v>Q4/2015</v>
      </c>
      <c r="C84" s="73">
        <f>D83+1</f>
        <v>42278</v>
      </c>
      <c r="D84" s="73">
        <f>EOMONTH(D83,3)</f>
        <v>42369</v>
      </c>
      <c r="E84" s="72">
        <f t="shared" ref="E84:E106" si="39">D84-C84+1</f>
        <v>92</v>
      </c>
      <c r="F84" s="74">
        <f>VLOOKUP(D84,'FERC Interest Rate'!$A:$B,2,TRUE)</f>
        <v>3.2500000000000001E-2</v>
      </c>
      <c r="G84" s="75">
        <f t="shared" ref="G84:G106" si="40">O83</f>
        <v>48330.102746575343</v>
      </c>
      <c r="H84" s="75">
        <f>G84*F84*(E84/(DATE(YEAR(D84),12,31)-DATE(YEAR(D84),1,1)+1))</f>
        <v>395.9096088007131</v>
      </c>
      <c r="I84" s="180">
        <v>0</v>
      </c>
      <c r="J84" s="76">
        <v>0</v>
      </c>
      <c r="K84" s="116">
        <f t="shared" si="35"/>
        <v>0</v>
      </c>
      <c r="L84" s="76">
        <v>0</v>
      </c>
      <c r="M84" s="117">
        <f t="shared" si="36"/>
        <v>0</v>
      </c>
      <c r="N84" s="8">
        <f t="shared" si="37"/>
        <v>48726.012355376057</v>
      </c>
      <c r="O84" s="75">
        <f t="shared" si="38"/>
        <v>48726.012355376057</v>
      </c>
      <c r="P84" s="103"/>
      <c r="Q84" s="103"/>
      <c r="R84" s="103"/>
      <c r="S84" s="103"/>
      <c r="T84" s="103"/>
      <c r="U84" s="103"/>
      <c r="V84" s="103"/>
      <c r="W84" s="103"/>
      <c r="X84" s="103"/>
    </row>
    <row r="85" spans="1:24" x14ac:dyDescent="0.25">
      <c r="A85" s="78" t="s">
        <v>21</v>
      </c>
      <c r="B85" s="72" t="str">
        <f>+IF(MONTH(C85)&lt;4,"Q1",IF(MONTH(C85)&lt;7,"Q2",IF(MONTH(C85)&lt;10,"Q3","Q4")))&amp;"/"&amp;YEAR(C85)</f>
        <v>Q1/2016</v>
      </c>
      <c r="C85" s="73">
        <f t="shared" ref="C85:C106" si="41">D84+1</f>
        <v>42370</v>
      </c>
      <c r="D85" s="73">
        <f t="shared" ref="D85:D106" si="42">EOMONTH(D84,3)</f>
        <v>42460</v>
      </c>
      <c r="E85" s="72">
        <f t="shared" si="39"/>
        <v>91</v>
      </c>
      <c r="F85" s="74">
        <f>VLOOKUP(D85,'FERC Interest Rate'!$A:$B,2,TRUE)</f>
        <v>3.2500000000000001E-2</v>
      </c>
      <c r="G85" s="75">
        <f t="shared" si="40"/>
        <v>48726.012355376057</v>
      </c>
      <c r="H85" s="75">
        <f>G85*F85*(E85/(DATE(YEAR(D85),12,31)-DATE(YEAR(D85),1,1)+1))</f>
        <v>393.73546869132429</v>
      </c>
      <c r="I85" s="180">
        <v>0</v>
      </c>
      <c r="J85" s="76">
        <v>0</v>
      </c>
      <c r="K85" s="116">
        <f t="shared" si="35"/>
        <v>0</v>
      </c>
      <c r="L85" s="76">
        <v>0</v>
      </c>
      <c r="M85" s="117">
        <f t="shared" si="36"/>
        <v>0</v>
      </c>
      <c r="N85" s="8">
        <f t="shared" si="37"/>
        <v>49119.747824067381</v>
      </c>
      <c r="O85" s="75">
        <f t="shared" si="38"/>
        <v>49119.747824067381</v>
      </c>
      <c r="P85" s="103"/>
      <c r="Q85" s="103"/>
      <c r="R85" s="103"/>
      <c r="S85" s="103"/>
      <c r="T85" s="103"/>
      <c r="U85" s="103"/>
      <c r="V85" s="103"/>
      <c r="W85" s="103"/>
      <c r="X85" s="103"/>
    </row>
    <row r="86" spans="1:24" x14ac:dyDescent="0.25">
      <c r="A86" s="78" t="s">
        <v>21</v>
      </c>
      <c r="B86" s="72" t="str">
        <f>+IF(MONTH(C86)&lt;4,"Q1",IF(MONTH(C86)&lt;7,"Q2",IF(MONTH(C86)&lt;10,"Q3","Q4")))&amp;"/"&amp;YEAR(C86)</f>
        <v>Q2/2016</v>
      </c>
      <c r="C86" s="73">
        <f t="shared" si="41"/>
        <v>42461</v>
      </c>
      <c r="D86" s="73">
        <f t="shared" si="42"/>
        <v>42551</v>
      </c>
      <c r="E86" s="72">
        <f t="shared" si="39"/>
        <v>91</v>
      </c>
      <c r="F86" s="74">
        <f>VLOOKUP(D86,'FERC Interest Rate'!$A:$B,2,TRUE)</f>
        <v>3.4599999999999999E-2</v>
      </c>
      <c r="G86" s="75">
        <f t="shared" si="40"/>
        <v>49119.747824067381</v>
      </c>
      <c r="H86" s="75">
        <f>G86*F86*(E86/(DATE(YEAR(D86),12,31)-DATE(YEAR(D86),1,1)+1))</f>
        <v>422.56403824824741</v>
      </c>
      <c r="I86" s="180">
        <v>0</v>
      </c>
      <c r="J86" s="76">
        <v>0</v>
      </c>
      <c r="K86" s="116">
        <f t="shared" si="35"/>
        <v>0</v>
      </c>
      <c r="L86" s="76">
        <v>0</v>
      </c>
      <c r="M86" s="117">
        <f t="shared" si="36"/>
        <v>0</v>
      </c>
      <c r="N86" s="8">
        <f t="shared" si="37"/>
        <v>49542.311862315626</v>
      </c>
      <c r="O86" s="75">
        <f t="shared" si="38"/>
        <v>49542.311862315626</v>
      </c>
      <c r="P86" s="103"/>
      <c r="Q86" s="103"/>
      <c r="R86" s="103"/>
      <c r="S86" s="103"/>
      <c r="T86" s="103"/>
      <c r="U86" s="103"/>
      <c r="V86" s="103"/>
      <c r="W86" s="103"/>
      <c r="X86" s="103"/>
    </row>
    <row r="87" spans="1:24" x14ac:dyDescent="0.25">
      <c r="A87" s="78" t="s">
        <v>21</v>
      </c>
      <c r="B87" s="72" t="str">
        <f>+IF(MONTH(C87)&lt;4,"Q1",IF(MONTH(C87)&lt;7,"Q2",IF(MONTH(C87)&lt;10,"Q3","Q4")))&amp;"/"&amp;YEAR(C87)</f>
        <v>Q3/2016</v>
      </c>
      <c r="C87" s="73">
        <f t="shared" si="41"/>
        <v>42552</v>
      </c>
      <c r="D87" s="73">
        <f t="shared" si="42"/>
        <v>42643</v>
      </c>
      <c r="E87" s="72">
        <f t="shared" si="39"/>
        <v>92</v>
      </c>
      <c r="F87" s="74">
        <f>VLOOKUP(D87,'FERC Interest Rate'!$A:$B,2,TRUE)</f>
        <v>3.5000000000000003E-2</v>
      </c>
      <c r="G87" s="75">
        <f t="shared" si="40"/>
        <v>49542.311862315626</v>
      </c>
      <c r="H87" s="75">
        <f>G87*F87*(E87/(DATE(YEAR(D87),12,31)-DATE(YEAR(D87),1,1)+1))</f>
        <v>435.86405518212115</v>
      </c>
      <c r="I87" s="99">
        <v>0</v>
      </c>
      <c r="J87" s="76">
        <v>0</v>
      </c>
      <c r="K87" s="116">
        <f t="shared" si="35"/>
        <v>0</v>
      </c>
      <c r="L87" s="76">
        <v>0</v>
      </c>
      <c r="M87" s="117">
        <f t="shared" si="36"/>
        <v>0</v>
      </c>
      <c r="N87" s="8">
        <f t="shared" si="37"/>
        <v>49978.175917497749</v>
      </c>
      <c r="O87" s="75">
        <f t="shared" si="38"/>
        <v>49978.175917497749</v>
      </c>
      <c r="P87" s="103"/>
      <c r="Q87" s="103"/>
      <c r="R87" s="103"/>
      <c r="S87" s="103"/>
      <c r="T87" s="103"/>
      <c r="U87" s="103"/>
      <c r="V87" s="103"/>
      <c r="W87" s="103"/>
      <c r="X87" s="103"/>
    </row>
    <row r="88" spans="1:24" x14ac:dyDescent="0.25">
      <c r="A88" s="78" t="s">
        <v>21</v>
      </c>
      <c r="B88" s="72" t="str">
        <f t="shared" ref="B88:B106" si="43">+IF(MONTH(C88)&lt;4,"Q1",IF(MONTH(C88)&lt;7,"Q2",IF(MONTH(C88)&lt;10,"Q3","Q4")))&amp;"/"&amp;YEAR(C88)</f>
        <v>Q4/2016</v>
      </c>
      <c r="C88" s="73">
        <f t="shared" si="41"/>
        <v>42644</v>
      </c>
      <c r="D88" s="73">
        <f t="shared" si="42"/>
        <v>42735</v>
      </c>
      <c r="E88" s="72">
        <f t="shared" si="39"/>
        <v>92</v>
      </c>
      <c r="F88" s="74">
        <f>VLOOKUP(D88,'FERC Interest Rate'!$A:$B,2,TRUE)</f>
        <v>3.5000000000000003E-2</v>
      </c>
      <c r="G88" s="75">
        <f t="shared" si="40"/>
        <v>49978.175917497749</v>
      </c>
      <c r="H88" s="75">
        <v>0</v>
      </c>
      <c r="I88" s="99">
        <v>0</v>
      </c>
      <c r="J88" s="76">
        <f>G88*F88*(E88/(DATE(YEAR(D88),12,31)-DATE(YEAR(D88),1,1)+1))</f>
        <v>439.69870615940647</v>
      </c>
      <c r="K88" s="116">
        <f t="shared" si="35"/>
        <v>439.69870615940647</v>
      </c>
      <c r="L88" s="76">
        <v>0</v>
      </c>
      <c r="M88" s="117">
        <v>0</v>
      </c>
      <c r="N88" s="8">
        <f t="shared" si="37"/>
        <v>50417.874623657153</v>
      </c>
      <c r="O88" s="75">
        <f>+N88-M88</f>
        <v>50417.874623657153</v>
      </c>
      <c r="P88" s="103"/>
      <c r="Q88" s="103"/>
      <c r="R88" s="103"/>
      <c r="S88" s="103"/>
      <c r="T88" s="103"/>
      <c r="U88" s="103"/>
      <c r="V88" s="103"/>
      <c r="W88" s="103"/>
      <c r="X88" s="103"/>
    </row>
    <row r="89" spans="1:24" x14ac:dyDescent="0.25">
      <c r="A89" s="78" t="s">
        <v>21</v>
      </c>
      <c r="B89" s="72" t="str">
        <f t="shared" si="43"/>
        <v>Q1/2017</v>
      </c>
      <c r="C89" s="73">
        <f t="shared" si="41"/>
        <v>42736</v>
      </c>
      <c r="D89" s="73">
        <f t="shared" si="42"/>
        <v>42825</v>
      </c>
      <c r="E89" s="72">
        <f t="shared" si="39"/>
        <v>90</v>
      </c>
      <c r="F89" s="74">
        <f>VLOOKUP(D89,'FERC Interest Rate'!$A:$B,2,TRUE)</f>
        <v>3.5000000000000003E-2</v>
      </c>
      <c r="G89" s="75">
        <f t="shared" si="40"/>
        <v>50417.874623657153</v>
      </c>
      <c r="H89" s="75">
        <v>0</v>
      </c>
      <c r="I89" s="99">
        <v>0</v>
      </c>
      <c r="J89" s="76">
        <f>G89*F89*(E89/(DATE(YEAR(D89),12,31)-DATE(YEAR(D89),1,1)+1))</f>
        <v>435.11316456032887</v>
      </c>
      <c r="K89" s="116">
        <f t="shared" si="35"/>
        <v>435.11316456032887</v>
      </c>
      <c r="L89" s="76">
        <v>0</v>
      </c>
      <c r="M89" s="117">
        <v>0</v>
      </c>
      <c r="N89" s="8">
        <f t="shared" si="37"/>
        <v>50852.987788217484</v>
      </c>
      <c r="O89" s="75">
        <f>+N89-M89</f>
        <v>50852.987788217484</v>
      </c>
      <c r="P89" s="103"/>
      <c r="Q89" s="103"/>
      <c r="R89" s="103"/>
      <c r="S89" s="103"/>
      <c r="T89" s="103"/>
      <c r="U89" s="103"/>
      <c r="V89" s="103"/>
      <c r="W89" s="103"/>
      <c r="X89" s="103"/>
    </row>
    <row r="90" spans="1:24" x14ac:dyDescent="0.25">
      <c r="A90" s="309" t="s">
        <v>101</v>
      </c>
      <c r="B90" s="72" t="str">
        <f>+IF(MONTH(C90)&lt;4,"Q1",IF(MONTH(C90)&lt;7,"Q2",IF(MONTH(C90)&lt;10,"Q3","Q4")))&amp;"/"&amp;YEAR(C90)</f>
        <v>Q2/2017</v>
      </c>
      <c r="C90" s="132">
        <f>D89+1</f>
        <v>42826</v>
      </c>
      <c r="D90" s="132">
        <f t="shared" si="42"/>
        <v>42916</v>
      </c>
      <c r="E90" s="72">
        <f>D90-C90+1</f>
        <v>91</v>
      </c>
      <c r="F90" s="74">
        <f>VLOOKUP(D90,'FERC Interest Rate'!$A:$B,2,TRUE)</f>
        <v>3.7100000000000001E-2</v>
      </c>
      <c r="G90" s="75">
        <f>O89</f>
        <v>50852.987788217484</v>
      </c>
      <c r="H90" s="75">
        <v>0</v>
      </c>
      <c r="I90" s="99">
        <f>(SUM($H$83:$H$107)/20)*4</f>
        <v>395.43518349954968</v>
      </c>
      <c r="J90" s="76">
        <f>G90*F90*(E90/(DATE(YEAR(D90),12,31)-DATE(YEAR(D90),1,1)+1))</f>
        <v>470.36923855287961</v>
      </c>
      <c r="K90" s="116">
        <f>+SUM(I88:J90)</f>
        <v>1740.6162927721646</v>
      </c>
      <c r="L90" s="76">
        <f>($G$83/20)*4</f>
        <v>9600.2000000000007</v>
      </c>
      <c r="M90" s="117">
        <f>+SUM(K90:L90)</f>
        <v>11340.816292772166</v>
      </c>
      <c r="N90" s="8">
        <f>+G90+H90+J90</f>
        <v>51323.357026770362</v>
      </c>
      <c r="O90" s="75">
        <f>+N90-M90</f>
        <v>39982.540733998198</v>
      </c>
      <c r="P90" s="103"/>
      <c r="Q90" s="103"/>
      <c r="R90" s="103"/>
      <c r="S90" s="103"/>
      <c r="T90" s="103"/>
      <c r="U90" s="103"/>
      <c r="V90" s="103"/>
      <c r="W90" s="103"/>
      <c r="X90" s="103"/>
    </row>
    <row r="91" spans="1:24" x14ac:dyDescent="0.25">
      <c r="A91" s="17" t="s">
        <v>56</v>
      </c>
      <c r="B91" s="72" t="str">
        <f>+IF(MONTH(C91)&lt;4,"Q1",IF(MONTH(C91)&lt;7,"Q2",IF(MONTH(C91)&lt;10,"Q3","Q4")))&amp;"/"&amp;YEAR(C91)</f>
        <v>Q3/2017</v>
      </c>
      <c r="C91" s="73">
        <f>D90+1</f>
        <v>42917</v>
      </c>
      <c r="D91" s="73">
        <f t="shared" si="42"/>
        <v>43008</v>
      </c>
      <c r="E91" s="72">
        <f>D91-C91+1</f>
        <v>92</v>
      </c>
      <c r="F91" s="74">
        <f>VLOOKUP(D91,'FERC Interest Rate'!$A:$B,2,TRUE)</f>
        <v>3.9600000000000003E-2</v>
      </c>
      <c r="G91" s="75">
        <f>O90</f>
        <v>39982.540733998198</v>
      </c>
      <c r="H91" s="75">
        <v>0</v>
      </c>
      <c r="I91" s="99">
        <f t="shared" ref="I91:I106" si="44">(SUM($H$83:$H$107)/20)</f>
        <v>98.85879587488742</v>
      </c>
      <c r="J91" s="76">
        <f>G91*F91*(E91/(DATE(YEAR(D91),12,31)-DATE(YEAR(D91),1,1)+1))</f>
        <v>399.08052712904725</v>
      </c>
      <c r="K91" s="116">
        <f>+SUM(I91:J91)</f>
        <v>497.93932300393465</v>
      </c>
      <c r="L91" s="76">
        <f t="shared" ref="L91:L106" si="45">($G$83/20)</f>
        <v>2400.0500000000002</v>
      </c>
      <c r="M91" s="117">
        <f>+SUM(K91:L91)</f>
        <v>2897.9893230039347</v>
      </c>
      <c r="N91" s="8">
        <f>+G91+H91+J91</f>
        <v>40381.621261127242</v>
      </c>
      <c r="O91" s="75">
        <f>G91+H91-L91-I91</f>
        <v>37483.631938123304</v>
      </c>
      <c r="P91" s="103"/>
      <c r="Q91" s="103"/>
      <c r="R91" s="103"/>
      <c r="S91" s="103"/>
      <c r="T91" s="103"/>
      <c r="U91" s="103"/>
      <c r="V91" s="103"/>
      <c r="W91" s="103"/>
      <c r="X91" s="103"/>
    </row>
    <row r="92" spans="1:24" x14ac:dyDescent="0.25">
      <c r="A92" s="17" t="s">
        <v>57</v>
      </c>
      <c r="B92" s="72" t="str">
        <f t="shared" si="43"/>
        <v>Q4/2017</v>
      </c>
      <c r="C92" s="73">
        <f t="shared" si="41"/>
        <v>43009</v>
      </c>
      <c r="D92" s="73">
        <f t="shared" si="42"/>
        <v>43100</v>
      </c>
      <c r="E92" s="72">
        <f t="shared" si="39"/>
        <v>92</v>
      </c>
      <c r="F92" s="74">
        <f>VLOOKUP(D92,'FERC Interest Rate'!$A:$B,2,TRUE)</f>
        <v>4.2099999999999999E-2</v>
      </c>
      <c r="G92" s="75">
        <f t="shared" si="40"/>
        <v>37483.631938123304</v>
      </c>
      <c r="H92" s="75">
        <v>0</v>
      </c>
      <c r="I92" s="99">
        <f t="shared" si="44"/>
        <v>98.85879587488742</v>
      </c>
      <c r="J92" s="76">
        <f t="shared" ref="J92:J106" si="46">G92*F92*(E92/(DATE(YEAR(D92),12,31)-DATE(YEAR(D92),1,1)+1))</f>
        <v>397.75781704860054</v>
      </c>
      <c r="K92" s="116">
        <f t="shared" si="35"/>
        <v>496.61661292348799</v>
      </c>
      <c r="L92" s="76">
        <f t="shared" si="45"/>
        <v>2400.0500000000002</v>
      </c>
      <c r="M92" s="117">
        <f t="shared" si="36"/>
        <v>2896.6666129234882</v>
      </c>
      <c r="N92" s="8">
        <f t="shared" si="37"/>
        <v>37881.389755171906</v>
      </c>
      <c r="O92" s="75">
        <f t="shared" si="38"/>
        <v>34984.723142248411</v>
      </c>
      <c r="P92" s="103"/>
      <c r="Q92" s="103"/>
      <c r="R92" s="103"/>
      <c r="S92" s="103"/>
      <c r="T92" s="103"/>
      <c r="U92" s="103"/>
      <c r="V92" s="103"/>
      <c r="W92" s="103"/>
      <c r="X92" s="103"/>
    </row>
    <row r="93" spans="1:24" x14ac:dyDescent="0.25">
      <c r="A93" s="17" t="s">
        <v>58</v>
      </c>
      <c r="B93" s="72" t="str">
        <f t="shared" si="43"/>
        <v>Q1/2018</v>
      </c>
      <c r="C93" s="73">
        <f t="shared" si="41"/>
        <v>43101</v>
      </c>
      <c r="D93" s="73">
        <f t="shared" si="42"/>
        <v>43190</v>
      </c>
      <c r="E93" s="72">
        <f t="shared" si="39"/>
        <v>90</v>
      </c>
      <c r="F93" s="74">
        <f>VLOOKUP(D93,'FERC Interest Rate'!$A:$B,2,TRUE)</f>
        <v>4.2500000000000003E-2</v>
      </c>
      <c r="G93" s="75">
        <f t="shared" si="40"/>
        <v>34984.723142248411</v>
      </c>
      <c r="H93" s="75">
        <v>0</v>
      </c>
      <c r="I93" s="99">
        <f t="shared" si="44"/>
        <v>98.85879587488742</v>
      </c>
      <c r="J93" s="76">
        <f t="shared" si="46"/>
        <v>366.62072881945255</v>
      </c>
      <c r="K93" s="116">
        <f t="shared" si="35"/>
        <v>465.47952469433994</v>
      </c>
      <c r="L93" s="76">
        <f t="shared" si="45"/>
        <v>2400.0500000000002</v>
      </c>
      <c r="M93" s="117">
        <f t="shared" si="36"/>
        <v>2865.5295246943401</v>
      </c>
      <c r="N93" s="8">
        <f t="shared" si="37"/>
        <v>35351.34387106786</v>
      </c>
      <c r="O93" s="75">
        <f t="shared" si="38"/>
        <v>32485.814346373525</v>
      </c>
      <c r="P93" s="103"/>
      <c r="Q93" s="103"/>
      <c r="R93" s="103"/>
      <c r="S93" s="103"/>
      <c r="T93" s="103"/>
      <c r="U93" s="103"/>
      <c r="V93" s="103"/>
      <c r="W93" s="103"/>
      <c r="X93" s="103"/>
    </row>
    <row r="94" spans="1:24" x14ac:dyDescent="0.25">
      <c r="A94" s="17" t="s">
        <v>59</v>
      </c>
      <c r="B94" s="72" t="str">
        <f t="shared" si="43"/>
        <v>Q2/2018</v>
      </c>
      <c r="C94" s="73">
        <f t="shared" si="41"/>
        <v>43191</v>
      </c>
      <c r="D94" s="73">
        <f t="shared" si="42"/>
        <v>43281</v>
      </c>
      <c r="E94" s="72">
        <f t="shared" si="39"/>
        <v>91</v>
      </c>
      <c r="F94" s="74">
        <f>VLOOKUP(D94,'FERC Interest Rate'!$A:$B,2,TRUE)</f>
        <v>4.4699999999999997E-2</v>
      </c>
      <c r="G94" s="75">
        <f t="shared" si="40"/>
        <v>32485.814346373525</v>
      </c>
      <c r="H94" s="75">
        <v>0</v>
      </c>
      <c r="I94" s="99">
        <f t="shared" si="44"/>
        <v>98.85879587488742</v>
      </c>
      <c r="J94" s="76">
        <f t="shared" si="46"/>
        <v>362.03437538833856</v>
      </c>
      <c r="K94" s="116">
        <f t="shared" si="35"/>
        <v>460.89317126322601</v>
      </c>
      <c r="L94" s="76">
        <f t="shared" si="45"/>
        <v>2400.0500000000002</v>
      </c>
      <c r="M94" s="117">
        <f t="shared" si="36"/>
        <v>2860.9431712632263</v>
      </c>
      <c r="N94" s="8">
        <f t="shared" si="37"/>
        <v>32847.84872176186</v>
      </c>
      <c r="O94" s="75">
        <f t="shared" si="38"/>
        <v>29986.905550498639</v>
      </c>
      <c r="P94" s="103"/>
      <c r="Q94" s="103"/>
      <c r="R94" s="103"/>
      <c r="S94" s="103"/>
      <c r="T94" s="103"/>
      <c r="U94" s="103"/>
      <c r="V94" s="103"/>
      <c r="W94" s="103"/>
      <c r="X94" s="103"/>
    </row>
    <row r="95" spans="1:24" x14ac:dyDescent="0.25">
      <c r="A95" s="17" t="s">
        <v>60</v>
      </c>
      <c r="B95" s="72" t="str">
        <f t="shared" si="43"/>
        <v>Q3/2018</v>
      </c>
      <c r="C95" s="73">
        <f t="shared" si="41"/>
        <v>43282</v>
      </c>
      <c r="D95" s="73">
        <f t="shared" si="42"/>
        <v>43373</v>
      </c>
      <c r="E95" s="72">
        <f t="shared" si="39"/>
        <v>92</v>
      </c>
      <c r="F95" s="74">
        <f>VLOOKUP(D95,'FERC Interest Rate'!$A:$B,2,TRUE)</f>
        <v>4.6899999999999997E-2</v>
      </c>
      <c r="G95" s="75">
        <f t="shared" si="40"/>
        <v>29986.905550498639</v>
      </c>
      <c r="H95" s="75">
        <v>0</v>
      </c>
      <c r="I95" s="99">
        <f t="shared" si="44"/>
        <v>98.85879587488742</v>
      </c>
      <c r="J95" s="76">
        <f t="shared" si="46"/>
        <v>354.48630155970284</v>
      </c>
      <c r="K95" s="116">
        <f t="shared" si="35"/>
        <v>453.34509743459023</v>
      </c>
      <c r="L95" s="76">
        <f t="shared" si="45"/>
        <v>2400.0500000000002</v>
      </c>
      <c r="M95" s="117">
        <f t="shared" si="36"/>
        <v>2853.3950974345903</v>
      </c>
      <c r="N95" s="8">
        <f t="shared" si="37"/>
        <v>30341.391852058343</v>
      </c>
      <c r="O95" s="75">
        <f t="shared" si="38"/>
        <v>27487.996754623753</v>
      </c>
      <c r="P95" s="103"/>
      <c r="Q95" s="103"/>
      <c r="R95" s="103"/>
      <c r="S95" s="103"/>
      <c r="T95" s="103"/>
      <c r="U95" s="103"/>
      <c r="V95" s="103"/>
      <c r="W95" s="103"/>
      <c r="X95" s="103"/>
    </row>
    <row r="96" spans="1:24" x14ac:dyDescent="0.25">
      <c r="A96" s="17" t="s">
        <v>61</v>
      </c>
      <c r="B96" s="72" t="str">
        <f t="shared" si="43"/>
        <v>Q4/2018</v>
      </c>
      <c r="C96" s="73">
        <f t="shared" si="41"/>
        <v>43374</v>
      </c>
      <c r="D96" s="73">
        <f t="shared" si="42"/>
        <v>43465</v>
      </c>
      <c r="E96" s="72">
        <f t="shared" si="39"/>
        <v>92</v>
      </c>
      <c r="F96" s="74">
        <f>VLOOKUP(D96,'FERC Interest Rate'!$A:$B,2,TRUE)</f>
        <v>4.9599999999999998E-2</v>
      </c>
      <c r="G96" s="75">
        <f t="shared" si="40"/>
        <v>27487.996754623753</v>
      </c>
      <c r="H96" s="75">
        <v>0</v>
      </c>
      <c r="I96" s="99">
        <f t="shared" si="44"/>
        <v>98.85879587488742</v>
      </c>
      <c r="J96" s="76">
        <f t="shared" si="46"/>
        <v>343.65267613890171</v>
      </c>
      <c r="K96" s="116">
        <f t="shared" si="35"/>
        <v>442.5114720137891</v>
      </c>
      <c r="L96" s="76">
        <f t="shared" si="45"/>
        <v>2400.0500000000002</v>
      </c>
      <c r="M96" s="117">
        <f t="shared" si="36"/>
        <v>2842.5614720137892</v>
      </c>
      <c r="N96" s="8">
        <f t="shared" si="37"/>
        <v>27831.649430762656</v>
      </c>
      <c r="O96" s="75">
        <f t="shared" si="38"/>
        <v>24989.087958748867</v>
      </c>
      <c r="P96" s="103"/>
      <c r="Q96" s="103"/>
      <c r="R96" s="103"/>
      <c r="S96" s="103"/>
      <c r="T96" s="103"/>
      <c r="U96" s="103"/>
      <c r="V96" s="103"/>
      <c r="W96" s="103"/>
      <c r="X96" s="103"/>
    </row>
    <row r="97" spans="1:24" x14ac:dyDescent="0.25">
      <c r="A97" s="17" t="s">
        <v>62</v>
      </c>
      <c r="B97" s="72" t="str">
        <f t="shared" si="43"/>
        <v>Q1/2019</v>
      </c>
      <c r="C97" s="73">
        <f t="shared" si="41"/>
        <v>43466</v>
      </c>
      <c r="D97" s="73">
        <f t="shared" si="42"/>
        <v>43555</v>
      </c>
      <c r="E97" s="72">
        <f t="shared" si="39"/>
        <v>90</v>
      </c>
      <c r="F97" s="74">
        <f>VLOOKUP(D97,'FERC Interest Rate'!$A:$B,2,TRUE)</f>
        <v>5.1799999999999999E-2</v>
      </c>
      <c r="G97" s="75">
        <f t="shared" si="40"/>
        <v>24989.087958748867</v>
      </c>
      <c r="H97" s="75">
        <v>0</v>
      </c>
      <c r="I97" s="99">
        <f t="shared" si="44"/>
        <v>98.85879587488742</v>
      </c>
      <c r="J97" s="76">
        <f t="shared" si="46"/>
        <v>319.17569332517041</v>
      </c>
      <c r="K97" s="116">
        <f t="shared" si="35"/>
        <v>418.03448920005781</v>
      </c>
      <c r="L97" s="76">
        <f t="shared" si="45"/>
        <v>2400.0500000000002</v>
      </c>
      <c r="M97" s="117">
        <f t="shared" si="36"/>
        <v>2818.0844892000578</v>
      </c>
      <c r="N97" s="8">
        <f t="shared" si="37"/>
        <v>25308.263652074038</v>
      </c>
      <c r="O97" s="75">
        <f t="shared" si="38"/>
        <v>22490.179162873981</v>
      </c>
      <c r="P97" s="103"/>
      <c r="Q97" s="103"/>
      <c r="R97" s="103"/>
      <c r="S97" s="103"/>
      <c r="T97" s="103"/>
      <c r="U97" s="103"/>
      <c r="V97" s="103"/>
      <c r="W97" s="103"/>
      <c r="X97" s="103"/>
    </row>
    <row r="98" spans="1:24" x14ac:dyDescent="0.25">
      <c r="A98" s="17" t="s">
        <v>63</v>
      </c>
      <c r="B98" s="72" t="str">
        <f t="shared" si="43"/>
        <v>Q2/2019</v>
      </c>
      <c r="C98" s="73">
        <f t="shared" si="41"/>
        <v>43556</v>
      </c>
      <c r="D98" s="73">
        <f t="shared" si="42"/>
        <v>43646</v>
      </c>
      <c r="E98" s="72">
        <f t="shared" si="39"/>
        <v>91</v>
      </c>
      <c r="F98" s="74">
        <f>VLOOKUP(D98,'FERC Interest Rate'!$A:$B,2,TRUE)</f>
        <v>5.45E-2</v>
      </c>
      <c r="G98" s="75">
        <f t="shared" si="40"/>
        <v>22490.179162873981</v>
      </c>
      <c r="H98" s="75">
        <v>0</v>
      </c>
      <c r="I98" s="99">
        <f t="shared" si="44"/>
        <v>98.85879587488742</v>
      </c>
      <c r="J98" s="76">
        <f t="shared" si="46"/>
        <v>305.58916043362609</v>
      </c>
      <c r="K98" s="116">
        <f t="shared" si="35"/>
        <v>404.44795630851354</v>
      </c>
      <c r="L98" s="76">
        <f t="shared" si="45"/>
        <v>2400.0500000000002</v>
      </c>
      <c r="M98" s="117">
        <f t="shared" si="36"/>
        <v>2804.4979563085135</v>
      </c>
      <c r="N98" s="8">
        <f t="shared" si="37"/>
        <v>22795.768323307606</v>
      </c>
      <c r="O98" s="75">
        <f t="shared" si="38"/>
        <v>19991.270366999095</v>
      </c>
      <c r="P98" s="103"/>
      <c r="Q98" s="103"/>
      <c r="R98" s="103"/>
      <c r="S98" s="103"/>
      <c r="T98" s="103"/>
      <c r="U98" s="103"/>
      <c r="V98" s="103"/>
      <c r="W98" s="103"/>
      <c r="X98" s="103"/>
    </row>
    <row r="99" spans="1:24" x14ac:dyDescent="0.25">
      <c r="A99" s="17" t="s">
        <v>64</v>
      </c>
      <c r="B99" s="72" t="str">
        <f t="shared" si="43"/>
        <v>Q3/2019</v>
      </c>
      <c r="C99" s="73">
        <f t="shared" si="41"/>
        <v>43647</v>
      </c>
      <c r="D99" s="73">
        <f t="shared" si="42"/>
        <v>43738</v>
      </c>
      <c r="E99" s="72">
        <f t="shared" si="39"/>
        <v>92</v>
      </c>
      <c r="F99" s="74">
        <f>VLOOKUP(D99,'FERC Interest Rate'!$A:$B,2,TRUE)</f>
        <v>5.5E-2</v>
      </c>
      <c r="G99" s="75">
        <f t="shared" si="40"/>
        <v>19991.270366999095</v>
      </c>
      <c r="H99" s="75">
        <v>0</v>
      </c>
      <c r="I99" s="99">
        <f t="shared" si="44"/>
        <v>98.85879587488742</v>
      </c>
      <c r="J99" s="76">
        <f t="shared" si="46"/>
        <v>277.13925495072721</v>
      </c>
      <c r="K99" s="116">
        <f t="shared" si="35"/>
        <v>375.99805082561465</v>
      </c>
      <c r="L99" s="76">
        <f t="shared" si="45"/>
        <v>2400.0500000000002</v>
      </c>
      <c r="M99" s="117">
        <f t="shared" si="36"/>
        <v>2776.0480508256151</v>
      </c>
      <c r="N99" s="8">
        <f t="shared" si="37"/>
        <v>20268.409621949821</v>
      </c>
      <c r="O99" s="75">
        <f t="shared" si="38"/>
        <v>17492.361571124209</v>
      </c>
      <c r="P99" s="103"/>
      <c r="Q99" s="103"/>
      <c r="R99" s="103"/>
      <c r="S99" s="103"/>
      <c r="T99" s="103"/>
      <c r="U99" s="103"/>
      <c r="V99" s="103"/>
      <c r="W99" s="103"/>
      <c r="X99" s="103"/>
    </row>
    <row r="100" spans="1:24" x14ac:dyDescent="0.25">
      <c r="A100" s="17" t="s">
        <v>65</v>
      </c>
      <c r="B100" s="72" t="str">
        <f t="shared" si="43"/>
        <v>Q4/2019</v>
      </c>
      <c r="C100" s="73">
        <f t="shared" si="41"/>
        <v>43739</v>
      </c>
      <c r="D100" s="73">
        <f t="shared" si="42"/>
        <v>43830</v>
      </c>
      <c r="E100" s="72">
        <f t="shared" si="39"/>
        <v>92</v>
      </c>
      <c r="F100" s="74">
        <f>VLOOKUP(D100,'FERC Interest Rate'!$A:$B,2,TRUE)</f>
        <v>5.4199999999999998E-2</v>
      </c>
      <c r="G100" s="75">
        <f t="shared" si="40"/>
        <v>17492.361571124209</v>
      </c>
      <c r="H100" s="75">
        <v>0</v>
      </c>
      <c r="I100" s="99">
        <f t="shared" si="44"/>
        <v>98.85879587488742</v>
      </c>
      <c r="J100" s="76">
        <f t="shared" si="46"/>
        <v>238.96962120069523</v>
      </c>
      <c r="K100" s="116">
        <f t="shared" si="35"/>
        <v>337.82841707558265</v>
      </c>
      <c r="L100" s="76">
        <f t="shared" si="45"/>
        <v>2400.0500000000002</v>
      </c>
      <c r="M100" s="117">
        <f t="shared" si="36"/>
        <v>2737.878417075583</v>
      </c>
      <c r="N100" s="8">
        <f t="shared" si="37"/>
        <v>17731.331192324906</v>
      </c>
      <c r="O100" s="75">
        <f t="shared" si="38"/>
        <v>14993.452775249323</v>
      </c>
      <c r="P100" s="103"/>
      <c r="Q100" s="103"/>
      <c r="R100" s="103"/>
      <c r="S100" s="103"/>
      <c r="T100" s="103"/>
      <c r="U100" s="103"/>
      <c r="V100" s="103"/>
      <c r="W100" s="103"/>
      <c r="X100" s="103"/>
    </row>
    <row r="101" spans="1:24" x14ac:dyDescent="0.25">
      <c r="A101" s="17" t="s">
        <v>66</v>
      </c>
      <c r="B101" s="72" t="str">
        <f t="shared" si="43"/>
        <v>Q1/2020</v>
      </c>
      <c r="C101" s="73">
        <f t="shared" si="41"/>
        <v>43831</v>
      </c>
      <c r="D101" s="73">
        <f t="shared" si="42"/>
        <v>43921</v>
      </c>
      <c r="E101" s="72">
        <f t="shared" si="39"/>
        <v>91</v>
      </c>
      <c r="F101" s="74">
        <f>VLOOKUP(D101,'FERC Interest Rate'!$A:$B,2,TRUE)</f>
        <v>4.9599999999999998E-2</v>
      </c>
      <c r="G101" s="75">
        <f t="shared" si="40"/>
        <v>14993.452775249323</v>
      </c>
      <c r="H101" s="75">
        <v>0</v>
      </c>
      <c r="I101" s="99">
        <f t="shared" si="44"/>
        <v>98.85879587488742</v>
      </c>
      <c r="J101" s="76">
        <f t="shared" si="46"/>
        <v>184.90286460755559</v>
      </c>
      <c r="K101" s="116">
        <f t="shared" si="35"/>
        <v>283.76166048244301</v>
      </c>
      <c r="L101" s="76">
        <f t="shared" si="45"/>
        <v>2400.0500000000002</v>
      </c>
      <c r="M101" s="117">
        <f t="shared" si="36"/>
        <v>2683.8116604824431</v>
      </c>
      <c r="N101" s="8">
        <f t="shared" si="37"/>
        <v>15178.355639856878</v>
      </c>
      <c r="O101" s="75">
        <f t="shared" si="38"/>
        <v>12494.543979374437</v>
      </c>
      <c r="P101" s="103"/>
      <c r="Q101" s="103"/>
      <c r="R101" s="103"/>
      <c r="S101" s="103"/>
      <c r="T101" s="103"/>
      <c r="U101" s="103"/>
      <c r="V101" s="103"/>
      <c r="W101" s="103"/>
      <c r="X101" s="103"/>
    </row>
    <row r="102" spans="1:24" x14ac:dyDescent="0.25">
      <c r="A102" s="17" t="s">
        <v>67</v>
      </c>
      <c r="B102" s="72" t="str">
        <f t="shared" si="43"/>
        <v>Q2/2020</v>
      </c>
      <c r="C102" s="73">
        <f t="shared" si="41"/>
        <v>43922</v>
      </c>
      <c r="D102" s="73">
        <f t="shared" si="42"/>
        <v>44012</v>
      </c>
      <c r="E102" s="72">
        <f t="shared" si="39"/>
        <v>91</v>
      </c>
      <c r="F102" s="74">
        <f>VLOOKUP(D102,'FERC Interest Rate'!$A:$B,2,TRUE)</f>
        <v>4.7503500000000004E-2</v>
      </c>
      <c r="G102" s="75">
        <f t="shared" si="40"/>
        <v>12494.543979374437</v>
      </c>
      <c r="H102" s="75">
        <v>0</v>
      </c>
      <c r="I102" s="99">
        <f t="shared" si="44"/>
        <v>98.85879587488742</v>
      </c>
      <c r="J102" s="76">
        <f t="shared" si="46"/>
        <v>147.57280290465422</v>
      </c>
      <c r="K102" s="116">
        <f t="shared" si="35"/>
        <v>246.43159877954164</v>
      </c>
      <c r="L102" s="76">
        <f t="shared" si="45"/>
        <v>2400.0500000000002</v>
      </c>
      <c r="M102" s="117">
        <f t="shared" si="36"/>
        <v>2646.4815987795419</v>
      </c>
      <c r="N102" s="8">
        <f t="shared" si="37"/>
        <v>12642.116782279092</v>
      </c>
      <c r="O102" s="75">
        <f t="shared" si="38"/>
        <v>9995.6351834995512</v>
      </c>
      <c r="P102" s="103"/>
      <c r="Q102" s="103"/>
      <c r="R102" s="103"/>
      <c r="S102" s="103"/>
      <c r="T102" s="103"/>
      <c r="U102" s="103"/>
      <c r="V102" s="103"/>
      <c r="W102" s="103"/>
      <c r="X102" s="103"/>
    </row>
    <row r="103" spans="1:24" x14ac:dyDescent="0.25">
      <c r="A103" s="17" t="s">
        <v>68</v>
      </c>
      <c r="B103" s="72" t="str">
        <f t="shared" si="43"/>
        <v>Q3/2020</v>
      </c>
      <c r="C103" s="73">
        <f t="shared" si="41"/>
        <v>44013</v>
      </c>
      <c r="D103" s="73">
        <f t="shared" si="42"/>
        <v>44104</v>
      </c>
      <c r="E103" s="72">
        <f t="shared" si="39"/>
        <v>92</v>
      </c>
      <c r="F103" s="74">
        <f>VLOOKUP(D103,'FERC Interest Rate'!$A:$B,2,TRUE)</f>
        <v>4.7507929999999997E-2</v>
      </c>
      <c r="G103" s="75">
        <f t="shared" si="40"/>
        <v>9995.6351834995512</v>
      </c>
      <c r="H103" s="75">
        <v>0</v>
      </c>
      <c r="I103" s="99">
        <f t="shared" si="44"/>
        <v>98.85879587488742</v>
      </c>
      <c r="J103" s="76">
        <f t="shared" si="46"/>
        <v>119.366716304638</v>
      </c>
      <c r="K103" s="116">
        <f t="shared" si="35"/>
        <v>218.22551217952542</v>
      </c>
      <c r="L103" s="76">
        <f t="shared" si="45"/>
        <v>2400.0500000000002</v>
      </c>
      <c r="M103" s="117">
        <f t="shared" si="36"/>
        <v>2618.2755121795258</v>
      </c>
      <c r="N103" s="8">
        <f t="shared" si="37"/>
        <v>10115.001899804189</v>
      </c>
      <c r="O103" s="75">
        <f t="shared" si="38"/>
        <v>7496.7263876246634</v>
      </c>
      <c r="P103" s="103"/>
      <c r="Q103" s="103"/>
      <c r="R103" s="103"/>
      <c r="S103" s="103"/>
      <c r="T103" s="103"/>
      <c r="U103" s="103"/>
      <c r="V103" s="103"/>
      <c r="W103" s="103"/>
      <c r="X103" s="103"/>
    </row>
    <row r="104" spans="1:24" x14ac:dyDescent="0.25">
      <c r="A104" s="17" t="s">
        <v>69</v>
      </c>
      <c r="B104" s="72" t="str">
        <f t="shared" si="43"/>
        <v>Q4/2020</v>
      </c>
      <c r="C104" s="73">
        <f t="shared" si="41"/>
        <v>44105</v>
      </c>
      <c r="D104" s="73">
        <f t="shared" si="42"/>
        <v>44196</v>
      </c>
      <c r="E104" s="72">
        <f t="shared" si="39"/>
        <v>92</v>
      </c>
      <c r="F104" s="74">
        <f>VLOOKUP(D104,'FERC Interest Rate'!$A:$B,2,TRUE)</f>
        <v>4.7922320000000004E-2</v>
      </c>
      <c r="G104" s="75">
        <f t="shared" si="40"/>
        <v>7496.7263876246634</v>
      </c>
      <c r="H104" s="75">
        <v>0</v>
      </c>
      <c r="I104" s="99">
        <f t="shared" si="44"/>
        <v>98.85879587488742</v>
      </c>
      <c r="J104" s="76">
        <f t="shared" si="46"/>
        <v>90.305923286387355</v>
      </c>
      <c r="K104" s="116">
        <f t="shared" si="35"/>
        <v>189.16471916127477</v>
      </c>
      <c r="L104" s="76">
        <f t="shared" si="45"/>
        <v>2400.0500000000002</v>
      </c>
      <c r="M104" s="117">
        <f t="shared" si="36"/>
        <v>2589.2147191612748</v>
      </c>
      <c r="N104" s="8">
        <f t="shared" si="37"/>
        <v>7587.0323109110504</v>
      </c>
      <c r="O104" s="75">
        <f t="shared" si="38"/>
        <v>4997.8175917497756</v>
      </c>
      <c r="P104" s="103"/>
      <c r="Q104" s="103"/>
      <c r="R104" s="103"/>
      <c r="S104" s="103"/>
      <c r="T104" s="103"/>
      <c r="U104" s="103"/>
      <c r="V104" s="103"/>
      <c r="W104" s="103"/>
      <c r="X104" s="103"/>
    </row>
    <row r="105" spans="1:24" x14ac:dyDescent="0.25">
      <c r="A105" s="17" t="s">
        <v>70</v>
      </c>
      <c r="B105" s="72" t="str">
        <f t="shared" si="43"/>
        <v>Q1/2021</v>
      </c>
      <c r="C105" s="73">
        <f t="shared" si="41"/>
        <v>44197</v>
      </c>
      <c r="D105" s="73">
        <f t="shared" si="42"/>
        <v>44286</v>
      </c>
      <c r="E105" s="72">
        <f t="shared" si="39"/>
        <v>90</v>
      </c>
      <c r="F105" s="74">
        <f>VLOOKUP(D105,'FERC Interest Rate'!$A:$B,2,TRUE)</f>
        <v>5.0023470000000007E-2</v>
      </c>
      <c r="G105" s="75">
        <f t="shared" si="40"/>
        <v>4997.8175917497756</v>
      </c>
      <c r="H105" s="75">
        <v>0</v>
      </c>
      <c r="I105" s="99">
        <f t="shared" si="44"/>
        <v>98.85879587488742</v>
      </c>
      <c r="J105" s="76">
        <f t="shared" si="46"/>
        <v>61.645852199926154</v>
      </c>
      <c r="K105" s="116">
        <f t="shared" si="35"/>
        <v>160.50464807481359</v>
      </c>
      <c r="L105" s="76">
        <f t="shared" si="45"/>
        <v>2400.0500000000002</v>
      </c>
      <c r="M105" s="117">
        <f t="shared" si="36"/>
        <v>2560.5546480748139</v>
      </c>
      <c r="N105" s="8">
        <f t="shared" si="37"/>
        <v>5059.4634439497022</v>
      </c>
      <c r="O105" s="75">
        <f t="shared" si="38"/>
        <v>2498.9087958748878</v>
      </c>
      <c r="P105" s="103"/>
      <c r="Q105" s="103"/>
      <c r="R105" s="103"/>
      <c r="S105" s="103"/>
      <c r="T105" s="103"/>
      <c r="U105" s="103"/>
      <c r="V105" s="103"/>
      <c r="W105" s="103"/>
      <c r="X105" s="103"/>
    </row>
    <row r="106" spans="1:24" x14ac:dyDescent="0.25">
      <c r="A106" s="17" t="s">
        <v>71</v>
      </c>
      <c r="B106" s="72" t="str">
        <f t="shared" si="43"/>
        <v>Q2/2021</v>
      </c>
      <c r="C106" s="73">
        <f t="shared" si="41"/>
        <v>44287</v>
      </c>
      <c r="D106" s="73">
        <f t="shared" si="42"/>
        <v>44377</v>
      </c>
      <c r="E106" s="72">
        <f t="shared" si="39"/>
        <v>91</v>
      </c>
      <c r="F106" s="74">
        <f>VLOOKUP(D106,'FERC Interest Rate'!$A:$B,2,TRUE)</f>
        <v>5.0403730000000001E-2</v>
      </c>
      <c r="G106" s="75">
        <f t="shared" si="40"/>
        <v>2498.9087958748878</v>
      </c>
      <c r="H106" s="75">
        <v>0</v>
      </c>
      <c r="I106" s="99">
        <f t="shared" si="44"/>
        <v>98.85879587488742</v>
      </c>
      <c r="J106" s="76">
        <f t="shared" si="46"/>
        <v>31.402310975378548</v>
      </c>
      <c r="K106" s="116">
        <f t="shared" si="35"/>
        <v>130.26110685026597</v>
      </c>
      <c r="L106" s="76">
        <f t="shared" si="45"/>
        <v>2400.0500000000002</v>
      </c>
      <c r="M106" s="117">
        <f t="shared" si="36"/>
        <v>2530.3111068502662</v>
      </c>
      <c r="N106" s="8">
        <f t="shared" si="37"/>
        <v>2530.3111068502662</v>
      </c>
      <c r="O106" s="75">
        <f t="shared" si="38"/>
        <v>1.9895196601282805E-13</v>
      </c>
      <c r="P106" s="103"/>
      <c r="Q106" s="103"/>
      <c r="R106" s="103"/>
      <c r="S106" s="103"/>
      <c r="T106" s="103"/>
      <c r="U106" s="103"/>
      <c r="V106" s="103"/>
      <c r="W106" s="103"/>
      <c r="X106" s="103"/>
    </row>
    <row r="107" spans="1:24" x14ac:dyDescent="0.25">
      <c r="B107" s="72"/>
      <c r="C107" s="73"/>
      <c r="D107" s="73"/>
      <c r="E107" s="72"/>
      <c r="F107" s="74"/>
      <c r="G107" s="75"/>
      <c r="H107" s="75"/>
      <c r="I107" s="99"/>
      <c r="J107" s="76"/>
      <c r="K107" s="103"/>
      <c r="L107" s="76"/>
      <c r="M107" s="118"/>
      <c r="N107" s="103"/>
      <c r="O107" s="75"/>
      <c r="P107" s="103"/>
      <c r="Q107" s="103"/>
      <c r="R107" s="103"/>
      <c r="S107" s="103"/>
      <c r="T107" s="103"/>
      <c r="U107" s="103"/>
      <c r="V107" s="103"/>
      <c r="W107" s="103"/>
      <c r="X107" s="103"/>
    </row>
    <row r="108" spans="1:24" ht="13.5" thickBot="1" x14ac:dyDescent="0.35">
      <c r="A108" s="142"/>
      <c r="B108" s="143"/>
      <c r="C108" s="144"/>
      <c r="D108" s="144"/>
      <c r="E108" s="145"/>
      <c r="F108" s="143"/>
      <c r="G108" s="124">
        <f t="shared" ref="G108:O108" si="47">SUM(G83:G107)</f>
        <v>734819.80935669143</v>
      </c>
      <c r="H108" s="124">
        <f t="shared" si="47"/>
        <v>1977.1759174977485</v>
      </c>
      <c r="I108" s="125">
        <f t="shared" si="47"/>
        <v>1977.1759174977481</v>
      </c>
      <c r="J108" s="124">
        <f t="shared" si="47"/>
        <v>5344.8837355454189</v>
      </c>
      <c r="K108" s="124">
        <f t="shared" si="47"/>
        <v>8196.8715237629003</v>
      </c>
      <c r="L108" s="124">
        <f t="shared" si="47"/>
        <v>48001.000000000015</v>
      </c>
      <c r="M108" s="126">
        <f t="shared" si="47"/>
        <v>55323.059653043179</v>
      </c>
      <c r="N108" s="124">
        <f t="shared" si="47"/>
        <v>742141.8690097346</v>
      </c>
      <c r="O108" s="124">
        <f t="shared" si="47"/>
        <v>686818.80935669155</v>
      </c>
      <c r="P108" s="103"/>
      <c r="Q108" s="103"/>
      <c r="R108" s="103"/>
      <c r="S108" s="103"/>
      <c r="T108" s="103"/>
      <c r="U108" s="103"/>
      <c r="V108" s="103"/>
      <c r="W108" s="103"/>
      <c r="X108" s="103"/>
    </row>
    <row r="109" spans="1:24" ht="13" thickTop="1" x14ac:dyDescent="0.25">
      <c r="B109" s="11"/>
      <c r="C109" s="111"/>
      <c r="D109" s="111"/>
      <c r="E109" s="10"/>
      <c r="F109" s="11"/>
      <c r="G109" s="76"/>
      <c r="H109" s="58"/>
      <c r="I109" s="101"/>
      <c r="J109" s="76"/>
      <c r="K109" s="103"/>
      <c r="L109" s="58"/>
      <c r="M109" s="118"/>
      <c r="N109" s="103"/>
      <c r="O109" s="103"/>
      <c r="P109" s="103"/>
      <c r="Q109" s="103"/>
      <c r="R109" s="103"/>
      <c r="S109" s="103"/>
      <c r="T109" s="103"/>
      <c r="U109" s="103"/>
      <c r="V109" s="103"/>
      <c r="W109" s="103"/>
      <c r="X109" s="103"/>
    </row>
    <row r="110" spans="1:24" ht="37" x14ac:dyDescent="0.3">
      <c r="A110" s="77" t="s">
        <v>51</v>
      </c>
      <c r="B110" s="77" t="s">
        <v>3</v>
      </c>
      <c r="C110" s="77" t="s">
        <v>4</v>
      </c>
      <c r="D110" s="77" t="s">
        <v>5</v>
      </c>
      <c r="E110" s="77" t="s">
        <v>6</v>
      </c>
      <c r="F110" s="77" t="s">
        <v>7</v>
      </c>
      <c r="G110" s="77" t="s">
        <v>78</v>
      </c>
      <c r="H110" s="77" t="s">
        <v>79</v>
      </c>
      <c r="I110" s="94" t="s">
        <v>80</v>
      </c>
      <c r="J110" s="95" t="s">
        <v>81</v>
      </c>
      <c r="K110" s="95" t="s">
        <v>82</v>
      </c>
      <c r="L110" s="95" t="s">
        <v>83</v>
      </c>
      <c r="M110" s="96" t="s">
        <v>73</v>
      </c>
      <c r="N110" s="77" t="s">
        <v>84</v>
      </c>
      <c r="O110" s="77" t="s">
        <v>85</v>
      </c>
      <c r="P110" s="103"/>
      <c r="Q110" s="103"/>
      <c r="R110" s="103"/>
      <c r="S110" s="103"/>
      <c r="T110" s="103"/>
      <c r="U110" s="103"/>
      <c r="V110" s="103"/>
      <c r="W110" s="103"/>
      <c r="X110" s="103"/>
    </row>
    <row r="111" spans="1:24" ht="13" x14ac:dyDescent="0.3">
      <c r="A111" s="110" t="s">
        <v>40</v>
      </c>
      <c r="B111" s="141" t="s">
        <v>54</v>
      </c>
      <c r="C111" s="73">
        <f>VLOOKUP(B111,A$1:F$26,2,FALSE)</f>
        <v>42262</v>
      </c>
      <c r="D111" s="73">
        <f>DATE(YEAR(C111),IF(MONTH(C111)&lt;=3,3,IF(MONTH(C111)&lt;=6,6,IF(MONTH(C111)&lt;=9,9,12))),IF(OR(MONTH(C111)&lt;=3,MONTH(C111)&gt;=10),31,30))</f>
        <v>42277</v>
      </c>
      <c r="E111" s="72">
        <f>D111-C111+1</f>
        <v>16</v>
      </c>
      <c r="F111" s="74">
        <f>VLOOKUP(D111,'FERC Interest Rate'!$A:$B,2,TRUE)</f>
        <v>3.2500000000000001E-2</v>
      </c>
      <c r="G111" s="75">
        <f>VLOOKUP(B111,$A$1:$F$26,5,FALSE)</f>
        <v>58203</v>
      </c>
      <c r="H111" s="75">
        <f>G111*F111*(E111/(DATE(YEAR(D111),12,31)-DATE(YEAR(D111),1,1)+1))</f>
        <v>82.919342465753431</v>
      </c>
      <c r="I111" s="180">
        <v>0</v>
      </c>
      <c r="J111" s="76">
        <v>0</v>
      </c>
      <c r="K111" s="116">
        <f t="shared" ref="K111:K134" si="48">+SUM(I111:J111)</f>
        <v>0</v>
      </c>
      <c r="L111" s="76">
        <v>0</v>
      </c>
      <c r="M111" s="117">
        <f t="shared" ref="M111:M134" si="49">+SUM(K111:L111)</f>
        <v>0</v>
      </c>
      <c r="N111" s="8">
        <f t="shared" ref="N111:N134" si="50">+G111+H111+J111</f>
        <v>58285.919342465757</v>
      </c>
      <c r="O111" s="75">
        <f t="shared" ref="O111:O134" si="51">G111+H111-L111-I111</f>
        <v>58285.919342465757</v>
      </c>
      <c r="P111" s="103"/>
      <c r="Q111" s="103"/>
      <c r="R111" s="103"/>
      <c r="S111" s="103"/>
      <c r="T111" s="103"/>
      <c r="U111" s="103"/>
      <c r="V111" s="103"/>
      <c r="W111" s="103"/>
      <c r="X111" s="103"/>
    </row>
    <row r="112" spans="1:24" x14ac:dyDescent="0.25">
      <c r="A112" s="78" t="s">
        <v>21</v>
      </c>
      <c r="B112" s="72" t="str">
        <f t="shared" ref="B112:B117" si="52">+IF(MONTH(C112)&lt;4,"Q1",IF(MONTH(C112)&lt;7,"Q2",IF(MONTH(C112)&lt;10,"Q3","Q4")))&amp;"/"&amp;YEAR(C112)</f>
        <v>Q4/2015</v>
      </c>
      <c r="C112" s="73">
        <f>D111+1</f>
        <v>42278</v>
      </c>
      <c r="D112" s="73">
        <f>EOMONTH(D111,3)</f>
        <v>42369</v>
      </c>
      <c r="E112" s="72">
        <f t="shared" ref="E112:E134" si="53">D112-C112+1</f>
        <v>92</v>
      </c>
      <c r="F112" s="74">
        <f>VLOOKUP(D112,'FERC Interest Rate'!$A:$B,2,TRUE)</f>
        <v>3.2500000000000001E-2</v>
      </c>
      <c r="G112" s="75">
        <f t="shared" ref="G112:G134" si="54">O111</f>
        <v>58285.919342465757</v>
      </c>
      <c r="H112" s="75">
        <f>G112*F112*(E112/(DATE(YEAR(D112),12,31)-DATE(YEAR(D112),1,1)+1))</f>
        <v>477.46547625745927</v>
      </c>
      <c r="I112" s="180">
        <v>0</v>
      </c>
      <c r="J112" s="76">
        <v>0</v>
      </c>
      <c r="K112" s="116">
        <f t="shared" si="48"/>
        <v>0</v>
      </c>
      <c r="L112" s="76">
        <v>0</v>
      </c>
      <c r="M112" s="117">
        <f t="shared" si="49"/>
        <v>0</v>
      </c>
      <c r="N112" s="8">
        <f t="shared" si="50"/>
        <v>58763.384818723214</v>
      </c>
      <c r="O112" s="75">
        <f t="shared" si="51"/>
        <v>58763.384818723214</v>
      </c>
      <c r="P112" s="103"/>
      <c r="Q112" s="103"/>
      <c r="R112" s="103"/>
      <c r="S112" s="103"/>
      <c r="T112" s="103"/>
      <c r="U112" s="103"/>
      <c r="V112" s="103"/>
      <c r="W112" s="103"/>
      <c r="X112" s="103"/>
    </row>
    <row r="113" spans="1:24" x14ac:dyDescent="0.25">
      <c r="A113" s="78" t="s">
        <v>21</v>
      </c>
      <c r="B113" s="72" t="str">
        <f t="shared" si="52"/>
        <v>Q1/2016</v>
      </c>
      <c r="C113" s="73">
        <f t="shared" ref="C113:C134" si="55">D112+1</f>
        <v>42370</v>
      </c>
      <c r="D113" s="73">
        <f t="shared" ref="D113:D134" si="56">EOMONTH(D112,3)</f>
        <v>42460</v>
      </c>
      <c r="E113" s="72">
        <f t="shared" si="53"/>
        <v>91</v>
      </c>
      <c r="F113" s="74">
        <f>VLOOKUP(D113,'FERC Interest Rate'!$A:$B,2,TRUE)</f>
        <v>3.2500000000000001E-2</v>
      </c>
      <c r="G113" s="75">
        <f t="shared" si="54"/>
        <v>58763.384818723214</v>
      </c>
      <c r="H113" s="75">
        <f>G113*F113*(E113/(DATE(YEAR(D113),12,31)-DATE(YEAR(D113),1,1)+1))</f>
        <v>474.84347158845333</v>
      </c>
      <c r="I113" s="180">
        <v>0</v>
      </c>
      <c r="J113" s="76">
        <v>0</v>
      </c>
      <c r="K113" s="116">
        <f t="shared" si="48"/>
        <v>0</v>
      </c>
      <c r="L113" s="76">
        <v>0</v>
      </c>
      <c r="M113" s="117">
        <f t="shared" si="49"/>
        <v>0</v>
      </c>
      <c r="N113" s="8">
        <f t="shared" si="50"/>
        <v>59238.228290311665</v>
      </c>
      <c r="O113" s="75">
        <f t="shared" si="51"/>
        <v>59238.228290311665</v>
      </c>
      <c r="P113" s="103"/>
      <c r="Q113" s="103"/>
      <c r="R113" s="103"/>
      <c r="S113" s="103"/>
      <c r="T113" s="103"/>
      <c r="U113" s="103"/>
      <c r="V113" s="103"/>
      <c r="W113" s="103"/>
      <c r="X113" s="103"/>
    </row>
    <row r="114" spans="1:24" x14ac:dyDescent="0.25">
      <c r="A114" s="78" t="s">
        <v>21</v>
      </c>
      <c r="B114" s="72" t="str">
        <f t="shared" si="52"/>
        <v>Q2/2016</v>
      </c>
      <c r="C114" s="73">
        <f t="shared" si="55"/>
        <v>42461</v>
      </c>
      <c r="D114" s="73">
        <f t="shared" si="56"/>
        <v>42551</v>
      </c>
      <c r="E114" s="72">
        <f t="shared" si="53"/>
        <v>91</v>
      </c>
      <c r="F114" s="74">
        <f>VLOOKUP(D114,'FERC Interest Rate'!$A:$B,2,TRUE)</f>
        <v>3.4599999999999999E-2</v>
      </c>
      <c r="G114" s="75">
        <f t="shared" si="54"/>
        <v>59238.228290311665</v>
      </c>
      <c r="H114" s="75">
        <f>G114*F114*(E114/(DATE(YEAR(D114),12,31)-DATE(YEAR(D114),1,1)+1))</f>
        <v>509.61061637944067</v>
      </c>
      <c r="I114" s="180">
        <v>0</v>
      </c>
      <c r="J114" s="76">
        <v>0</v>
      </c>
      <c r="K114" s="116">
        <f t="shared" si="48"/>
        <v>0</v>
      </c>
      <c r="L114" s="76">
        <v>0</v>
      </c>
      <c r="M114" s="117">
        <f t="shared" si="49"/>
        <v>0</v>
      </c>
      <c r="N114" s="8">
        <f t="shared" si="50"/>
        <v>59747.838906691104</v>
      </c>
      <c r="O114" s="75">
        <f t="shared" si="51"/>
        <v>59747.838906691104</v>
      </c>
      <c r="P114" s="103"/>
      <c r="Q114" s="103"/>
      <c r="R114" s="103"/>
      <c r="S114" s="103"/>
      <c r="T114" s="103"/>
      <c r="U114" s="103"/>
      <c r="V114" s="103"/>
      <c r="W114" s="103"/>
      <c r="X114" s="103"/>
    </row>
    <row r="115" spans="1:24" x14ac:dyDescent="0.25">
      <c r="A115" s="78" t="s">
        <v>21</v>
      </c>
      <c r="B115" s="72" t="str">
        <f t="shared" si="52"/>
        <v>Q3/2016</v>
      </c>
      <c r="C115" s="73">
        <f t="shared" si="55"/>
        <v>42552</v>
      </c>
      <c r="D115" s="73">
        <f t="shared" si="56"/>
        <v>42643</v>
      </c>
      <c r="E115" s="72">
        <f t="shared" si="53"/>
        <v>92</v>
      </c>
      <c r="F115" s="74">
        <f>VLOOKUP(D115,'FERC Interest Rate'!$A:$B,2,TRUE)</f>
        <v>3.5000000000000003E-2</v>
      </c>
      <c r="G115" s="75">
        <f t="shared" si="54"/>
        <v>59747.838906691104</v>
      </c>
      <c r="H115" s="75">
        <f>G115*F115*(E115/(DATE(YEAR(D115),12,31)-DATE(YEAR(D115),1,1)+1))</f>
        <v>525.65038600968683</v>
      </c>
      <c r="I115" s="99">
        <v>0</v>
      </c>
      <c r="J115" s="76">
        <v>0</v>
      </c>
      <c r="K115" s="116">
        <f t="shared" si="48"/>
        <v>0</v>
      </c>
      <c r="L115" s="76">
        <v>0</v>
      </c>
      <c r="M115" s="117">
        <f t="shared" si="49"/>
        <v>0</v>
      </c>
      <c r="N115" s="8">
        <f t="shared" si="50"/>
        <v>60273.48929270079</v>
      </c>
      <c r="O115" s="75">
        <f t="shared" si="51"/>
        <v>60273.48929270079</v>
      </c>
      <c r="P115" s="103"/>
      <c r="Q115" s="103"/>
      <c r="R115" s="103"/>
      <c r="S115" s="103"/>
      <c r="T115" s="103"/>
      <c r="U115" s="103"/>
      <c r="V115" s="103"/>
      <c r="W115" s="103"/>
      <c r="X115" s="103"/>
    </row>
    <row r="116" spans="1:24" x14ac:dyDescent="0.25">
      <c r="A116" s="78" t="s">
        <v>21</v>
      </c>
      <c r="B116" s="72" t="str">
        <f t="shared" si="52"/>
        <v>Q4/2016</v>
      </c>
      <c r="C116" s="73">
        <f t="shared" si="55"/>
        <v>42644</v>
      </c>
      <c r="D116" s="73">
        <f t="shared" si="56"/>
        <v>42735</v>
      </c>
      <c r="E116" s="72">
        <f t="shared" si="53"/>
        <v>92</v>
      </c>
      <c r="F116" s="74">
        <f>VLOOKUP(D116,'FERC Interest Rate'!$A:$B,2,TRUE)</f>
        <v>3.5000000000000003E-2</v>
      </c>
      <c r="G116" s="75">
        <f t="shared" si="54"/>
        <v>60273.48929270079</v>
      </c>
      <c r="H116" s="75">
        <v>0</v>
      </c>
      <c r="I116" s="99">
        <v>0</v>
      </c>
      <c r="J116" s="76">
        <f>G116*F116*(E116/(DATE(YEAR(D116),12,31)-DATE(YEAR(D116),1,1)+1))</f>
        <v>530.27496044397969</v>
      </c>
      <c r="K116" s="116">
        <f t="shared" si="48"/>
        <v>530.27496044397969</v>
      </c>
      <c r="L116" s="76">
        <v>0</v>
      </c>
      <c r="M116" s="117">
        <v>0</v>
      </c>
      <c r="N116" s="8">
        <f t="shared" si="50"/>
        <v>60803.764253144771</v>
      </c>
      <c r="O116" s="75">
        <f>+N116-M116</f>
        <v>60803.764253144771</v>
      </c>
      <c r="P116" s="103"/>
      <c r="Q116" s="103"/>
      <c r="R116" s="103"/>
      <c r="S116" s="103"/>
      <c r="T116" s="103"/>
      <c r="U116" s="103"/>
      <c r="V116" s="103"/>
      <c r="W116" s="103"/>
      <c r="X116" s="103"/>
    </row>
    <row r="117" spans="1:24" x14ac:dyDescent="0.25">
      <c r="A117" s="78" t="s">
        <v>21</v>
      </c>
      <c r="B117" s="72" t="str">
        <f t="shared" si="52"/>
        <v>Q1/2017</v>
      </c>
      <c r="C117" s="73">
        <f t="shared" si="55"/>
        <v>42736</v>
      </c>
      <c r="D117" s="73">
        <f t="shared" si="56"/>
        <v>42825</v>
      </c>
      <c r="E117" s="72">
        <f t="shared" si="53"/>
        <v>90</v>
      </c>
      <c r="F117" s="74">
        <f>VLOOKUP(D117,'FERC Interest Rate'!$A:$B,2,TRUE)</f>
        <v>3.5000000000000003E-2</v>
      </c>
      <c r="G117" s="75">
        <f t="shared" si="54"/>
        <v>60803.764253144771</v>
      </c>
      <c r="H117" s="75">
        <v>0</v>
      </c>
      <c r="I117" s="99">
        <v>0</v>
      </c>
      <c r="J117" s="76">
        <f>G117*F117*(E117/(DATE(YEAR(D117),12,31)-DATE(YEAR(D117),1,1)+1))</f>
        <v>524.74481478741382</v>
      </c>
      <c r="K117" s="116">
        <f>+SUM(I117:J117)</f>
        <v>524.74481478741382</v>
      </c>
      <c r="L117" s="76">
        <v>0</v>
      </c>
      <c r="M117" s="117">
        <v>0</v>
      </c>
      <c r="N117" s="8">
        <f t="shared" si="50"/>
        <v>61328.509067932187</v>
      </c>
      <c r="O117" s="75">
        <f>+N117-M117</f>
        <v>61328.509067932187</v>
      </c>
      <c r="P117" s="103"/>
      <c r="Q117" s="103"/>
      <c r="R117" s="103"/>
      <c r="S117" s="103"/>
      <c r="T117" s="103"/>
      <c r="U117" s="103"/>
      <c r="V117" s="103"/>
      <c r="W117" s="103"/>
      <c r="X117" s="103"/>
    </row>
    <row r="118" spans="1:24" x14ac:dyDescent="0.25">
      <c r="A118" s="309" t="s">
        <v>101</v>
      </c>
      <c r="B118" s="72" t="str">
        <f t="shared" ref="B118:B134" si="57">+IF(MONTH(C118)&lt;4,"Q1",IF(MONTH(C118)&lt;7,"Q2",IF(MONTH(C118)&lt;10,"Q3","Q4")))&amp;"/"&amp;YEAR(C118)</f>
        <v>Q2/2017</v>
      </c>
      <c r="C118" s="132">
        <f t="shared" si="55"/>
        <v>42826</v>
      </c>
      <c r="D118" s="132">
        <f t="shared" si="56"/>
        <v>42916</v>
      </c>
      <c r="E118" s="72">
        <f t="shared" si="53"/>
        <v>91</v>
      </c>
      <c r="F118" s="74">
        <f>VLOOKUP(D118,'FERC Interest Rate'!$A:$B,2,TRUE)</f>
        <v>3.7100000000000001E-2</v>
      </c>
      <c r="G118" s="75">
        <f t="shared" si="54"/>
        <v>61328.509067932187</v>
      </c>
      <c r="H118" s="75">
        <v>0</v>
      </c>
      <c r="I118" s="99">
        <f>(SUM($H$111:$H$135)/20)*4</f>
        <v>414.09785854015871</v>
      </c>
      <c r="J118" s="76">
        <f>G118*F118*(E118/(DATE(YEAR(D118),12,31)-DATE(YEAR(D118),1,1)+1))</f>
        <v>567.26350538149563</v>
      </c>
      <c r="K118" s="116">
        <f>+SUM(I116:J118)</f>
        <v>2036.3811391530478</v>
      </c>
      <c r="L118" s="76">
        <f>+$G$111/20*4</f>
        <v>11640.6</v>
      </c>
      <c r="M118" s="117">
        <f>+SUM(K118:L118)</f>
        <v>13676.981139153047</v>
      </c>
      <c r="N118" s="8">
        <f t="shared" si="50"/>
        <v>61895.772573313683</v>
      </c>
      <c r="O118" s="75">
        <f>+N118-M118</f>
        <v>48218.791434160637</v>
      </c>
      <c r="P118" s="103"/>
      <c r="Q118" s="103"/>
      <c r="R118" s="103"/>
      <c r="S118" s="103"/>
      <c r="T118" s="103"/>
      <c r="U118" s="103"/>
      <c r="V118" s="103"/>
      <c r="W118" s="103"/>
      <c r="X118" s="103"/>
    </row>
    <row r="119" spans="1:24" x14ac:dyDescent="0.25">
      <c r="A119" s="17" t="s">
        <v>56</v>
      </c>
      <c r="B119" s="72" t="str">
        <f t="shared" si="57"/>
        <v>Q3/2017</v>
      </c>
      <c r="C119" s="132">
        <f t="shared" si="55"/>
        <v>42917</v>
      </c>
      <c r="D119" s="132">
        <f t="shared" si="56"/>
        <v>43008</v>
      </c>
      <c r="E119" s="72">
        <f t="shared" si="53"/>
        <v>92</v>
      </c>
      <c r="F119" s="74">
        <f>VLOOKUP(D119,'FERC Interest Rate'!$A:$B,2,TRUE)</f>
        <v>3.9600000000000003E-2</v>
      </c>
      <c r="G119" s="75">
        <f t="shared" si="54"/>
        <v>48218.791434160637</v>
      </c>
      <c r="H119" s="75">
        <v>0</v>
      </c>
      <c r="I119" s="99">
        <f t="shared" ref="I119:I134" si="58">(SUM($H$111:$H$135)/20)</f>
        <v>103.52446463503968</v>
      </c>
      <c r="J119" s="76">
        <f>G119*F119*(E119/(DATE(YEAR(D119),12,31)-DATE(YEAR(D119),1,1)+1))</f>
        <v>481.2895916518741</v>
      </c>
      <c r="K119" s="116">
        <f>+SUM(I119:J119)</f>
        <v>584.8140562869138</v>
      </c>
      <c r="L119" s="76">
        <f t="shared" ref="L119:L134" si="59">+$G$111/20</f>
        <v>2910.15</v>
      </c>
      <c r="M119" s="117">
        <f>+SUM(K119:L119)</f>
        <v>3494.964056286914</v>
      </c>
      <c r="N119" s="8">
        <f t="shared" si="50"/>
        <v>48700.081025812513</v>
      </c>
      <c r="O119" s="75">
        <f t="shared" si="51"/>
        <v>45205.116969525596</v>
      </c>
      <c r="P119" s="103"/>
      <c r="Q119" s="103"/>
      <c r="R119" s="103"/>
      <c r="S119" s="103"/>
      <c r="T119" s="103"/>
      <c r="U119" s="103"/>
      <c r="V119" s="103"/>
      <c r="W119" s="103"/>
      <c r="X119" s="103"/>
    </row>
    <row r="120" spans="1:24" x14ac:dyDescent="0.25">
      <c r="A120" s="17" t="s">
        <v>57</v>
      </c>
      <c r="B120" s="72" t="str">
        <f t="shared" si="57"/>
        <v>Q4/2017</v>
      </c>
      <c r="C120" s="73">
        <f t="shared" si="55"/>
        <v>43009</v>
      </c>
      <c r="D120" s="73">
        <f t="shared" si="56"/>
        <v>43100</v>
      </c>
      <c r="E120" s="72">
        <f t="shared" si="53"/>
        <v>92</v>
      </c>
      <c r="F120" s="74">
        <f>VLOOKUP(D120,'FERC Interest Rate'!$A:$B,2,TRUE)</f>
        <v>4.2099999999999999E-2</v>
      </c>
      <c r="G120" s="75">
        <f t="shared" si="54"/>
        <v>45205.116969525596</v>
      </c>
      <c r="H120" s="75">
        <v>0</v>
      </c>
      <c r="I120" s="99">
        <f t="shared" si="58"/>
        <v>103.52446463503968</v>
      </c>
      <c r="J120" s="76">
        <f t="shared" ref="J120:J134" si="60">G120*F120*(E120/(DATE(YEAR(D120),12,31)-DATE(YEAR(D120),1,1)+1))</f>
        <v>479.69440834620968</v>
      </c>
      <c r="K120" s="116">
        <f t="shared" si="48"/>
        <v>583.21887298124932</v>
      </c>
      <c r="L120" s="76">
        <f t="shared" si="59"/>
        <v>2910.15</v>
      </c>
      <c r="M120" s="117">
        <f t="shared" si="49"/>
        <v>3493.3688729812493</v>
      </c>
      <c r="N120" s="8">
        <f t="shared" si="50"/>
        <v>45684.811377871803</v>
      </c>
      <c r="O120" s="75">
        <f t="shared" si="51"/>
        <v>42191.442504890554</v>
      </c>
      <c r="P120" s="103"/>
      <c r="Q120" s="103"/>
      <c r="R120" s="103"/>
      <c r="S120" s="103"/>
      <c r="T120" s="103"/>
      <c r="U120" s="103"/>
      <c r="V120" s="103"/>
      <c r="W120" s="103"/>
      <c r="X120" s="103"/>
    </row>
    <row r="121" spans="1:24" x14ac:dyDescent="0.25">
      <c r="A121" s="17" t="s">
        <v>58</v>
      </c>
      <c r="B121" s="72" t="str">
        <f t="shared" si="57"/>
        <v>Q1/2018</v>
      </c>
      <c r="C121" s="73">
        <f t="shared" si="55"/>
        <v>43101</v>
      </c>
      <c r="D121" s="73">
        <f t="shared" si="56"/>
        <v>43190</v>
      </c>
      <c r="E121" s="72">
        <f t="shared" si="53"/>
        <v>90</v>
      </c>
      <c r="F121" s="74">
        <f>VLOOKUP(D121,'FERC Interest Rate'!$A:$B,2,TRUE)</f>
        <v>4.2500000000000003E-2</v>
      </c>
      <c r="G121" s="75">
        <f t="shared" si="54"/>
        <v>42191.442504890554</v>
      </c>
      <c r="H121" s="75">
        <v>0</v>
      </c>
      <c r="I121" s="99">
        <f t="shared" si="58"/>
        <v>103.52446463503968</v>
      </c>
      <c r="J121" s="76">
        <f t="shared" si="60"/>
        <v>442.14319885262017</v>
      </c>
      <c r="K121" s="116">
        <f t="shared" si="48"/>
        <v>545.66766348765987</v>
      </c>
      <c r="L121" s="76">
        <f t="shared" si="59"/>
        <v>2910.15</v>
      </c>
      <c r="M121" s="117">
        <f t="shared" si="49"/>
        <v>3455.81766348766</v>
      </c>
      <c r="N121" s="8">
        <f t="shared" si="50"/>
        <v>42633.585703743178</v>
      </c>
      <c r="O121" s="75">
        <f t="shared" si="51"/>
        <v>39177.768040255512</v>
      </c>
      <c r="P121" s="103"/>
      <c r="Q121" s="103"/>
      <c r="R121" s="103"/>
      <c r="S121" s="103"/>
      <c r="T121" s="103"/>
      <c r="U121" s="103"/>
      <c r="V121" s="103"/>
      <c r="W121" s="103"/>
      <c r="X121" s="103"/>
    </row>
    <row r="122" spans="1:24" x14ac:dyDescent="0.25">
      <c r="A122" s="17" t="s">
        <v>59</v>
      </c>
      <c r="B122" s="72" t="str">
        <f t="shared" si="57"/>
        <v>Q2/2018</v>
      </c>
      <c r="C122" s="73">
        <f t="shared" si="55"/>
        <v>43191</v>
      </c>
      <c r="D122" s="73">
        <f t="shared" si="56"/>
        <v>43281</v>
      </c>
      <c r="E122" s="72">
        <f t="shared" si="53"/>
        <v>91</v>
      </c>
      <c r="F122" s="74">
        <f>VLOOKUP(D122,'FERC Interest Rate'!$A:$B,2,TRUE)</f>
        <v>4.4699999999999997E-2</v>
      </c>
      <c r="G122" s="75">
        <f t="shared" si="54"/>
        <v>39177.768040255512</v>
      </c>
      <c r="H122" s="75">
        <v>0</v>
      </c>
      <c r="I122" s="99">
        <f t="shared" si="58"/>
        <v>103.52446463503968</v>
      </c>
      <c r="J122" s="76">
        <f t="shared" si="60"/>
        <v>436.61207412971874</v>
      </c>
      <c r="K122" s="116">
        <f t="shared" si="48"/>
        <v>540.13653876475837</v>
      </c>
      <c r="L122" s="76">
        <f t="shared" si="59"/>
        <v>2910.15</v>
      </c>
      <c r="M122" s="117">
        <f t="shared" si="49"/>
        <v>3450.2865387647585</v>
      </c>
      <c r="N122" s="8">
        <f t="shared" si="50"/>
        <v>39614.380114385232</v>
      </c>
      <c r="O122" s="75">
        <f t="shared" si="51"/>
        <v>36164.093575620471</v>
      </c>
      <c r="P122" s="103"/>
      <c r="Q122" s="103"/>
      <c r="R122" s="103"/>
      <c r="S122" s="103"/>
      <c r="T122" s="103"/>
      <c r="U122" s="103"/>
      <c r="V122" s="103"/>
      <c r="W122" s="103"/>
      <c r="X122" s="103"/>
    </row>
    <row r="123" spans="1:24" x14ac:dyDescent="0.25">
      <c r="A123" s="17" t="s">
        <v>60</v>
      </c>
      <c r="B123" s="72" t="str">
        <f t="shared" si="57"/>
        <v>Q3/2018</v>
      </c>
      <c r="C123" s="73">
        <f t="shared" si="55"/>
        <v>43282</v>
      </c>
      <c r="D123" s="73">
        <f t="shared" si="56"/>
        <v>43373</v>
      </c>
      <c r="E123" s="72">
        <f t="shared" si="53"/>
        <v>92</v>
      </c>
      <c r="F123" s="74">
        <f>VLOOKUP(D123,'FERC Interest Rate'!$A:$B,2,TRUE)</f>
        <v>4.6899999999999997E-2</v>
      </c>
      <c r="G123" s="75">
        <f t="shared" si="54"/>
        <v>36164.093575620471</v>
      </c>
      <c r="H123" s="75">
        <v>0</v>
      </c>
      <c r="I123" s="99">
        <f t="shared" si="58"/>
        <v>103.52446463503968</v>
      </c>
      <c r="J123" s="76">
        <f t="shared" si="60"/>
        <v>427.50912591804718</v>
      </c>
      <c r="K123" s="116">
        <f t="shared" si="48"/>
        <v>531.03359055308681</v>
      </c>
      <c r="L123" s="76">
        <f t="shared" si="59"/>
        <v>2910.15</v>
      </c>
      <c r="M123" s="117">
        <f t="shared" si="49"/>
        <v>3441.183590553087</v>
      </c>
      <c r="N123" s="8">
        <f t="shared" si="50"/>
        <v>36591.602701538519</v>
      </c>
      <c r="O123" s="75">
        <f t="shared" si="51"/>
        <v>33150.419110985429</v>
      </c>
      <c r="P123" s="103"/>
      <c r="Q123" s="103"/>
      <c r="R123" s="103"/>
      <c r="S123" s="103"/>
      <c r="T123" s="103"/>
      <c r="U123" s="103"/>
      <c r="V123" s="103"/>
      <c r="W123" s="103"/>
      <c r="X123" s="103"/>
    </row>
    <row r="124" spans="1:24" x14ac:dyDescent="0.25">
      <c r="A124" s="17" t="s">
        <v>61</v>
      </c>
      <c r="B124" s="72" t="str">
        <f t="shared" si="57"/>
        <v>Q4/2018</v>
      </c>
      <c r="C124" s="73">
        <f t="shared" si="55"/>
        <v>43374</v>
      </c>
      <c r="D124" s="73">
        <f t="shared" si="56"/>
        <v>43465</v>
      </c>
      <c r="E124" s="72">
        <f t="shared" si="53"/>
        <v>92</v>
      </c>
      <c r="F124" s="74">
        <f>VLOOKUP(D124,'FERC Interest Rate'!$A:$B,2,TRUE)</f>
        <v>4.9599999999999998E-2</v>
      </c>
      <c r="G124" s="75">
        <f t="shared" si="54"/>
        <v>33150.419110985429</v>
      </c>
      <c r="H124" s="75">
        <v>0</v>
      </c>
      <c r="I124" s="99">
        <f t="shared" si="58"/>
        <v>103.52446463503968</v>
      </c>
      <c r="J124" s="76">
        <f t="shared" si="60"/>
        <v>414.44381503355811</v>
      </c>
      <c r="K124" s="116">
        <f t="shared" si="48"/>
        <v>517.9682796685978</v>
      </c>
      <c r="L124" s="76">
        <f t="shared" si="59"/>
        <v>2910.15</v>
      </c>
      <c r="M124" s="117">
        <f t="shared" si="49"/>
        <v>3428.118279668598</v>
      </c>
      <c r="N124" s="8">
        <f t="shared" si="50"/>
        <v>33564.862926018985</v>
      </c>
      <c r="O124" s="75">
        <f t="shared" si="51"/>
        <v>30136.744646350387</v>
      </c>
      <c r="P124" s="103"/>
      <c r="Q124" s="103"/>
      <c r="R124" s="103"/>
      <c r="S124" s="103"/>
      <c r="T124" s="103"/>
      <c r="U124" s="103"/>
      <c r="V124" s="103"/>
      <c r="W124" s="103"/>
      <c r="X124" s="103"/>
    </row>
    <row r="125" spans="1:24" x14ac:dyDescent="0.25">
      <c r="A125" s="17" t="s">
        <v>62</v>
      </c>
      <c r="B125" s="72" t="str">
        <f t="shared" si="57"/>
        <v>Q1/2019</v>
      </c>
      <c r="C125" s="73">
        <f t="shared" si="55"/>
        <v>43466</v>
      </c>
      <c r="D125" s="73">
        <f t="shared" si="56"/>
        <v>43555</v>
      </c>
      <c r="E125" s="72">
        <f t="shared" si="53"/>
        <v>90</v>
      </c>
      <c r="F125" s="74">
        <f>VLOOKUP(D125,'FERC Interest Rate'!$A:$B,2,TRUE)</f>
        <v>5.1799999999999999E-2</v>
      </c>
      <c r="G125" s="75">
        <f t="shared" si="54"/>
        <v>30136.744646350387</v>
      </c>
      <c r="H125" s="75">
        <v>0</v>
      </c>
      <c r="I125" s="99">
        <f t="shared" si="58"/>
        <v>103.52446463503968</v>
      </c>
      <c r="J125" s="76">
        <f t="shared" si="60"/>
        <v>384.92466723639865</v>
      </c>
      <c r="K125" s="116">
        <f t="shared" si="48"/>
        <v>488.44913187143834</v>
      </c>
      <c r="L125" s="76">
        <f t="shared" si="59"/>
        <v>2910.15</v>
      </c>
      <c r="M125" s="117">
        <f t="shared" si="49"/>
        <v>3398.5991318714387</v>
      </c>
      <c r="N125" s="8">
        <f t="shared" si="50"/>
        <v>30521.669313586786</v>
      </c>
      <c r="O125" s="75">
        <f t="shared" si="51"/>
        <v>27123.070181715346</v>
      </c>
      <c r="P125" s="103"/>
      <c r="Q125" s="103"/>
      <c r="R125" s="103"/>
      <c r="S125" s="103"/>
      <c r="T125" s="103"/>
      <c r="U125" s="103"/>
      <c r="V125" s="103"/>
      <c r="W125" s="103"/>
      <c r="X125" s="103"/>
    </row>
    <row r="126" spans="1:24" x14ac:dyDescent="0.25">
      <c r="A126" s="17" t="s">
        <v>63</v>
      </c>
      <c r="B126" s="72" t="str">
        <f t="shared" si="57"/>
        <v>Q2/2019</v>
      </c>
      <c r="C126" s="73">
        <f t="shared" si="55"/>
        <v>43556</v>
      </c>
      <c r="D126" s="73">
        <f t="shared" si="56"/>
        <v>43646</v>
      </c>
      <c r="E126" s="72">
        <f t="shared" si="53"/>
        <v>91</v>
      </c>
      <c r="F126" s="74">
        <f>VLOOKUP(D126,'FERC Interest Rate'!$A:$B,2,TRUE)</f>
        <v>5.45E-2</v>
      </c>
      <c r="G126" s="75">
        <f t="shared" si="54"/>
        <v>27123.070181715346</v>
      </c>
      <c r="H126" s="75">
        <v>0</v>
      </c>
      <c r="I126" s="99">
        <f t="shared" si="58"/>
        <v>103.52446463503968</v>
      </c>
      <c r="J126" s="76">
        <f t="shared" si="60"/>
        <v>368.53936045538973</v>
      </c>
      <c r="K126" s="116">
        <f t="shared" si="48"/>
        <v>472.06382509042942</v>
      </c>
      <c r="L126" s="76">
        <f t="shared" si="59"/>
        <v>2910.15</v>
      </c>
      <c r="M126" s="117">
        <f t="shared" si="49"/>
        <v>3382.2138250904295</v>
      </c>
      <c r="N126" s="8">
        <f t="shared" si="50"/>
        <v>27491.609542170736</v>
      </c>
      <c r="O126" s="75">
        <f t="shared" si="51"/>
        <v>24109.395717080304</v>
      </c>
      <c r="P126" s="103"/>
      <c r="Q126" s="103"/>
      <c r="R126" s="103"/>
      <c r="S126" s="103"/>
      <c r="T126" s="103"/>
      <c r="U126" s="103"/>
      <c r="V126" s="103"/>
      <c r="W126" s="103"/>
      <c r="X126" s="103"/>
    </row>
    <row r="127" spans="1:24" x14ac:dyDescent="0.25">
      <c r="A127" s="17" t="s">
        <v>64</v>
      </c>
      <c r="B127" s="72" t="str">
        <f t="shared" si="57"/>
        <v>Q3/2019</v>
      </c>
      <c r="C127" s="73">
        <f t="shared" si="55"/>
        <v>43647</v>
      </c>
      <c r="D127" s="73">
        <f t="shared" si="56"/>
        <v>43738</v>
      </c>
      <c r="E127" s="72">
        <f t="shared" si="53"/>
        <v>92</v>
      </c>
      <c r="F127" s="74">
        <f>VLOOKUP(D127,'FERC Interest Rate'!$A:$B,2,TRUE)</f>
        <v>5.5E-2</v>
      </c>
      <c r="G127" s="75">
        <f t="shared" si="54"/>
        <v>24109.395717080304</v>
      </c>
      <c r="H127" s="75">
        <v>0</v>
      </c>
      <c r="I127" s="99">
        <f t="shared" si="58"/>
        <v>103.52446463503968</v>
      </c>
      <c r="J127" s="76">
        <f t="shared" si="60"/>
        <v>334.22888309157901</v>
      </c>
      <c r="K127" s="116">
        <f t="shared" si="48"/>
        <v>437.7533477266187</v>
      </c>
      <c r="L127" s="76">
        <f t="shared" si="59"/>
        <v>2910.15</v>
      </c>
      <c r="M127" s="117">
        <f t="shared" si="49"/>
        <v>3347.9033477266189</v>
      </c>
      <c r="N127" s="8">
        <f t="shared" si="50"/>
        <v>24443.624600171883</v>
      </c>
      <c r="O127" s="75">
        <f t="shared" si="51"/>
        <v>21095.721252445263</v>
      </c>
      <c r="P127" s="103"/>
      <c r="Q127" s="103"/>
      <c r="R127" s="103"/>
      <c r="S127" s="103"/>
      <c r="T127" s="103"/>
      <c r="U127" s="103"/>
      <c r="V127" s="103"/>
      <c r="W127" s="103"/>
      <c r="X127" s="103"/>
    </row>
    <row r="128" spans="1:24" x14ac:dyDescent="0.25">
      <c r="A128" s="17" t="s">
        <v>65</v>
      </c>
      <c r="B128" s="72" t="str">
        <f t="shared" si="57"/>
        <v>Q4/2019</v>
      </c>
      <c r="C128" s="73">
        <f t="shared" si="55"/>
        <v>43739</v>
      </c>
      <c r="D128" s="73">
        <f t="shared" si="56"/>
        <v>43830</v>
      </c>
      <c r="E128" s="72">
        <f t="shared" si="53"/>
        <v>92</v>
      </c>
      <c r="F128" s="74">
        <f>VLOOKUP(D128,'FERC Interest Rate'!$A:$B,2,TRUE)</f>
        <v>5.4199999999999998E-2</v>
      </c>
      <c r="G128" s="75">
        <f t="shared" si="54"/>
        <v>21095.721252445263</v>
      </c>
      <c r="H128" s="75">
        <v>0</v>
      </c>
      <c r="I128" s="99">
        <f t="shared" si="58"/>
        <v>103.52446463503968</v>
      </c>
      <c r="J128" s="76">
        <f t="shared" si="60"/>
        <v>288.19645055669332</v>
      </c>
      <c r="K128" s="116">
        <f t="shared" si="48"/>
        <v>391.72091519173301</v>
      </c>
      <c r="L128" s="76">
        <f t="shared" si="59"/>
        <v>2910.15</v>
      </c>
      <c r="M128" s="117">
        <f t="shared" si="49"/>
        <v>3301.8709151917333</v>
      </c>
      <c r="N128" s="8">
        <f t="shared" si="50"/>
        <v>21383.917703001956</v>
      </c>
      <c r="O128" s="75">
        <f t="shared" si="51"/>
        <v>18082.046787810221</v>
      </c>
      <c r="P128" s="103"/>
      <c r="Q128" s="103"/>
      <c r="R128" s="103"/>
      <c r="S128" s="103"/>
      <c r="T128" s="103"/>
      <c r="U128" s="103"/>
      <c r="V128" s="103"/>
      <c r="W128" s="103"/>
      <c r="X128" s="103"/>
    </row>
    <row r="129" spans="1:24" x14ac:dyDescent="0.25">
      <c r="A129" s="17" t="s">
        <v>66</v>
      </c>
      <c r="B129" s="72" t="str">
        <f t="shared" si="57"/>
        <v>Q1/2020</v>
      </c>
      <c r="C129" s="73">
        <f t="shared" si="55"/>
        <v>43831</v>
      </c>
      <c r="D129" s="73">
        <f t="shared" si="56"/>
        <v>43921</v>
      </c>
      <c r="E129" s="72">
        <f t="shared" si="53"/>
        <v>91</v>
      </c>
      <c r="F129" s="74">
        <f>VLOOKUP(D129,'FERC Interest Rate'!$A:$B,2,TRUE)</f>
        <v>4.9599999999999998E-2</v>
      </c>
      <c r="G129" s="75">
        <f t="shared" si="54"/>
        <v>18082.046787810221</v>
      </c>
      <c r="H129" s="75">
        <v>0</v>
      </c>
      <c r="I129" s="99">
        <f t="shared" si="58"/>
        <v>103.52446463503968</v>
      </c>
      <c r="J129" s="76">
        <f t="shared" si="60"/>
        <v>222.9921485832246</v>
      </c>
      <c r="K129" s="116">
        <f t="shared" si="48"/>
        <v>326.5166132182643</v>
      </c>
      <c r="L129" s="76">
        <f t="shared" si="59"/>
        <v>2910.15</v>
      </c>
      <c r="M129" s="117">
        <f t="shared" si="49"/>
        <v>3236.6666132182645</v>
      </c>
      <c r="N129" s="8">
        <f t="shared" si="50"/>
        <v>18305.038936393445</v>
      </c>
      <c r="O129" s="75">
        <f t="shared" si="51"/>
        <v>15068.372323175181</v>
      </c>
      <c r="P129" s="103"/>
      <c r="Q129" s="103"/>
      <c r="R129" s="103"/>
      <c r="S129" s="103"/>
      <c r="T129" s="103"/>
      <c r="U129" s="103"/>
      <c r="V129" s="103"/>
      <c r="W129" s="103"/>
      <c r="X129" s="103"/>
    </row>
    <row r="130" spans="1:24" x14ac:dyDescent="0.25">
      <c r="A130" s="17" t="s">
        <v>67</v>
      </c>
      <c r="B130" s="72" t="str">
        <f t="shared" si="57"/>
        <v>Q2/2020</v>
      </c>
      <c r="C130" s="73">
        <f t="shared" si="55"/>
        <v>43922</v>
      </c>
      <c r="D130" s="73">
        <f t="shared" si="56"/>
        <v>44012</v>
      </c>
      <c r="E130" s="72">
        <f t="shared" si="53"/>
        <v>91</v>
      </c>
      <c r="F130" s="74">
        <f>VLOOKUP(D130,'FERC Interest Rate'!$A:$B,2,TRUE)</f>
        <v>4.7503500000000004E-2</v>
      </c>
      <c r="G130" s="75">
        <f t="shared" si="54"/>
        <v>15068.372323175181</v>
      </c>
      <c r="H130" s="75">
        <v>0</v>
      </c>
      <c r="I130" s="99">
        <f t="shared" si="58"/>
        <v>103.52446463503968</v>
      </c>
      <c r="J130" s="76">
        <f t="shared" si="60"/>
        <v>177.9722367309007</v>
      </c>
      <c r="K130" s="116">
        <f t="shared" si="48"/>
        <v>281.4967013659404</v>
      </c>
      <c r="L130" s="76">
        <f t="shared" si="59"/>
        <v>2910.15</v>
      </c>
      <c r="M130" s="117">
        <f t="shared" si="49"/>
        <v>3191.6467013659403</v>
      </c>
      <c r="N130" s="8">
        <f t="shared" si="50"/>
        <v>15246.344559906081</v>
      </c>
      <c r="O130" s="75">
        <f t="shared" si="51"/>
        <v>12054.697858540141</v>
      </c>
      <c r="P130" s="103"/>
      <c r="Q130" s="103"/>
      <c r="R130" s="103"/>
      <c r="S130" s="103"/>
      <c r="T130" s="103"/>
      <c r="U130" s="103"/>
      <c r="V130" s="103"/>
      <c r="W130" s="103"/>
      <c r="X130" s="103"/>
    </row>
    <row r="131" spans="1:24" x14ac:dyDescent="0.25">
      <c r="A131" s="17" t="s">
        <v>68</v>
      </c>
      <c r="B131" s="72" t="str">
        <f t="shared" si="57"/>
        <v>Q3/2020</v>
      </c>
      <c r="C131" s="73">
        <f t="shared" si="55"/>
        <v>44013</v>
      </c>
      <c r="D131" s="73">
        <f t="shared" si="56"/>
        <v>44104</v>
      </c>
      <c r="E131" s="72">
        <f t="shared" si="53"/>
        <v>92</v>
      </c>
      <c r="F131" s="74">
        <f>VLOOKUP(D131,'FERC Interest Rate'!$A:$B,2,TRUE)</f>
        <v>4.7507929999999997E-2</v>
      </c>
      <c r="G131" s="75">
        <f t="shared" si="54"/>
        <v>12054.697858540141</v>
      </c>
      <c r="H131" s="75">
        <v>0</v>
      </c>
      <c r="I131" s="99">
        <f t="shared" si="58"/>
        <v>103.52446463503968</v>
      </c>
      <c r="J131" s="76">
        <f t="shared" si="60"/>
        <v>143.95580400871609</v>
      </c>
      <c r="K131" s="116">
        <f t="shared" si="48"/>
        <v>247.48026864375578</v>
      </c>
      <c r="L131" s="76">
        <f t="shared" si="59"/>
        <v>2910.15</v>
      </c>
      <c r="M131" s="117">
        <f t="shared" si="49"/>
        <v>3157.6302686437557</v>
      </c>
      <c r="N131" s="8">
        <f t="shared" si="50"/>
        <v>12198.653662548857</v>
      </c>
      <c r="O131" s="75">
        <f t="shared" si="51"/>
        <v>9041.0233939051013</v>
      </c>
      <c r="P131" s="103"/>
      <c r="Q131" s="103"/>
      <c r="R131" s="103"/>
      <c r="S131" s="103"/>
      <c r="T131" s="103"/>
      <c r="U131" s="103"/>
      <c r="V131" s="103"/>
      <c r="W131" s="103"/>
      <c r="X131" s="103"/>
    </row>
    <row r="132" spans="1:24" x14ac:dyDescent="0.25">
      <c r="A132" s="17" t="s">
        <v>69</v>
      </c>
      <c r="B132" s="72" t="str">
        <f t="shared" si="57"/>
        <v>Q4/2020</v>
      </c>
      <c r="C132" s="73">
        <f t="shared" si="55"/>
        <v>44105</v>
      </c>
      <c r="D132" s="73">
        <f t="shared" si="56"/>
        <v>44196</v>
      </c>
      <c r="E132" s="72">
        <f t="shared" si="53"/>
        <v>92</v>
      </c>
      <c r="F132" s="74">
        <f>VLOOKUP(D132,'FERC Interest Rate'!$A:$B,2,TRUE)</f>
        <v>4.7922320000000004E-2</v>
      </c>
      <c r="G132" s="75">
        <f t="shared" si="54"/>
        <v>9041.0233939051013</v>
      </c>
      <c r="H132" s="75">
        <v>0</v>
      </c>
      <c r="I132" s="99">
        <f t="shared" si="58"/>
        <v>103.52446463503968</v>
      </c>
      <c r="J132" s="76">
        <f t="shared" si="60"/>
        <v>108.9085986102158</v>
      </c>
      <c r="K132" s="116">
        <f t="shared" si="48"/>
        <v>212.43306324525548</v>
      </c>
      <c r="L132" s="76">
        <f t="shared" si="59"/>
        <v>2910.15</v>
      </c>
      <c r="M132" s="117">
        <f t="shared" si="49"/>
        <v>3122.5830632452557</v>
      </c>
      <c r="N132" s="8">
        <f t="shared" si="50"/>
        <v>9149.9319925153177</v>
      </c>
      <c r="O132" s="75">
        <f t="shared" si="51"/>
        <v>6027.3489292700624</v>
      </c>
      <c r="P132" s="103"/>
      <c r="Q132" s="103"/>
      <c r="R132" s="103"/>
      <c r="S132" s="103"/>
      <c r="T132" s="103"/>
      <c r="U132" s="103"/>
      <c r="V132" s="103"/>
      <c r="W132" s="103"/>
      <c r="X132" s="103"/>
    </row>
    <row r="133" spans="1:24" x14ac:dyDescent="0.25">
      <c r="A133" s="17" t="s">
        <v>70</v>
      </c>
      <c r="B133" s="72" t="str">
        <f t="shared" si="57"/>
        <v>Q1/2021</v>
      </c>
      <c r="C133" s="73">
        <f t="shared" si="55"/>
        <v>44197</v>
      </c>
      <c r="D133" s="73">
        <f t="shared" si="56"/>
        <v>44286</v>
      </c>
      <c r="E133" s="72">
        <f t="shared" si="53"/>
        <v>90</v>
      </c>
      <c r="F133" s="74">
        <f>VLOOKUP(D133,'FERC Interest Rate'!$A:$B,2,TRUE)</f>
        <v>5.0023470000000007E-2</v>
      </c>
      <c r="G133" s="75">
        <f t="shared" si="54"/>
        <v>6027.3489292700624</v>
      </c>
      <c r="H133" s="75">
        <v>0</v>
      </c>
      <c r="I133" s="99">
        <f t="shared" si="58"/>
        <v>103.52446463503968</v>
      </c>
      <c r="J133" s="76">
        <f t="shared" si="60"/>
        <v>74.344662331119409</v>
      </c>
      <c r="K133" s="116">
        <f t="shared" si="48"/>
        <v>177.86912696615909</v>
      </c>
      <c r="L133" s="76">
        <f t="shared" si="59"/>
        <v>2910.15</v>
      </c>
      <c r="M133" s="117">
        <f t="shared" si="49"/>
        <v>3088.0191269661591</v>
      </c>
      <c r="N133" s="8">
        <f t="shared" si="50"/>
        <v>6101.6935916011817</v>
      </c>
      <c r="O133" s="75">
        <f t="shared" si="51"/>
        <v>3013.6744646350226</v>
      </c>
      <c r="P133" s="103"/>
      <c r="Q133" s="103"/>
      <c r="R133" s="103"/>
      <c r="S133" s="103"/>
      <c r="T133" s="103"/>
      <c r="U133" s="103"/>
      <c r="V133" s="103"/>
      <c r="W133" s="103"/>
      <c r="X133" s="103"/>
    </row>
    <row r="134" spans="1:24" x14ac:dyDescent="0.25">
      <c r="A134" s="17" t="s">
        <v>71</v>
      </c>
      <c r="B134" s="72" t="str">
        <f t="shared" si="57"/>
        <v>Q2/2021</v>
      </c>
      <c r="C134" s="73">
        <f t="shared" si="55"/>
        <v>44287</v>
      </c>
      <c r="D134" s="73">
        <f t="shared" si="56"/>
        <v>44377</v>
      </c>
      <c r="E134" s="72">
        <f t="shared" si="53"/>
        <v>91</v>
      </c>
      <c r="F134" s="74">
        <f>VLOOKUP(D134,'FERC Interest Rate'!$A:$B,2,TRUE)</f>
        <v>5.0403730000000001E-2</v>
      </c>
      <c r="G134" s="75">
        <f t="shared" si="54"/>
        <v>3013.6744646350226</v>
      </c>
      <c r="H134" s="75">
        <v>0</v>
      </c>
      <c r="I134" s="99">
        <f t="shared" si="58"/>
        <v>103.52446463503968</v>
      </c>
      <c r="J134" s="76">
        <f t="shared" si="60"/>
        <v>37.871067112672876</v>
      </c>
      <c r="K134" s="116">
        <f t="shared" si="48"/>
        <v>141.39553174771254</v>
      </c>
      <c r="L134" s="76">
        <f t="shared" si="59"/>
        <v>2910.15</v>
      </c>
      <c r="M134" s="117">
        <f t="shared" si="49"/>
        <v>3051.5455317477126</v>
      </c>
      <c r="N134" s="8">
        <f t="shared" si="50"/>
        <v>3051.5455317476953</v>
      </c>
      <c r="O134" s="75">
        <f t="shared" si="51"/>
        <v>-1.7209345060109627E-11</v>
      </c>
      <c r="P134" s="103"/>
      <c r="Q134" s="103"/>
      <c r="R134" s="103"/>
      <c r="S134" s="103"/>
      <c r="T134" s="103"/>
      <c r="U134" s="103"/>
      <c r="V134" s="103"/>
      <c r="W134" s="103"/>
      <c r="X134" s="103"/>
    </row>
    <row r="135" spans="1:24" x14ac:dyDescent="0.25">
      <c r="B135" s="72"/>
      <c r="C135" s="73"/>
      <c r="D135" s="73"/>
      <c r="E135" s="72"/>
      <c r="F135" s="74"/>
      <c r="G135" s="75"/>
      <c r="H135" s="75"/>
      <c r="I135" s="99"/>
      <c r="J135" s="76"/>
      <c r="K135" s="103"/>
      <c r="L135" s="76"/>
      <c r="M135" s="118"/>
      <c r="N135" s="103"/>
      <c r="O135" s="75"/>
      <c r="P135" s="103"/>
      <c r="Q135" s="103"/>
      <c r="R135" s="103"/>
      <c r="S135" s="103"/>
      <c r="T135" s="103"/>
      <c r="U135" s="103"/>
      <c r="V135" s="103"/>
      <c r="W135" s="103"/>
      <c r="X135" s="103"/>
    </row>
    <row r="136" spans="1:24" ht="13.5" thickBot="1" x14ac:dyDescent="0.35">
      <c r="A136" s="142"/>
      <c r="B136" s="143"/>
      <c r="C136" s="144"/>
      <c r="D136" s="144"/>
      <c r="E136" s="145"/>
      <c r="F136" s="143"/>
      <c r="G136" s="124">
        <f t="shared" ref="G136:O136" si="61">SUM(G111:G135)</f>
        <v>886503.8611623348</v>
      </c>
      <c r="H136" s="124">
        <f t="shared" si="61"/>
        <v>2070.4892927007936</v>
      </c>
      <c r="I136" s="125">
        <f t="shared" si="61"/>
        <v>2070.4892927007941</v>
      </c>
      <c r="J136" s="124">
        <f t="shared" si="61"/>
        <v>6445.9093732618257</v>
      </c>
      <c r="K136" s="124">
        <f t="shared" si="61"/>
        <v>9571.418441194015</v>
      </c>
      <c r="L136" s="124">
        <f t="shared" si="61"/>
        <v>58203.000000000022</v>
      </c>
      <c r="M136" s="126">
        <f t="shared" si="61"/>
        <v>66719.398665962624</v>
      </c>
      <c r="N136" s="124">
        <f t="shared" si="61"/>
        <v>895020.25982829754</v>
      </c>
      <c r="O136" s="124">
        <f t="shared" si="61"/>
        <v>828300.8611623348</v>
      </c>
      <c r="P136" s="103"/>
      <c r="Q136" s="103"/>
      <c r="R136" s="103"/>
      <c r="S136" s="103"/>
      <c r="T136" s="103"/>
      <c r="U136" s="103"/>
      <c r="V136" s="103"/>
      <c r="W136" s="103"/>
      <c r="X136" s="103"/>
    </row>
    <row r="137" spans="1:24" ht="13" thickTop="1" x14ac:dyDescent="0.25">
      <c r="B137" s="11"/>
      <c r="C137" s="111"/>
      <c r="D137" s="111"/>
      <c r="E137" s="10"/>
      <c r="F137" s="11"/>
      <c r="G137" s="76"/>
      <c r="H137" s="58"/>
      <c r="I137" s="101"/>
      <c r="J137" s="76"/>
      <c r="K137" s="103"/>
      <c r="L137" s="58"/>
      <c r="M137" s="118"/>
      <c r="N137" s="103"/>
      <c r="O137" s="103"/>
      <c r="P137" s="103"/>
      <c r="Q137" s="103"/>
      <c r="R137" s="103"/>
      <c r="S137" s="103"/>
      <c r="T137" s="103"/>
      <c r="U137" s="103"/>
      <c r="V137" s="103"/>
      <c r="W137" s="103"/>
      <c r="X137" s="103"/>
    </row>
    <row r="138" spans="1:24" ht="37" x14ac:dyDescent="0.3">
      <c r="A138" s="77" t="s">
        <v>51</v>
      </c>
      <c r="B138" s="77" t="s">
        <v>3</v>
      </c>
      <c r="C138" s="77" t="s">
        <v>4</v>
      </c>
      <c r="D138" s="77" t="s">
        <v>5</v>
      </c>
      <c r="E138" s="77" t="s">
        <v>6</v>
      </c>
      <c r="F138" s="77" t="s">
        <v>7</v>
      </c>
      <c r="G138" s="77" t="s">
        <v>78</v>
      </c>
      <c r="H138" s="77" t="s">
        <v>79</v>
      </c>
      <c r="I138" s="94" t="s">
        <v>80</v>
      </c>
      <c r="J138" s="95" t="s">
        <v>81</v>
      </c>
      <c r="K138" s="95" t="s">
        <v>82</v>
      </c>
      <c r="L138" s="95" t="s">
        <v>83</v>
      </c>
      <c r="M138" s="96" t="s">
        <v>73</v>
      </c>
      <c r="N138" s="77" t="s">
        <v>84</v>
      </c>
      <c r="O138" s="77" t="s">
        <v>85</v>
      </c>
      <c r="P138" s="103"/>
      <c r="Q138" s="103"/>
      <c r="R138" s="103"/>
      <c r="S138" s="103"/>
      <c r="T138" s="103"/>
      <c r="U138" s="103"/>
      <c r="V138" s="103"/>
      <c r="W138" s="103"/>
      <c r="X138" s="103"/>
    </row>
    <row r="139" spans="1:24" ht="13" x14ac:dyDescent="0.3">
      <c r="A139" s="110" t="s">
        <v>40</v>
      </c>
      <c r="B139" s="141" t="s">
        <v>55</v>
      </c>
      <c r="C139" s="73">
        <f>VLOOKUP(B139,A$1:F$26,2,FALSE)</f>
        <v>42299</v>
      </c>
      <c r="D139" s="73">
        <f>DATE(YEAR(C139),IF(MONTH(C139)&lt;=3,3,IF(MONTH(C139)&lt;=6,6,IF(MONTH(C139)&lt;=9,9,12))),IF(OR(MONTH(C139)&lt;=3,MONTH(C139)&gt;=10),31,30))</f>
        <v>42369</v>
      </c>
      <c r="E139" s="72">
        <f>D139-C139+1</f>
        <v>71</v>
      </c>
      <c r="F139" s="74">
        <f>VLOOKUP(D139,'FERC Interest Rate'!$A:$B,2,TRUE)</f>
        <v>3.2500000000000001E-2</v>
      </c>
      <c r="G139" s="75">
        <f>VLOOKUP(B139,$A$1:$F$26,5,FALSE)</f>
        <v>62233</v>
      </c>
      <c r="H139" s="75">
        <f>G139*F139*(E139/(DATE(YEAR(D139),12,31)-DATE(YEAR(D139),1,1)+1))</f>
        <v>393.4319109589041</v>
      </c>
      <c r="I139" s="180">
        <v>0</v>
      </c>
      <c r="J139" s="76">
        <v>0</v>
      </c>
      <c r="K139" s="116">
        <f t="shared" ref="K139:K161" si="62">+SUM(I139:J139)</f>
        <v>0</v>
      </c>
      <c r="L139" s="76">
        <v>0</v>
      </c>
      <c r="M139" s="117">
        <f t="shared" ref="M139:M161" si="63">+SUM(K139:L139)</f>
        <v>0</v>
      </c>
      <c r="N139" s="8">
        <f t="shared" ref="N139:N161" si="64">+G139+H139+J139</f>
        <v>62626.431910958905</v>
      </c>
      <c r="O139" s="75">
        <f t="shared" ref="O139:O161" si="65">G139+H139-L139-I139</f>
        <v>62626.431910958905</v>
      </c>
      <c r="P139" s="103"/>
      <c r="Q139" s="103"/>
      <c r="R139" s="103"/>
      <c r="S139" s="103"/>
      <c r="T139" s="103"/>
      <c r="U139" s="103"/>
      <c r="V139" s="103"/>
      <c r="W139" s="103"/>
      <c r="X139" s="103"/>
    </row>
    <row r="140" spans="1:24" x14ac:dyDescent="0.25">
      <c r="A140" s="78" t="s">
        <v>21</v>
      </c>
      <c r="B140" s="72" t="str">
        <f t="shared" ref="B140:B161" si="66">+IF(MONTH(C140)&lt;4,"Q1",IF(MONTH(C140)&lt;7,"Q2",IF(MONTH(C140)&lt;10,"Q3","Q4")))&amp;"/"&amp;YEAR(C140)</f>
        <v>Q1/2016</v>
      </c>
      <c r="C140" s="73">
        <f>D139+1</f>
        <v>42370</v>
      </c>
      <c r="D140" s="73">
        <f>EOMONTH(D139,3)</f>
        <v>42460</v>
      </c>
      <c r="E140" s="72">
        <f t="shared" ref="E140:E161" si="67">D140-C140+1</f>
        <v>91</v>
      </c>
      <c r="F140" s="74">
        <f>VLOOKUP(D140,'FERC Interest Rate'!$A:$B,2,TRUE)</f>
        <v>3.2500000000000001E-2</v>
      </c>
      <c r="G140" s="75">
        <f t="shared" ref="G140:G161" si="68">O139</f>
        <v>62626.431910958905</v>
      </c>
      <c r="H140" s="75">
        <f>G140*F140*(E140/(DATE(YEAR(D140),12,31)-DATE(YEAR(D140),1,1)+1))</f>
        <v>506.05921414388246</v>
      </c>
      <c r="I140" s="180">
        <v>0</v>
      </c>
      <c r="J140" s="76">
        <v>0</v>
      </c>
      <c r="K140" s="116">
        <f t="shared" si="62"/>
        <v>0</v>
      </c>
      <c r="L140" s="76">
        <v>0</v>
      </c>
      <c r="M140" s="117">
        <f t="shared" si="63"/>
        <v>0</v>
      </c>
      <c r="N140" s="8">
        <f t="shared" si="64"/>
        <v>63132.491125102788</v>
      </c>
      <c r="O140" s="75">
        <f t="shared" si="65"/>
        <v>63132.491125102788</v>
      </c>
      <c r="P140" s="103"/>
      <c r="Q140" s="103"/>
      <c r="R140" s="103"/>
      <c r="S140" s="103"/>
      <c r="T140" s="103"/>
      <c r="U140" s="103"/>
      <c r="V140" s="103"/>
      <c r="W140" s="103"/>
      <c r="X140" s="103"/>
    </row>
    <row r="141" spans="1:24" x14ac:dyDescent="0.25">
      <c r="A141" s="78" t="s">
        <v>21</v>
      </c>
      <c r="B141" s="72" t="str">
        <f t="shared" si="66"/>
        <v>Q2/2016</v>
      </c>
      <c r="C141" s="73">
        <f t="shared" ref="C141:C161" si="69">D140+1</f>
        <v>42461</v>
      </c>
      <c r="D141" s="73">
        <f t="shared" ref="D141:D161" si="70">EOMONTH(D140,3)</f>
        <v>42551</v>
      </c>
      <c r="E141" s="72">
        <f t="shared" si="67"/>
        <v>91</v>
      </c>
      <c r="F141" s="74">
        <f>VLOOKUP(D141,'FERC Interest Rate'!$A:$B,2,TRUE)</f>
        <v>3.4599999999999999E-2</v>
      </c>
      <c r="G141" s="75">
        <f t="shared" si="68"/>
        <v>63132.491125102788</v>
      </c>
      <c r="H141" s="75">
        <f>G141*F141*(E141/(DATE(YEAR(D141),12,31)-DATE(YEAR(D141),1,1)+1))</f>
        <v>543.11191682103447</v>
      </c>
      <c r="I141" s="180">
        <v>0</v>
      </c>
      <c r="J141" s="76">
        <v>0</v>
      </c>
      <c r="K141" s="116">
        <f t="shared" si="62"/>
        <v>0</v>
      </c>
      <c r="L141" s="76">
        <v>0</v>
      </c>
      <c r="M141" s="117">
        <f t="shared" si="63"/>
        <v>0</v>
      </c>
      <c r="N141" s="8">
        <f t="shared" si="64"/>
        <v>63675.603041923823</v>
      </c>
      <c r="O141" s="75">
        <f t="shared" si="65"/>
        <v>63675.603041923823</v>
      </c>
      <c r="P141" s="103"/>
      <c r="Q141" s="103"/>
      <c r="R141" s="103"/>
      <c r="S141" s="103"/>
      <c r="T141" s="103"/>
      <c r="U141" s="103"/>
      <c r="V141" s="103"/>
      <c r="W141" s="103"/>
      <c r="X141" s="103"/>
    </row>
    <row r="142" spans="1:24" x14ac:dyDescent="0.25">
      <c r="A142" s="78" t="s">
        <v>21</v>
      </c>
      <c r="B142" s="72" t="str">
        <f t="shared" si="66"/>
        <v>Q3/2016</v>
      </c>
      <c r="C142" s="73">
        <f t="shared" si="69"/>
        <v>42552</v>
      </c>
      <c r="D142" s="73">
        <f t="shared" si="70"/>
        <v>42643</v>
      </c>
      <c r="E142" s="72">
        <f t="shared" si="67"/>
        <v>92</v>
      </c>
      <c r="F142" s="74">
        <f>VLOOKUP(D142,'FERC Interest Rate'!$A:$B,2,TRUE)</f>
        <v>3.5000000000000003E-2</v>
      </c>
      <c r="G142" s="75">
        <f t="shared" si="68"/>
        <v>63675.603041923823</v>
      </c>
      <c r="H142" s="75">
        <f>G142*F142*(E142/(DATE(YEAR(D142),12,31)-DATE(YEAR(D142),1,1)+1))</f>
        <v>560.20612512293644</v>
      </c>
      <c r="I142" s="180">
        <v>0</v>
      </c>
      <c r="J142" s="76">
        <v>0</v>
      </c>
      <c r="K142" s="116">
        <f t="shared" si="62"/>
        <v>0</v>
      </c>
      <c r="L142" s="76">
        <v>0</v>
      </c>
      <c r="M142" s="117">
        <f t="shared" si="63"/>
        <v>0</v>
      </c>
      <c r="N142" s="8">
        <f t="shared" si="64"/>
        <v>64235.809167046762</v>
      </c>
      <c r="O142" s="75">
        <f t="shared" si="65"/>
        <v>64235.809167046762</v>
      </c>
      <c r="P142" s="103"/>
      <c r="Q142" s="103"/>
      <c r="R142" s="103"/>
      <c r="S142" s="103"/>
      <c r="T142" s="103"/>
      <c r="U142" s="103"/>
      <c r="V142" s="103"/>
      <c r="W142" s="103"/>
      <c r="X142" s="103"/>
    </row>
    <row r="143" spans="1:24" x14ac:dyDescent="0.25">
      <c r="A143" s="78" t="s">
        <v>21</v>
      </c>
      <c r="B143" s="72" t="str">
        <f t="shared" si="66"/>
        <v>Q4/2016</v>
      </c>
      <c r="C143" s="73">
        <f t="shared" si="69"/>
        <v>42644</v>
      </c>
      <c r="D143" s="73">
        <f t="shared" si="70"/>
        <v>42735</v>
      </c>
      <c r="E143" s="72">
        <f t="shared" si="67"/>
        <v>92</v>
      </c>
      <c r="F143" s="74">
        <f>VLOOKUP(D143,'FERC Interest Rate'!$A:$B,2,TRUE)</f>
        <v>3.5000000000000003E-2</v>
      </c>
      <c r="G143" s="75">
        <f t="shared" si="68"/>
        <v>64235.809167046762</v>
      </c>
      <c r="H143" s="75">
        <v>0</v>
      </c>
      <c r="I143" s="99">
        <v>0</v>
      </c>
      <c r="J143" s="76">
        <f>G143*F143*(E143/(DATE(YEAR(D143),12,31)-DATE(YEAR(D143),1,1)+1))</f>
        <v>565.1347145297558</v>
      </c>
      <c r="K143" s="116">
        <f t="shared" si="62"/>
        <v>565.1347145297558</v>
      </c>
      <c r="L143" s="76">
        <v>0</v>
      </c>
      <c r="M143" s="117">
        <v>0</v>
      </c>
      <c r="N143" s="8">
        <f t="shared" si="64"/>
        <v>64800.943881576517</v>
      </c>
      <c r="O143" s="75">
        <f>+N143-M143</f>
        <v>64800.943881576517</v>
      </c>
      <c r="P143" s="103"/>
      <c r="Q143" s="103"/>
      <c r="R143" s="103"/>
      <c r="S143" s="103"/>
      <c r="T143" s="103"/>
      <c r="U143" s="103"/>
      <c r="V143" s="103"/>
      <c r="W143" s="103"/>
      <c r="X143" s="103"/>
    </row>
    <row r="144" spans="1:24" x14ac:dyDescent="0.25">
      <c r="A144" s="78" t="s">
        <v>21</v>
      </c>
      <c r="B144" s="72" t="str">
        <f t="shared" si="66"/>
        <v>Q1/2017</v>
      </c>
      <c r="C144" s="73">
        <f t="shared" si="69"/>
        <v>42736</v>
      </c>
      <c r="D144" s="73">
        <f t="shared" si="70"/>
        <v>42825</v>
      </c>
      <c r="E144" s="72">
        <f t="shared" si="67"/>
        <v>90</v>
      </c>
      <c r="F144" s="74">
        <f>VLOOKUP(D144,'FERC Interest Rate'!$A:$B,2,TRUE)</f>
        <v>3.5000000000000003E-2</v>
      </c>
      <c r="G144" s="75">
        <f t="shared" si="68"/>
        <v>64800.943881576517</v>
      </c>
      <c r="H144" s="75">
        <v>0</v>
      </c>
      <c r="I144" s="99">
        <v>0</v>
      </c>
      <c r="J144" s="76">
        <f>G144*F144*(E144/(DATE(YEAR(D144),12,31)-DATE(YEAR(D144),1,1)+1))</f>
        <v>559.24102253963292</v>
      </c>
      <c r="K144" s="116">
        <f t="shared" si="62"/>
        <v>559.24102253963292</v>
      </c>
      <c r="L144" s="76">
        <v>0</v>
      </c>
      <c r="M144" s="117">
        <v>0</v>
      </c>
      <c r="N144" s="8">
        <f t="shared" si="64"/>
        <v>65360.184904116148</v>
      </c>
      <c r="O144" s="75">
        <f>+N144-M144</f>
        <v>65360.184904116148</v>
      </c>
      <c r="P144" s="103"/>
      <c r="Q144" s="103"/>
      <c r="R144" s="103"/>
      <c r="S144" s="103"/>
      <c r="T144" s="103"/>
      <c r="U144" s="103"/>
      <c r="V144" s="103"/>
      <c r="W144" s="103"/>
      <c r="X144" s="103"/>
    </row>
    <row r="145" spans="1:24" x14ac:dyDescent="0.25">
      <c r="A145" s="309" t="s">
        <v>101</v>
      </c>
      <c r="B145" s="72" t="str">
        <f t="shared" si="66"/>
        <v>Q2/2017</v>
      </c>
      <c r="C145" s="132">
        <f t="shared" si="69"/>
        <v>42826</v>
      </c>
      <c r="D145" s="132">
        <f t="shared" si="70"/>
        <v>42916</v>
      </c>
      <c r="E145" s="72">
        <f t="shared" si="67"/>
        <v>91</v>
      </c>
      <c r="F145" s="74">
        <f>VLOOKUP(D145,'FERC Interest Rate'!$A:$B,2,TRUE)</f>
        <v>3.7100000000000001E-2</v>
      </c>
      <c r="G145" s="75">
        <f t="shared" si="68"/>
        <v>65360.184904116148</v>
      </c>
      <c r="H145" s="75">
        <v>0</v>
      </c>
      <c r="I145" s="99">
        <f>(SUM($H$139:$H$162)/20)*4</f>
        <v>400.56183340935149</v>
      </c>
      <c r="J145" s="76">
        <f>G145*F145*(E145/(DATE(YEAR(D145),12,31)-DATE(YEAR(D145),1,1)+1))</f>
        <v>604.55485001311388</v>
      </c>
      <c r="K145" s="116">
        <f>+SUM(I143:J145)</f>
        <v>2129.4924204918543</v>
      </c>
      <c r="L145" s="76">
        <f>+$G$139/20*4</f>
        <v>12446.6</v>
      </c>
      <c r="M145" s="117">
        <f>+SUM(K145:L145)</f>
        <v>14576.092420491856</v>
      </c>
      <c r="N145" s="8">
        <f t="shared" si="64"/>
        <v>65964.739754129259</v>
      </c>
      <c r="O145" s="75">
        <f>+N145-M145</f>
        <v>51388.647333637404</v>
      </c>
      <c r="P145" s="103"/>
      <c r="Q145" s="103"/>
      <c r="R145" s="103"/>
      <c r="S145" s="103"/>
      <c r="T145" s="103"/>
      <c r="U145" s="103"/>
      <c r="V145" s="103"/>
      <c r="W145" s="103"/>
      <c r="X145" s="103"/>
    </row>
    <row r="146" spans="1:24" x14ac:dyDescent="0.25">
      <c r="A146" s="17" t="s">
        <v>56</v>
      </c>
      <c r="B146" s="72" t="str">
        <f t="shared" si="66"/>
        <v>Q3/2017</v>
      </c>
      <c r="C146" s="132">
        <f t="shared" si="69"/>
        <v>42917</v>
      </c>
      <c r="D146" s="132">
        <f t="shared" si="70"/>
        <v>43008</v>
      </c>
      <c r="E146" s="72">
        <f t="shared" si="67"/>
        <v>92</v>
      </c>
      <c r="F146" s="74">
        <f>VLOOKUP(D146,'FERC Interest Rate'!$A:$B,2,TRUE)</f>
        <v>3.9600000000000003E-2</v>
      </c>
      <c r="G146" s="75">
        <f t="shared" si="68"/>
        <v>51388.647333637404</v>
      </c>
      <c r="H146" s="75">
        <v>0</v>
      </c>
      <c r="I146" s="99">
        <f t="shared" ref="I146:I161" si="71">(SUM($H$139:$H$162)/20)</f>
        <v>100.14045835233787</v>
      </c>
      <c r="J146" s="76">
        <f>G146*F146*(E146/(DATE(YEAR(D146),12,31)-DATE(YEAR(D146),1,1)+1))</f>
        <v>512.92909579700779</v>
      </c>
      <c r="K146" s="116">
        <f>+SUM(I146:J146)</f>
        <v>613.06955414934566</v>
      </c>
      <c r="L146" s="76">
        <f t="shared" ref="L146:L161" si="72">+$G$139/20</f>
        <v>3111.65</v>
      </c>
      <c r="M146" s="117">
        <f>+SUM(K146:L146)</f>
        <v>3724.7195541493456</v>
      </c>
      <c r="N146" s="8">
        <f t="shared" si="64"/>
        <v>51901.576429434412</v>
      </c>
      <c r="O146" s="75">
        <f t="shared" si="65"/>
        <v>48176.856875285062</v>
      </c>
      <c r="P146" s="103"/>
      <c r="Q146" s="103"/>
      <c r="R146" s="103"/>
      <c r="S146" s="103"/>
      <c r="T146" s="103"/>
      <c r="U146" s="103"/>
      <c r="V146" s="103"/>
      <c r="W146" s="103"/>
      <c r="X146" s="103"/>
    </row>
    <row r="147" spans="1:24" x14ac:dyDescent="0.25">
      <c r="A147" s="17" t="s">
        <v>57</v>
      </c>
      <c r="B147" s="72" t="str">
        <f t="shared" si="66"/>
        <v>Q4/2017</v>
      </c>
      <c r="C147" s="73">
        <f t="shared" si="69"/>
        <v>43009</v>
      </c>
      <c r="D147" s="73">
        <f t="shared" si="70"/>
        <v>43100</v>
      </c>
      <c r="E147" s="72">
        <f t="shared" si="67"/>
        <v>92</v>
      </c>
      <c r="F147" s="74">
        <f>VLOOKUP(D147,'FERC Interest Rate'!$A:$B,2,TRUE)</f>
        <v>4.2099999999999999E-2</v>
      </c>
      <c r="G147" s="75">
        <f t="shared" si="68"/>
        <v>48176.856875285062</v>
      </c>
      <c r="H147" s="75">
        <v>0</v>
      </c>
      <c r="I147" s="99">
        <f t="shared" si="71"/>
        <v>100.14045835233787</v>
      </c>
      <c r="J147" s="76">
        <f t="shared" ref="J147:J161" si="73">G147*F147*(E147/(DATE(YEAR(D147),12,31)-DATE(YEAR(D147),1,1)+1))</f>
        <v>511.22904671055926</v>
      </c>
      <c r="K147" s="116">
        <f t="shared" si="62"/>
        <v>611.36950506289713</v>
      </c>
      <c r="L147" s="76">
        <f t="shared" si="72"/>
        <v>3111.65</v>
      </c>
      <c r="M147" s="117">
        <f t="shared" si="63"/>
        <v>3723.0195050628972</v>
      </c>
      <c r="N147" s="8">
        <f t="shared" si="64"/>
        <v>48688.085921995618</v>
      </c>
      <c r="O147" s="75">
        <f t="shared" si="65"/>
        <v>44965.066416932721</v>
      </c>
      <c r="P147" s="103"/>
      <c r="Q147" s="103"/>
      <c r="R147" s="103"/>
      <c r="S147" s="103"/>
      <c r="T147" s="103"/>
      <c r="U147" s="103"/>
      <c r="V147" s="103"/>
      <c r="W147" s="103"/>
      <c r="X147" s="103"/>
    </row>
    <row r="148" spans="1:24" x14ac:dyDescent="0.25">
      <c r="A148" s="17" t="s">
        <v>58</v>
      </c>
      <c r="B148" s="72" t="str">
        <f t="shared" si="66"/>
        <v>Q1/2018</v>
      </c>
      <c r="C148" s="73">
        <f t="shared" si="69"/>
        <v>43101</v>
      </c>
      <c r="D148" s="73">
        <f t="shared" si="70"/>
        <v>43190</v>
      </c>
      <c r="E148" s="72">
        <f t="shared" si="67"/>
        <v>90</v>
      </c>
      <c r="F148" s="74">
        <f>VLOOKUP(D148,'FERC Interest Rate'!$A:$B,2,TRUE)</f>
        <v>4.2500000000000003E-2</v>
      </c>
      <c r="G148" s="75">
        <f t="shared" si="68"/>
        <v>44965.066416932721</v>
      </c>
      <c r="H148" s="75">
        <v>0</v>
      </c>
      <c r="I148" s="99">
        <f t="shared" si="71"/>
        <v>100.14045835233787</v>
      </c>
      <c r="J148" s="76">
        <f t="shared" si="73"/>
        <v>471.20925765689771</v>
      </c>
      <c r="K148" s="116">
        <f t="shared" si="62"/>
        <v>571.34971600923564</v>
      </c>
      <c r="L148" s="76">
        <f t="shared" si="72"/>
        <v>3111.65</v>
      </c>
      <c r="M148" s="117">
        <f t="shared" si="63"/>
        <v>3682.9997160092357</v>
      </c>
      <c r="N148" s="8">
        <f t="shared" si="64"/>
        <v>45436.275674589619</v>
      </c>
      <c r="O148" s="75">
        <f t="shared" si="65"/>
        <v>41753.27595858038</v>
      </c>
      <c r="P148" s="103"/>
      <c r="Q148" s="103"/>
      <c r="R148" s="103"/>
      <c r="S148" s="103"/>
      <c r="T148" s="103"/>
      <c r="U148" s="103"/>
      <c r="V148" s="103"/>
      <c r="W148" s="103"/>
      <c r="X148" s="103"/>
    </row>
    <row r="149" spans="1:24" x14ac:dyDescent="0.25">
      <c r="A149" s="17" t="s">
        <v>59</v>
      </c>
      <c r="B149" s="72" t="str">
        <f t="shared" si="66"/>
        <v>Q2/2018</v>
      </c>
      <c r="C149" s="73">
        <f t="shared" si="69"/>
        <v>43191</v>
      </c>
      <c r="D149" s="73">
        <f t="shared" si="70"/>
        <v>43281</v>
      </c>
      <c r="E149" s="72">
        <f t="shared" si="67"/>
        <v>91</v>
      </c>
      <c r="F149" s="74">
        <f>VLOOKUP(D149,'FERC Interest Rate'!$A:$B,2,TRUE)</f>
        <v>4.4699999999999997E-2</v>
      </c>
      <c r="G149" s="75">
        <f t="shared" si="68"/>
        <v>41753.27595858038</v>
      </c>
      <c r="H149" s="75">
        <v>0</v>
      </c>
      <c r="I149" s="99">
        <f t="shared" si="71"/>
        <v>100.14045835233787</v>
      </c>
      <c r="J149" s="76">
        <f t="shared" si="73"/>
        <v>465.31452223758197</v>
      </c>
      <c r="K149" s="116">
        <f t="shared" si="62"/>
        <v>565.45498058991984</v>
      </c>
      <c r="L149" s="76">
        <f t="shared" si="72"/>
        <v>3111.65</v>
      </c>
      <c r="M149" s="117">
        <f t="shared" si="63"/>
        <v>3677.1049805899202</v>
      </c>
      <c r="N149" s="8">
        <f t="shared" si="64"/>
        <v>42218.590480817962</v>
      </c>
      <c r="O149" s="75">
        <f t="shared" si="65"/>
        <v>38541.485500228038</v>
      </c>
      <c r="P149" s="103"/>
      <c r="Q149" s="103"/>
      <c r="R149" s="103"/>
      <c r="S149" s="103"/>
      <c r="T149" s="103"/>
      <c r="U149" s="103"/>
      <c r="V149" s="103"/>
      <c r="W149" s="103"/>
      <c r="X149" s="103"/>
    </row>
    <row r="150" spans="1:24" x14ac:dyDescent="0.25">
      <c r="A150" s="17" t="s">
        <v>60</v>
      </c>
      <c r="B150" s="72" t="str">
        <f t="shared" si="66"/>
        <v>Q3/2018</v>
      </c>
      <c r="C150" s="73">
        <f t="shared" si="69"/>
        <v>43282</v>
      </c>
      <c r="D150" s="73">
        <f t="shared" si="70"/>
        <v>43373</v>
      </c>
      <c r="E150" s="72">
        <f t="shared" si="67"/>
        <v>92</v>
      </c>
      <c r="F150" s="74">
        <f>VLOOKUP(D150,'FERC Interest Rate'!$A:$B,2,TRUE)</f>
        <v>4.6899999999999997E-2</v>
      </c>
      <c r="G150" s="75">
        <f t="shared" si="68"/>
        <v>38541.485500228038</v>
      </c>
      <c r="H150" s="75">
        <v>0</v>
      </c>
      <c r="I150" s="99">
        <f t="shared" si="71"/>
        <v>100.14045835233787</v>
      </c>
      <c r="J150" s="76">
        <f t="shared" si="73"/>
        <v>455.61315516817518</v>
      </c>
      <c r="K150" s="116">
        <f t="shared" si="62"/>
        <v>555.753613520513</v>
      </c>
      <c r="L150" s="76">
        <f t="shared" si="72"/>
        <v>3111.65</v>
      </c>
      <c r="M150" s="117">
        <f t="shared" si="63"/>
        <v>3667.4036135205133</v>
      </c>
      <c r="N150" s="8">
        <f t="shared" si="64"/>
        <v>38997.098655396214</v>
      </c>
      <c r="O150" s="75">
        <f t="shared" si="65"/>
        <v>35329.695041875697</v>
      </c>
      <c r="P150" s="103"/>
      <c r="Q150" s="103"/>
      <c r="R150" s="103"/>
      <c r="S150" s="103"/>
      <c r="T150" s="103"/>
      <c r="U150" s="103"/>
      <c r="V150" s="103"/>
      <c r="W150" s="103"/>
      <c r="X150" s="103"/>
    </row>
    <row r="151" spans="1:24" x14ac:dyDescent="0.25">
      <c r="A151" s="17" t="s">
        <v>61</v>
      </c>
      <c r="B151" s="72" t="str">
        <f t="shared" si="66"/>
        <v>Q4/2018</v>
      </c>
      <c r="C151" s="73">
        <f t="shared" si="69"/>
        <v>43374</v>
      </c>
      <c r="D151" s="73">
        <f t="shared" si="70"/>
        <v>43465</v>
      </c>
      <c r="E151" s="72">
        <f t="shared" si="67"/>
        <v>92</v>
      </c>
      <c r="F151" s="74">
        <f>VLOOKUP(D151,'FERC Interest Rate'!$A:$B,2,TRUE)</f>
        <v>4.9599999999999998E-2</v>
      </c>
      <c r="G151" s="75">
        <f t="shared" si="68"/>
        <v>35329.695041875697</v>
      </c>
      <c r="H151" s="75">
        <v>0</v>
      </c>
      <c r="I151" s="99">
        <f t="shared" si="71"/>
        <v>100.14045835233787</v>
      </c>
      <c r="J151" s="76">
        <f t="shared" si="73"/>
        <v>441.68894360297861</v>
      </c>
      <c r="K151" s="116">
        <f t="shared" si="62"/>
        <v>541.82940195531648</v>
      </c>
      <c r="L151" s="76">
        <f t="shared" si="72"/>
        <v>3111.65</v>
      </c>
      <c r="M151" s="117">
        <f t="shared" si="63"/>
        <v>3653.4794019553165</v>
      </c>
      <c r="N151" s="8">
        <f t="shared" si="64"/>
        <v>35771.383985478678</v>
      </c>
      <c r="O151" s="75">
        <f t="shared" si="65"/>
        <v>32117.904583523359</v>
      </c>
      <c r="P151" s="103"/>
      <c r="Q151" s="103"/>
      <c r="R151" s="103"/>
      <c r="S151" s="103"/>
      <c r="T151" s="103"/>
      <c r="U151" s="103"/>
      <c r="V151" s="103"/>
      <c r="W151" s="103"/>
      <c r="X151" s="103"/>
    </row>
    <row r="152" spans="1:24" x14ac:dyDescent="0.25">
      <c r="A152" s="17" t="s">
        <v>62</v>
      </c>
      <c r="B152" s="72" t="str">
        <f t="shared" si="66"/>
        <v>Q1/2019</v>
      </c>
      <c r="C152" s="73">
        <f t="shared" si="69"/>
        <v>43466</v>
      </c>
      <c r="D152" s="73">
        <f t="shared" si="70"/>
        <v>43555</v>
      </c>
      <c r="E152" s="72">
        <f t="shared" si="67"/>
        <v>90</v>
      </c>
      <c r="F152" s="74">
        <f>VLOOKUP(D152,'FERC Interest Rate'!$A:$B,2,TRUE)</f>
        <v>5.1799999999999999E-2</v>
      </c>
      <c r="G152" s="75">
        <f t="shared" si="68"/>
        <v>32117.904583523359</v>
      </c>
      <c r="H152" s="75">
        <v>0</v>
      </c>
      <c r="I152" s="99">
        <f t="shared" si="71"/>
        <v>100.14045835233787</v>
      </c>
      <c r="J152" s="76">
        <f t="shared" si="73"/>
        <v>410.2292360777696</v>
      </c>
      <c r="K152" s="116">
        <f t="shared" si="62"/>
        <v>510.36969443010747</v>
      </c>
      <c r="L152" s="76">
        <f t="shared" si="72"/>
        <v>3111.65</v>
      </c>
      <c r="M152" s="117">
        <f t="shared" si="63"/>
        <v>3622.0196944301074</v>
      </c>
      <c r="N152" s="8">
        <f t="shared" si="64"/>
        <v>32528.133819601127</v>
      </c>
      <c r="O152" s="75">
        <f t="shared" si="65"/>
        <v>28906.114125171021</v>
      </c>
      <c r="P152" s="103"/>
      <c r="Q152" s="103"/>
      <c r="R152" s="103"/>
      <c r="S152" s="103"/>
      <c r="T152" s="103"/>
      <c r="U152" s="103"/>
      <c r="V152" s="103"/>
      <c r="W152" s="103"/>
      <c r="X152" s="103"/>
    </row>
    <row r="153" spans="1:24" x14ac:dyDescent="0.25">
      <c r="A153" s="17" t="s">
        <v>63</v>
      </c>
      <c r="B153" s="72" t="str">
        <f t="shared" si="66"/>
        <v>Q2/2019</v>
      </c>
      <c r="C153" s="73">
        <f t="shared" si="69"/>
        <v>43556</v>
      </c>
      <c r="D153" s="73">
        <f t="shared" si="70"/>
        <v>43646</v>
      </c>
      <c r="E153" s="72">
        <f t="shared" si="67"/>
        <v>91</v>
      </c>
      <c r="F153" s="74">
        <f>VLOOKUP(D153,'FERC Interest Rate'!$A:$B,2,TRUE)</f>
        <v>5.45E-2</v>
      </c>
      <c r="G153" s="75">
        <f t="shared" si="68"/>
        <v>28906.114125171021</v>
      </c>
      <c r="H153" s="75">
        <v>0</v>
      </c>
      <c r="I153" s="99">
        <f t="shared" si="71"/>
        <v>100.14045835233787</v>
      </c>
      <c r="J153" s="76">
        <f t="shared" si="73"/>
        <v>392.76677535283744</v>
      </c>
      <c r="K153" s="116">
        <f t="shared" si="62"/>
        <v>492.90723370517532</v>
      </c>
      <c r="L153" s="76">
        <f t="shared" si="72"/>
        <v>3111.65</v>
      </c>
      <c r="M153" s="117">
        <f t="shared" si="63"/>
        <v>3604.5572337051753</v>
      </c>
      <c r="N153" s="8">
        <f t="shared" si="64"/>
        <v>29298.880900523858</v>
      </c>
      <c r="O153" s="75">
        <f t="shared" si="65"/>
        <v>25694.323666818684</v>
      </c>
      <c r="P153" s="103"/>
      <c r="Q153" s="103"/>
      <c r="R153" s="103"/>
      <c r="S153" s="103"/>
      <c r="T153" s="103"/>
      <c r="U153" s="103"/>
      <c r="V153" s="103"/>
      <c r="W153" s="103"/>
      <c r="X153" s="103"/>
    </row>
    <row r="154" spans="1:24" x14ac:dyDescent="0.25">
      <c r="A154" s="17" t="s">
        <v>64</v>
      </c>
      <c r="B154" s="72" t="str">
        <f t="shared" si="66"/>
        <v>Q3/2019</v>
      </c>
      <c r="C154" s="73">
        <f t="shared" si="69"/>
        <v>43647</v>
      </c>
      <c r="D154" s="73">
        <f t="shared" si="70"/>
        <v>43738</v>
      </c>
      <c r="E154" s="72">
        <f t="shared" si="67"/>
        <v>92</v>
      </c>
      <c r="F154" s="74">
        <f>VLOOKUP(D154,'FERC Interest Rate'!$A:$B,2,TRUE)</f>
        <v>5.5E-2</v>
      </c>
      <c r="G154" s="75">
        <f t="shared" si="68"/>
        <v>25694.323666818684</v>
      </c>
      <c r="H154" s="75">
        <v>0</v>
      </c>
      <c r="I154" s="99">
        <f t="shared" si="71"/>
        <v>100.14045835233787</v>
      </c>
      <c r="J154" s="76">
        <f t="shared" si="73"/>
        <v>356.20076097014402</v>
      </c>
      <c r="K154" s="116">
        <f t="shared" si="62"/>
        <v>456.34121932248189</v>
      </c>
      <c r="L154" s="76">
        <f t="shared" si="72"/>
        <v>3111.65</v>
      </c>
      <c r="M154" s="117">
        <f t="shared" si="63"/>
        <v>3567.9912193224818</v>
      </c>
      <c r="N154" s="8">
        <f t="shared" si="64"/>
        <v>26050.524427788827</v>
      </c>
      <c r="O154" s="75">
        <f t="shared" si="65"/>
        <v>22482.533208466346</v>
      </c>
      <c r="P154" s="103"/>
      <c r="Q154" s="103"/>
      <c r="R154" s="103"/>
      <c r="S154" s="103"/>
      <c r="T154" s="103"/>
      <c r="U154" s="103"/>
      <c r="V154" s="103"/>
      <c r="W154" s="103"/>
      <c r="X154" s="103"/>
    </row>
    <row r="155" spans="1:24" x14ac:dyDescent="0.25">
      <c r="A155" s="17" t="s">
        <v>65</v>
      </c>
      <c r="B155" s="72" t="str">
        <f t="shared" si="66"/>
        <v>Q4/2019</v>
      </c>
      <c r="C155" s="73">
        <f t="shared" si="69"/>
        <v>43739</v>
      </c>
      <c r="D155" s="73">
        <f t="shared" si="70"/>
        <v>43830</v>
      </c>
      <c r="E155" s="72">
        <f t="shared" si="67"/>
        <v>92</v>
      </c>
      <c r="F155" s="74">
        <f>VLOOKUP(D155,'FERC Interest Rate'!$A:$B,2,TRUE)</f>
        <v>5.4199999999999998E-2</v>
      </c>
      <c r="G155" s="75">
        <f t="shared" si="68"/>
        <v>22482.533208466346</v>
      </c>
      <c r="H155" s="75">
        <v>0</v>
      </c>
      <c r="I155" s="99">
        <f t="shared" si="71"/>
        <v>100.14045835233787</v>
      </c>
      <c r="J155" s="76">
        <f t="shared" si="73"/>
        <v>307.1422016183468</v>
      </c>
      <c r="K155" s="116">
        <f t="shared" si="62"/>
        <v>407.28265997068468</v>
      </c>
      <c r="L155" s="76">
        <f t="shared" si="72"/>
        <v>3111.65</v>
      </c>
      <c r="M155" s="117">
        <f t="shared" si="63"/>
        <v>3518.9326599706847</v>
      </c>
      <c r="N155" s="8">
        <f t="shared" si="64"/>
        <v>22789.675410084692</v>
      </c>
      <c r="O155" s="75">
        <f t="shared" si="65"/>
        <v>19270.742750114008</v>
      </c>
      <c r="P155" s="103"/>
      <c r="Q155" s="103"/>
      <c r="R155" s="103"/>
      <c r="S155" s="103"/>
      <c r="T155" s="103"/>
      <c r="U155" s="103"/>
      <c r="V155" s="103"/>
      <c r="W155" s="103"/>
      <c r="X155" s="103"/>
    </row>
    <row r="156" spans="1:24" x14ac:dyDescent="0.25">
      <c r="A156" s="17" t="s">
        <v>66</v>
      </c>
      <c r="B156" s="72" t="str">
        <f t="shared" si="66"/>
        <v>Q1/2020</v>
      </c>
      <c r="C156" s="73">
        <f t="shared" si="69"/>
        <v>43831</v>
      </c>
      <c r="D156" s="73">
        <f t="shared" si="70"/>
        <v>43921</v>
      </c>
      <c r="E156" s="72">
        <f t="shared" si="67"/>
        <v>91</v>
      </c>
      <c r="F156" s="74">
        <f>VLOOKUP(D156,'FERC Interest Rate'!$A:$B,2,TRUE)</f>
        <v>4.9599999999999998E-2</v>
      </c>
      <c r="G156" s="75">
        <f t="shared" si="68"/>
        <v>19270.742750114008</v>
      </c>
      <c r="H156" s="75">
        <v>0</v>
      </c>
      <c r="I156" s="99">
        <f t="shared" si="71"/>
        <v>100.14045835233787</v>
      </c>
      <c r="J156" s="76">
        <f t="shared" si="73"/>
        <v>237.65143299703439</v>
      </c>
      <c r="K156" s="116">
        <f t="shared" si="62"/>
        <v>337.79189134937224</v>
      </c>
      <c r="L156" s="76">
        <f t="shared" si="72"/>
        <v>3111.65</v>
      </c>
      <c r="M156" s="117">
        <f t="shared" si="63"/>
        <v>3449.4418913493723</v>
      </c>
      <c r="N156" s="8">
        <f t="shared" si="64"/>
        <v>19508.394183111042</v>
      </c>
      <c r="O156" s="75">
        <f t="shared" si="65"/>
        <v>16058.95229176167</v>
      </c>
      <c r="P156" s="103"/>
      <c r="Q156" s="103"/>
      <c r="R156" s="103"/>
      <c r="S156" s="103"/>
      <c r="T156" s="103"/>
      <c r="U156" s="103"/>
      <c r="V156" s="103"/>
      <c r="W156" s="103"/>
      <c r="X156" s="103"/>
    </row>
    <row r="157" spans="1:24" x14ac:dyDescent="0.25">
      <c r="A157" s="17" t="s">
        <v>67</v>
      </c>
      <c r="B157" s="72" t="str">
        <f t="shared" si="66"/>
        <v>Q2/2020</v>
      </c>
      <c r="C157" s="73">
        <f t="shared" si="69"/>
        <v>43922</v>
      </c>
      <c r="D157" s="73">
        <f t="shared" si="70"/>
        <v>44012</v>
      </c>
      <c r="E157" s="72">
        <f t="shared" si="67"/>
        <v>91</v>
      </c>
      <c r="F157" s="74">
        <f>VLOOKUP(D157,'FERC Interest Rate'!$A:$B,2,TRUE)</f>
        <v>4.7503500000000004E-2</v>
      </c>
      <c r="G157" s="75">
        <f t="shared" si="68"/>
        <v>16058.95229176167</v>
      </c>
      <c r="H157" s="75">
        <v>0</v>
      </c>
      <c r="I157" s="99">
        <f t="shared" si="71"/>
        <v>100.14045835233787</v>
      </c>
      <c r="J157" s="76">
        <f t="shared" si="73"/>
        <v>189.67195644110589</v>
      </c>
      <c r="K157" s="116">
        <f t="shared" si="62"/>
        <v>289.81241479344374</v>
      </c>
      <c r="L157" s="76">
        <f t="shared" si="72"/>
        <v>3111.65</v>
      </c>
      <c r="M157" s="117">
        <f t="shared" si="63"/>
        <v>3401.4624147934437</v>
      </c>
      <c r="N157" s="8">
        <f t="shared" si="64"/>
        <v>16248.624248202776</v>
      </c>
      <c r="O157" s="75">
        <f t="shared" si="65"/>
        <v>12847.161833409333</v>
      </c>
      <c r="P157" s="103"/>
      <c r="Q157" s="103"/>
      <c r="R157" s="103"/>
      <c r="S157" s="103"/>
      <c r="T157" s="103"/>
      <c r="U157" s="103"/>
      <c r="V157" s="103"/>
      <c r="W157" s="103"/>
      <c r="X157" s="103"/>
    </row>
    <row r="158" spans="1:24" x14ac:dyDescent="0.25">
      <c r="A158" s="17" t="s">
        <v>68</v>
      </c>
      <c r="B158" s="72" t="str">
        <f t="shared" si="66"/>
        <v>Q3/2020</v>
      </c>
      <c r="C158" s="73">
        <f t="shared" si="69"/>
        <v>44013</v>
      </c>
      <c r="D158" s="73">
        <f t="shared" si="70"/>
        <v>44104</v>
      </c>
      <c r="E158" s="72">
        <f t="shared" si="67"/>
        <v>92</v>
      </c>
      <c r="F158" s="74">
        <f>VLOOKUP(D158,'FERC Interest Rate'!$A:$B,2,TRUE)</f>
        <v>4.7507929999999997E-2</v>
      </c>
      <c r="G158" s="75">
        <f t="shared" si="68"/>
        <v>12847.161833409333</v>
      </c>
      <c r="H158" s="75">
        <v>0</v>
      </c>
      <c r="I158" s="99">
        <f t="shared" si="71"/>
        <v>100.14045835233787</v>
      </c>
      <c r="J158" s="76">
        <f t="shared" si="73"/>
        <v>153.41931690542611</v>
      </c>
      <c r="K158" s="116">
        <f t="shared" si="62"/>
        <v>253.55977525776399</v>
      </c>
      <c r="L158" s="76">
        <f t="shared" si="72"/>
        <v>3111.65</v>
      </c>
      <c r="M158" s="117">
        <f t="shared" si="63"/>
        <v>3365.2097752577642</v>
      </c>
      <c r="N158" s="8">
        <f t="shared" si="64"/>
        <v>13000.58115031476</v>
      </c>
      <c r="O158" s="75">
        <f t="shared" si="65"/>
        <v>9635.371375056995</v>
      </c>
      <c r="P158" s="103"/>
      <c r="Q158" s="103"/>
      <c r="R158" s="103"/>
      <c r="S158" s="103"/>
      <c r="T158" s="103"/>
      <c r="U158" s="103"/>
      <c r="V158" s="103"/>
      <c r="W158" s="103"/>
      <c r="X158" s="103"/>
    </row>
    <row r="159" spans="1:24" x14ac:dyDescent="0.25">
      <c r="A159" s="17" t="s">
        <v>69</v>
      </c>
      <c r="B159" s="72" t="str">
        <f t="shared" si="66"/>
        <v>Q4/2020</v>
      </c>
      <c r="C159" s="73">
        <f t="shared" si="69"/>
        <v>44105</v>
      </c>
      <c r="D159" s="73">
        <f t="shared" si="70"/>
        <v>44196</v>
      </c>
      <c r="E159" s="72">
        <f t="shared" si="67"/>
        <v>92</v>
      </c>
      <c r="F159" s="74">
        <f>VLOOKUP(D159,'FERC Interest Rate'!$A:$B,2,TRUE)</f>
        <v>4.7922320000000004E-2</v>
      </c>
      <c r="G159" s="75">
        <f t="shared" si="68"/>
        <v>9635.371375056995</v>
      </c>
      <c r="H159" s="75">
        <v>0</v>
      </c>
      <c r="I159" s="99">
        <f t="shared" si="71"/>
        <v>100.14045835233787</v>
      </c>
      <c r="J159" s="76">
        <f t="shared" si="73"/>
        <v>116.06814271201522</v>
      </c>
      <c r="K159" s="116">
        <f t="shared" si="62"/>
        <v>216.2086010643531</v>
      </c>
      <c r="L159" s="76">
        <f t="shared" si="72"/>
        <v>3111.65</v>
      </c>
      <c r="M159" s="117">
        <f t="shared" si="63"/>
        <v>3327.858601064353</v>
      </c>
      <c r="N159" s="8">
        <f t="shared" si="64"/>
        <v>9751.4395177690094</v>
      </c>
      <c r="O159" s="75">
        <f t="shared" si="65"/>
        <v>6423.5809167046573</v>
      </c>
      <c r="P159" s="103"/>
      <c r="Q159" s="103"/>
      <c r="R159" s="103"/>
      <c r="S159" s="103"/>
      <c r="T159" s="103"/>
      <c r="U159" s="103"/>
      <c r="V159" s="103"/>
      <c r="W159" s="103"/>
      <c r="X159" s="103"/>
    </row>
    <row r="160" spans="1:24" x14ac:dyDescent="0.25">
      <c r="A160" s="17" t="s">
        <v>70</v>
      </c>
      <c r="B160" s="72" t="str">
        <f t="shared" si="66"/>
        <v>Q1/2021</v>
      </c>
      <c r="C160" s="73">
        <f t="shared" si="69"/>
        <v>44197</v>
      </c>
      <c r="D160" s="73">
        <f t="shared" si="70"/>
        <v>44286</v>
      </c>
      <c r="E160" s="72">
        <f t="shared" si="67"/>
        <v>90</v>
      </c>
      <c r="F160" s="74">
        <f>VLOOKUP(D160,'FERC Interest Rate'!$A:$B,2,TRUE)</f>
        <v>5.0023470000000007E-2</v>
      </c>
      <c r="G160" s="75">
        <f t="shared" si="68"/>
        <v>6423.5809167046573</v>
      </c>
      <c r="H160" s="75">
        <v>0</v>
      </c>
      <c r="I160" s="99">
        <f t="shared" si="71"/>
        <v>100.14045835233787</v>
      </c>
      <c r="J160" s="76">
        <f t="shared" si="73"/>
        <v>79.232007274359773</v>
      </c>
      <c r="K160" s="116">
        <f t="shared" si="62"/>
        <v>179.37246562669765</v>
      </c>
      <c r="L160" s="76">
        <f t="shared" si="72"/>
        <v>3111.65</v>
      </c>
      <c r="M160" s="117">
        <f t="shared" si="63"/>
        <v>3291.0224656266978</v>
      </c>
      <c r="N160" s="8">
        <f t="shared" si="64"/>
        <v>6502.8129239790169</v>
      </c>
      <c r="O160" s="75">
        <f t="shared" si="65"/>
        <v>3211.7904583523195</v>
      </c>
      <c r="P160" s="103"/>
      <c r="Q160" s="103"/>
      <c r="R160" s="103"/>
      <c r="S160" s="103"/>
      <c r="T160" s="103"/>
      <c r="U160" s="103"/>
      <c r="V160" s="103"/>
      <c r="W160" s="103"/>
      <c r="X160" s="103"/>
    </row>
    <row r="161" spans="1:24" x14ac:dyDescent="0.25">
      <c r="A161" s="17" t="s">
        <v>71</v>
      </c>
      <c r="B161" s="72" t="str">
        <f t="shared" si="66"/>
        <v>Q2/2021</v>
      </c>
      <c r="C161" s="73">
        <f t="shared" si="69"/>
        <v>44287</v>
      </c>
      <c r="D161" s="73">
        <f t="shared" si="70"/>
        <v>44377</v>
      </c>
      <c r="E161" s="72">
        <f t="shared" si="67"/>
        <v>91</v>
      </c>
      <c r="F161" s="74">
        <f>VLOOKUP(D161,'FERC Interest Rate'!$A:$B,2,TRUE)</f>
        <v>5.0403730000000001E-2</v>
      </c>
      <c r="G161" s="75">
        <f t="shared" si="68"/>
        <v>3211.7904583523195</v>
      </c>
      <c r="H161" s="75">
        <v>0</v>
      </c>
      <c r="I161" s="99">
        <f t="shared" si="71"/>
        <v>100.14045835233787</v>
      </c>
      <c r="J161" s="76">
        <f t="shared" si="73"/>
        <v>40.360673797869467</v>
      </c>
      <c r="K161" s="116">
        <f t="shared" si="62"/>
        <v>140.50113215020735</v>
      </c>
      <c r="L161" s="76">
        <f t="shared" si="72"/>
        <v>3111.65</v>
      </c>
      <c r="M161" s="117">
        <f t="shared" si="63"/>
        <v>3252.1511321502076</v>
      </c>
      <c r="N161" s="8">
        <f t="shared" si="64"/>
        <v>3252.1511321501889</v>
      </c>
      <c r="O161" s="75">
        <f t="shared" si="65"/>
        <v>-1.8417267710901797E-11</v>
      </c>
      <c r="P161" s="103"/>
      <c r="Q161" s="103"/>
      <c r="R161" s="103"/>
      <c r="S161" s="103"/>
      <c r="T161" s="103"/>
      <c r="U161" s="103"/>
      <c r="V161" s="103"/>
      <c r="W161" s="103"/>
      <c r="X161" s="103"/>
    </row>
    <row r="162" spans="1:24" x14ac:dyDescent="0.25">
      <c r="B162" s="72"/>
      <c r="C162" s="73"/>
      <c r="D162" s="73"/>
      <c r="E162" s="72"/>
      <c r="F162" s="74"/>
      <c r="G162" s="75"/>
      <c r="H162" s="75"/>
      <c r="I162" s="99"/>
      <c r="J162" s="76"/>
      <c r="K162" s="103"/>
      <c r="L162" s="76"/>
      <c r="M162" s="118"/>
      <c r="N162" s="103"/>
      <c r="O162" s="75"/>
      <c r="P162" s="103"/>
      <c r="Q162" s="103"/>
      <c r="R162" s="103"/>
      <c r="S162" s="103"/>
      <c r="T162" s="103"/>
      <c r="U162" s="103"/>
      <c r="V162" s="103"/>
      <c r="W162" s="103"/>
      <c r="X162" s="103"/>
    </row>
    <row r="163" spans="1:24" ht="13.5" thickBot="1" x14ac:dyDescent="0.35">
      <c r="A163" s="142"/>
      <c r="B163" s="143"/>
      <c r="C163" s="144"/>
      <c r="D163" s="144"/>
      <c r="E163" s="145"/>
      <c r="F163" s="143"/>
      <c r="G163" s="124">
        <f t="shared" ref="G163:O163" si="74">SUM(G139:G162)</f>
        <v>882867.96636664274</v>
      </c>
      <c r="H163" s="124">
        <f t="shared" si="74"/>
        <v>2002.8091670467575</v>
      </c>
      <c r="I163" s="125">
        <f t="shared" si="74"/>
        <v>2002.8091670467575</v>
      </c>
      <c r="J163" s="124">
        <f t="shared" si="74"/>
        <v>6869.6571124026123</v>
      </c>
      <c r="K163" s="124">
        <f t="shared" si="74"/>
        <v>9996.8420165187563</v>
      </c>
      <c r="L163" s="124">
        <f t="shared" si="74"/>
        <v>62233.000000000022</v>
      </c>
      <c r="M163" s="126">
        <f t="shared" si="74"/>
        <v>71105.466279449363</v>
      </c>
      <c r="N163" s="124">
        <f t="shared" si="74"/>
        <v>891740.43264609191</v>
      </c>
      <c r="O163" s="124">
        <f t="shared" si="74"/>
        <v>820634.96636664262</v>
      </c>
      <c r="P163" s="103"/>
      <c r="Q163" s="103"/>
      <c r="R163" s="103"/>
      <c r="S163" s="103"/>
      <c r="T163" s="103"/>
      <c r="U163" s="103"/>
      <c r="V163" s="103"/>
      <c r="W163" s="103"/>
      <c r="X163" s="103"/>
    </row>
    <row r="164" spans="1:24" ht="13" thickTop="1" x14ac:dyDescent="0.25">
      <c r="B164" s="11"/>
      <c r="C164" s="111"/>
      <c r="D164" s="111"/>
      <c r="E164" s="10"/>
      <c r="F164" s="11"/>
      <c r="G164" s="76"/>
      <c r="H164" s="58"/>
      <c r="I164" s="101"/>
      <c r="J164" s="76"/>
      <c r="K164" s="103"/>
      <c r="L164" s="58"/>
      <c r="M164" s="118"/>
      <c r="N164" s="103"/>
      <c r="O164" s="103"/>
      <c r="P164" s="103"/>
      <c r="Q164" s="103"/>
      <c r="R164" s="103"/>
      <c r="S164" s="103"/>
      <c r="T164" s="103"/>
      <c r="U164" s="103"/>
      <c r="V164" s="103"/>
      <c r="W164" s="103"/>
      <c r="X164" s="103"/>
    </row>
    <row r="165" spans="1:24" ht="37" x14ac:dyDescent="0.3">
      <c r="A165" s="77" t="s">
        <v>51</v>
      </c>
      <c r="B165" s="77" t="s">
        <v>3</v>
      </c>
      <c r="C165" s="77" t="s">
        <v>4</v>
      </c>
      <c r="D165" s="77" t="s">
        <v>5</v>
      </c>
      <c r="E165" s="77" t="s">
        <v>6</v>
      </c>
      <c r="F165" s="77" t="s">
        <v>7</v>
      </c>
      <c r="G165" s="77" t="s">
        <v>78</v>
      </c>
      <c r="H165" s="77" t="s">
        <v>79</v>
      </c>
      <c r="I165" s="94" t="s">
        <v>80</v>
      </c>
      <c r="J165" s="95" t="s">
        <v>81</v>
      </c>
      <c r="K165" s="95" t="s">
        <v>82</v>
      </c>
      <c r="L165" s="95" t="s">
        <v>83</v>
      </c>
      <c r="M165" s="96" t="s">
        <v>73</v>
      </c>
      <c r="N165" s="77" t="s">
        <v>84</v>
      </c>
      <c r="O165" s="77" t="s">
        <v>85</v>
      </c>
      <c r="P165" s="103"/>
      <c r="Q165" s="103"/>
      <c r="R165" s="103"/>
      <c r="S165" s="103"/>
      <c r="T165" s="103"/>
      <c r="U165" s="103"/>
      <c r="V165" s="103"/>
      <c r="W165" s="103"/>
      <c r="X165" s="103"/>
    </row>
    <row r="166" spans="1:24" ht="13" x14ac:dyDescent="0.3">
      <c r="A166" s="110" t="s">
        <v>40</v>
      </c>
      <c r="B166" s="141" t="s">
        <v>56</v>
      </c>
      <c r="C166" s="73">
        <f>VLOOKUP(B166,A$1:F$26,2,FALSE)</f>
        <v>42298</v>
      </c>
      <c r="D166" s="73">
        <f>DATE(YEAR(C166),IF(MONTH(C166)&lt;=3,3,IF(MONTH(C166)&lt;=6,6,IF(MONTH(C166)&lt;=9,9,12))),IF(OR(MONTH(C166)&lt;=3,MONTH(C166)&gt;=10),31,30))</f>
        <v>42369</v>
      </c>
      <c r="E166" s="72">
        <f>D166-C166+1</f>
        <v>72</v>
      </c>
      <c r="F166" s="74">
        <f>VLOOKUP(D166,'FERC Interest Rate'!$A:$B,2,TRUE)</f>
        <v>3.2500000000000001E-2</v>
      </c>
      <c r="G166" s="75">
        <f>VLOOKUP(B166,$A$1:$F$26,5,FALSE)</f>
        <v>21576.165987209733</v>
      </c>
      <c r="H166" s="75">
        <f>G166*F166*(E166/(DATE(YEAR(D166),12,31)-DATE(YEAR(D166),1,1)+1))</f>
        <v>138.32391345224872</v>
      </c>
      <c r="I166" s="180">
        <v>0</v>
      </c>
      <c r="J166" s="76">
        <v>0</v>
      </c>
      <c r="K166" s="116">
        <f t="shared" ref="K166:K188" si="75">+SUM(I166:J166)</f>
        <v>0</v>
      </c>
      <c r="L166" s="76">
        <v>0</v>
      </c>
      <c r="M166" s="117">
        <f t="shared" ref="M166:M188" si="76">+SUM(K166:L166)</f>
        <v>0</v>
      </c>
      <c r="N166" s="8">
        <f t="shared" ref="N166:N188" si="77">+G166+H166+J166</f>
        <v>21714.489900661982</v>
      </c>
      <c r="O166" s="75">
        <f t="shared" ref="O166:O188" si="78">G166+H166-L166-I166</f>
        <v>21714.489900661982</v>
      </c>
      <c r="P166" s="103"/>
      <c r="Q166" s="103"/>
      <c r="R166" s="103"/>
      <c r="S166" s="103"/>
      <c r="T166" s="103"/>
      <c r="U166" s="103"/>
      <c r="V166" s="103"/>
      <c r="W166" s="103"/>
      <c r="X166" s="103"/>
    </row>
    <row r="167" spans="1:24" x14ac:dyDescent="0.25">
      <c r="A167" s="78" t="s">
        <v>21</v>
      </c>
      <c r="B167" s="72" t="str">
        <f>+IF(MONTH(C167)&lt;4,"Q1",IF(MONTH(C167)&lt;7,"Q2",IF(MONTH(C167)&lt;10,"Q3","Q4")))&amp;"/"&amp;YEAR(C167)</f>
        <v>Q1/2016</v>
      </c>
      <c r="C167" s="73">
        <f>D166+1</f>
        <v>42370</v>
      </c>
      <c r="D167" s="73">
        <f>EOMONTH(D166,3)</f>
        <v>42460</v>
      </c>
      <c r="E167" s="72">
        <f t="shared" ref="E167:E188" si="79">D167-C167+1</f>
        <v>91</v>
      </c>
      <c r="F167" s="74">
        <f>VLOOKUP(D167,'FERC Interest Rate'!$A:$B,2,TRUE)</f>
        <v>3.2500000000000001E-2</v>
      </c>
      <c r="G167" s="75">
        <f t="shared" ref="G167:G188" si="80">O166</f>
        <v>21714.489900661982</v>
      </c>
      <c r="H167" s="75">
        <f>G167*F167*(E167/(DATE(YEAR(D167),12,31)-DATE(YEAR(D167),1,1)+1))</f>
        <v>175.46613082297216</v>
      </c>
      <c r="I167" s="180">
        <v>0</v>
      </c>
      <c r="J167" s="76">
        <v>0</v>
      </c>
      <c r="K167" s="116">
        <f t="shared" si="75"/>
        <v>0</v>
      </c>
      <c r="L167" s="76">
        <v>0</v>
      </c>
      <c r="M167" s="117">
        <f t="shared" si="76"/>
        <v>0</v>
      </c>
      <c r="N167" s="8">
        <f t="shared" si="77"/>
        <v>21889.956031484955</v>
      </c>
      <c r="O167" s="75">
        <f t="shared" si="78"/>
        <v>21889.956031484955</v>
      </c>
      <c r="P167" s="103"/>
      <c r="Q167" s="103"/>
      <c r="R167" s="103"/>
      <c r="S167" s="103"/>
      <c r="T167" s="103"/>
      <c r="U167" s="103"/>
      <c r="V167" s="103"/>
      <c r="W167" s="103"/>
      <c r="X167" s="103"/>
    </row>
    <row r="168" spans="1:24" x14ac:dyDescent="0.25">
      <c r="A168" s="78" t="s">
        <v>21</v>
      </c>
      <c r="B168" s="72" t="str">
        <f>+IF(MONTH(C168)&lt;4,"Q1",IF(MONTH(C168)&lt;7,"Q2",IF(MONTH(C168)&lt;10,"Q3","Q4")))&amp;"/"&amp;YEAR(C168)</f>
        <v>Q2/2016</v>
      </c>
      <c r="C168" s="73">
        <f t="shared" ref="C168:C188" si="81">D167+1</f>
        <v>42461</v>
      </c>
      <c r="D168" s="73">
        <f t="shared" ref="D168:D188" si="82">EOMONTH(D167,3)</f>
        <v>42551</v>
      </c>
      <c r="E168" s="72">
        <f t="shared" si="79"/>
        <v>91</v>
      </c>
      <c r="F168" s="74">
        <f>VLOOKUP(D168,'FERC Interest Rate'!$A:$B,2,TRUE)</f>
        <v>3.4599999999999999E-2</v>
      </c>
      <c r="G168" s="75">
        <f t="shared" si="80"/>
        <v>21889.956031484955</v>
      </c>
      <c r="H168" s="75">
        <f>G168*F168*(E168/(DATE(YEAR(D168),12,31)-DATE(YEAR(D168),1,1)+1))</f>
        <v>188.31343049380746</v>
      </c>
      <c r="I168" s="180">
        <v>0</v>
      </c>
      <c r="J168" s="76">
        <v>0</v>
      </c>
      <c r="K168" s="116">
        <f t="shared" si="75"/>
        <v>0</v>
      </c>
      <c r="L168" s="76">
        <v>0</v>
      </c>
      <c r="M168" s="117">
        <f t="shared" si="76"/>
        <v>0</v>
      </c>
      <c r="N168" s="8">
        <f t="shared" si="77"/>
        <v>22078.269461978762</v>
      </c>
      <c r="O168" s="75">
        <f t="shared" si="78"/>
        <v>22078.269461978762</v>
      </c>
      <c r="P168" s="103"/>
      <c r="Q168" s="103"/>
      <c r="R168" s="103"/>
      <c r="S168" s="103"/>
      <c r="T168" s="103"/>
      <c r="U168" s="103"/>
      <c r="V168" s="103"/>
      <c r="W168" s="103"/>
      <c r="X168" s="103"/>
    </row>
    <row r="169" spans="1:24" x14ac:dyDescent="0.25">
      <c r="A169" s="78" t="s">
        <v>21</v>
      </c>
      <c r="B169" s="72" t="str">
        <f>+IF(MONTH(C169)&lt;4,"Q1",IF(MONTH(C169)&lt;7,"Q2",IF(MONTH(C169)&lt;10,"Q3","Q4")))&amp;"/"&amp;YEAR(C169)</f>
        <v>Q3/2016</v>
      </c>
      <c r="C169" s="73">
        <f t="shared" si="81"/>
        <v>42552</v>
      </c>
      <c r="D169" s="73">
        <f t="shared" si="82"/>
        <v>42643</v>
      </c>
      <c r="E169" s="72">
        <f t="shared" si="79"/>
        <v>92</v>
      </c>
      <c r="F169" s="74">
        <f>VLOOKUP(D169,'FERC Interest Rate'!$A:$B,2,TRUE)</f>
        <v>3.5000000000000003E-2</v>
      </c>
      <c r="G169" s="75">
        <f t="shared" si="80"/>
        <v>22078.269461978762</v>
      </c>
      <c r="H169" s="75">
        <f>G169*F169*(E169/(DATE(YEAR(D169),12,31)-DATE(YEAR(D169),1,1)+1))</f>
        <v>194.24051275292791</v>
      </c>
      <c r="I169" s="180">
        <v>0</v>
      </c>
      <c r="J169" s="76">
        <v>0</v>
      </c>
      <c r="K169" s="116">
        <f t="shared" si="75"/>
        <v>0</v>
      </c>
      <c r="L169" s="76">
        <v>0</v>
      </c>
      <c r="M169" s="117">
        <f t="shared" si="76"/>
        <v>0</v>
      </c>
      <c r="N169" s="8">
        <f t="shared" si="77"/>
        <v>22272.509974731689</v>
      </c>
      <c r="O169" s="75">
        <f t="shared" si="78"/>
        <v>22272.509974731689</v>
      </c>
      <c r="P169" s="103"/>
      <c r="Q169" s="103"/>
      <c r="R169" s="103"/>
      <c r="S169" s="103"/>
      <c r="T169" s="103"/>
      <c r="U169" s="103"/>
      <c r="V169" s="103"/>
      <c r="W169" s="103"/>
      <c r="X169" s="103"/>
    </row>
    <row r="170" spans="1:24" x14ac:dyDescent="0.25">
      <c r="A170" s="78" t="s">
        <v>21</v>
      </c>
      <c r="B170" s="72" t="str">
        <f t="shared" ref="B170:B188" si="83">+IF(MONTH(C170)&lt;4,"Q1",IF(MONTH(C170)&lt;7,"Q2",IF(MONTH(C170)&lt;10,"Q3","Q4")))&amp;"/"&amp;YEAR(C170)</f>
        <v>Q4/2016</v>
      </c>
      <c r="C170" s="73">
        <f t="shared" si="81"/>
        <v>42644</v>
      </c>
      <c r="D170" s="73">
        <f t="shared" si="82"/>
        <v>42735</v>
      </c>
      <c r="E170" s="72">
        <f t="shared" si="79"/>
        <v>92</v>
      </c>
      <c r="F170" s="74">
        <f>VLOOKUP(D170,'FERC Interest Rate'!$A:$B,2,TRUE)</f>
        <v>3.5000000000000003E-2</v>
      </c>
      <c r="G170" s="75">
        <f t="shared" si="80"/>
        <v>22272.509974731689</v>
      </c>
      <c r="H170" s="75">
        <v>0</v>
      </c>
      <c r="I170" s="99">
        <v>0</v>
      </c>
      <c r="J170" s="76">
        <f>G170*F170*(E170/(DATE(YEAR(D170),12,31)-DATE(YEAR(D170),1,1)+1))</f>
        <v>195.94940469572691</v>
      </c>
      <c r="K170" s="116">
        <f t="shared" si="75"/>
        <v>195.94940469572691</v>
      </c>
      <c r="L170" s="76">
        <v>0</v>
      </c>
      <c r="M170" s="117">
        <v>0</v>
      </c>
      <c r="N170" s="8">
        <f t="shared" si="77"/>
        <v>22468.459379427415</v>
      </c>
      <c r="O170" s="75">
        <f>+N170-M170</f>
        <v>22468.459379427415</v>
      </c>
      <c r="P170" s="103"/>
      <c r="Q170" s="103"/>
      <c r="R170" s="103"/>
      <c r="S170" s="103"/>
      <c r="T170" s="103"/>
      <c r="U170" s="103"/>
      <c r="V170" s="103"/>
      <c r="W170" s="103"/>
      <c r="X170" s="103"/>
    </row>
    <row r="171" spans="1:24" x14ac:dyDescent="0.25">
      <c r="A171" s="78" t="s">
        <v>21</v>
      </c>
      <c r="B171" s="72" t="str">
        <f t="shared" si="83"/>
        <v>Q1/2017</v>
      </c>
      <c r="C171" s="73">
        <f t="shared" si="81"/>
        <v>42736</v>
      </c>
      <c r="D171" s="73">
        <f t="shared" si="82"/>
        <v>42825</v>
      </c>
      <c r="E171" s="72">
        <f t="shared" si="79"/>
        <v>90</v>
      </c>
      <c r="F171" s="74">
        <f>VLOOKUP(D171,'FERC Interest Rate'!$A:$B,2,TRUE)</f>
        <v>3.5000000000000003E-2</v>
      </c>
      <c r="G171" s="75">
        <f t="shared" si="80"/>
        <v>22468.459379427415</v>
      </c>
      <c r="H171" s="75">
        <v>0</v>
      </c>
      <c r="I171" s="99">
        <v>0</v>
      </c>
      <c r="J171" s="76">
        <f>G171*F171*(E171/(DATE(YEAR(D171),12,31)-DATE(YEAR(D171),1,1)+1))</f>
        <v>193.90588231560648</v>
      </c>
      <c r="K171" s="116">
        <f t="shared" si="75"/>
        <v>193.90588231560648</v>
      </c>
      <c r="L171" s="76">
        <v>0</v>
      </c>
      <c r="M171" s="117">
        <v>0</v>
      </c>
      <c r="N171" s="8">
        <f t="shared" si="77"/>
        <v>22662.36526174302</v>
      </c>
      <c r="O171" s="75">
        <f>+N171-M171</f>
        <v>22662.36526174302</v>
      </c>
      <c r="P171" s="103"/>
      <c r="Q171" s="103"/>
      <c r="R171" s="103"/>
      <c r="S171" s="103"/>
      <c r="T171" s="103"/>
      <c r="U171" s="103"/>
      <c r="V171" s="103"/>
      <c r="W171" s="103"/>
      <c r="X171" s="103"/>
    </row>
    <row r="172" spans="1:24" x14ac:dyDescent="0.25">
      <c r="A172" s="309" t="s">
        <v>101</v>
      </c>
      <c r="B172" s="72" t="str">
        <f t="shared" si="83"/>
        <v>Q2/2017</v>
      </c>
      <c r="C172" s="132">
        <f t="shared" si="81"/>
        <v>42826</v>
      </c>
      <c r="D172" s="132">
        <f t="shared" si="82"/>
        <v>42916</v>
      </c>
      <c r="E172" s="72">
        <f t="shared" si="79"/>
        <v>91</v>
      </c>
      <c r="F172" s="74">
        <f>VLOOKUP(D172,'FERC Interest Rate'!$A:$B,2,TRUE)</f>
        <v>3.7100000000000001E-2</v>
      </c>
      <c r="G172" s="75">
        <f t="shared" si="80"/>
        <v>22662.36526174302</v>
      </c>
      <c r="H172" s="75">
        <v>0</v>
      </c>
      <c r="I172" s="99">
        <f>(SUM($H$166:$H$189)/20)*4</f>
        <v>139.26879750439124</v>
      </c>
      <c r="J172" s="76">
        <f>G172*F172*(E172/(DATE(YEAR(D172),12,31)-DATE(YEAR(D172),1,1)+1))</f>
        <v>209.61756537033045</v>
      </c>
      <c r="K172" s="116">
        <f>+SUM(I170:J172)</f>
        <v>738.74164988605514</v>
      </c>
      <c r="L172" s="76">
        <f>+$G$166/20*4</f>
        <v>4315.2331974419467</v>
      </c>
      <c r="M172" s="117">
        <f>+SUM(K172:L172)</f>
        <v>5053.9748473280015</v>
      </c>
      <c r="N172" s="8">
        <f t="shared" si="77"/>
        <v>22871.982827113352</v>
      </c>
      <c r="O172" s="75">
        <f>+N172-M172</f>
        <v>17818.00797978535</v>
      </c>
      <c r="P172" s="103"/>
      <c r="Q172" s="103"/>
      <c r="R172" s="103"/>
      <c r="S172" s="103"/>
      <c r="T172" s="103"/>
      <c r="U172" s="103"/>
      <c r="V172" s="103"/>
      <c r="W172" s="103"/>
      <c r="X172" s="103"/>
    </row>
    <row r="173" spans="1:24" x14ac:dyDescent="0.25">
      <c r="A173" s="17" t="s">
        <v>56</v>
      </c>
      <c r="B173" s="72" t="str">
        <f t="shared" si="83"/>
        <v>Q3/2017</v>
      </c>
      <c r="C173" s="132">
        <f t="shared" si="81"/>
        <v>42917</v>
      </c>
      <c r="D173" s="132">
        <f t="shared" si="82"/>
        <v>43008</v>
      </c>
      <c r="E173" s="72">
        <f t="shared" si="79"/>
        <v>92</v>
      </c>
      <c r="F173" s="74">
        <f>VLOOKUP(D173,'FERC Interest Rate'!$A:$B,2,TRUE)</f>
        <v>3.9600000000000003E-2</v>
      </c>
      <c r="G173" s="75">
        <f t="shared" si="80"/>
        <v>17818.00797978535</v>
      </c>
      <c r="H173" s="75">
        <v>0</v>
      </c>
      <c r="I173" s="99">
        <f t="shared" ref="I173:I188" si="84">(SUM($H$166:$H$189)/20)</f>
        <v>34.817199376097811</v>
      </c>
      <c r="J173" s="76">
        <f>G173*F173*(E173/(DATE(YEAR(D173),12,31)-DATE(YEAR(D173),1,1)+1))</f>
        <v>177.8481278683671</v>
      </c>
      <c r="K173" s="116">
        <f>+SUM(I173:J173)</f>
        <v>212.66532724446492</v>
      </c>
      <c r="L173" s="76">
        <f t="shared" ref="L173:L188" si="85">+$G$166/20</f>
        <v>1078.8082993604867</v>
      </c>
      <c r="M173" s="117">
        <f>+SUM(K173:L173)</f>
        <v>1291.4736266049515</v>
      </c>
      <c r="N173" s="8">
        <f t="shared" si="77"/>
        <v>17995.856107653719</v>
      </c>
      <c r="O173" s="75">
        <f t="shared" si="78"/>
        <v>16704.382481048764</v>
      </c>
      <c r="P173" s="103"/>
      <c r="Q173" s="103"/>
      <c r="R173" s="103"/>
      <c r="S173" s="103"/>
      <c r="T173" s="103"/>
      <c r="U173" s="103"/>
      <c r="V173" s="103"/>
      <c r="W173" s="103"/>
      <c r="X173" s="103"/>
    </row>
    <row r="174" spans="1:24" x14ac:dyDescent="0.25">
      <c r="A174" s="17" t="s">
        <v>57</v>
      </c>
      <c r="B174" s="72" t="str">
        <f t="shared" si="83"/>
        <v>Q4/2017</v>
      </c>
      <c r="C174" s="73">
        <f t="shared" si="81"/>
        <v>43009</v>
      </c>
      <c r="D174" s="73">
        <f t="shared" si="82"/>
        <v>43100</v>
      </c>
      <c r="E174" s="72">
        <f t="shared" si="79"/>
        <v>92</v>
      </c>
      <c r="F174" s="74">
        <f>VLOOKUP(D174,'FERC Interest Rate'!$A:$B,2,TRUE)</f>
        <v>4.2099999999999999E-2</v>
      </c>
      <c r="G174" s="75">
        <f t="shared" si="80"/>
        <v>16704.382481048764</v>
      </c>
      <c r="H174" s="75">
        <v>0</v>
      </c>
      <c r="I174" s="99">
        <f t="shared" si="84"/>
        <v>34.817199376097811</v>
      </c>
      <c r="J174" s="76">
        <f t="shared" ref="J174:J188" si="86">G174*F174*(E174/(DATE(YEAR(D174),12,31)-DATE(YEAR(D174),1,1)+1))</f>
        <v>177.25866911122759</v>
      </c>
      <c r="K174" s="116">
        <f t="shared" si="75"/>
        <v>212.07586848732541</v>
      </c>
      <c r="L174" s="76">
        <f t="shared" si="85"/>
        <v>1078.8082993604867</v>
      </c>
      <c r="M174" s="117">
        <f t="shared" si="76"/>
        <v>1290.884167847812</v>
      </c>
      <c r="N174" s="8">
        <f t="shared" si="77"/>
        <v>16881.641150159991</v>
      </c>
      <c r="O174" s="75">
        <f t="shared" si="78"/>
        <v>15590.756982312179</v>
      </c>
      <c r="P174" s="103"/>
      <c r="Q174" s="103"/>
      <c r="R174" s="103"/>
      <c r="S174" s="103"/>
      <c r="T174" s="103"/>
      <c r="U174" s="103"/>
      <c r="V174" s="103"/>
      <c r="W174" s="103"/>
      <c r="X174" s="103"/>
    </row>
    <row r="175" spans="1:24" x14ac:dyDescent="0.25">
      <c r="A175" s="17" t="s">
        <v>58</v>
      </c>
      <c r="B175" s="72" t="str">
        <f t="shared" si="83"/>
        <v>Q1/2018</v>
      </c>
      <c r="C175" s="73">
        <f t="shared" si="81"/>
        <v>43101</v>
      </c>
      <c r="D175" s="73">
        <f t="shared" si="82"/>
        <v>43190</v>
      </c>
      <c r="E175" s="72">
        <f t="shared" si="79"/>
        <v>90</v>
      </c>
      <c r="F175" s="74">
        <f>VLOOKUP(D175,'FERC Interest Rate'!$A:$B,2,TRUE)</f>
        <v>4.2500000000000003E-2</v>
      </c>
      <c r="G175" s="75">
        <f t="shared" si="80"/>
        <v>15590.756982312179</v>
      </c>
      <c r="H175" s="75">
        <v>0</v>
      </c>
      <c r="I175" s="99">
        <f t="shared" si="84"/>
        <v>34.817199376097811</v>
      </c>
      <c r="J175" s="76">
        <f t="shared" si="86"/>
        <v>163.38259029409338</v>
      </c>
      <c r="K175" s="116">
        <f t="shared" si="75"/>
        <v>198.19978967019119</v>
      </c>
      <c r="L175" s="76">
        <f t="shared" si="85"/>
        <v>1078.8082993604867</v>
      </c>
      <c r="M175" s="117">
        <f t="shared" si="76"/>
        <v>1277.0080890306779</v>
      </c>
      <c r="N175" s="8">
        <f t="shared" si="77"/>
        <v>15754.139572606273</v>
      </c>
      <c r="O175" s="75">
        <f t="shared" si="78"/>
        <v>14477.131483575597</v>
      </c>
      <c r="P175" s="103"/>
      <c r="Q175" s="103"/>
      <c r="R175" s="103"/>
      <c r="S175" s="103"/>
      <c r="T175" s="103"/>
      <c r="U175" s="103"/>
      <c r="V175" s="103"/>
      <c r="W175" s="103"/>
      <c r="X175" s="103"/>
    </row>
    <row r="176" spans="1:24" x14ac:dyDescent="0.25">
      <c r="A176" s="17" t="s">
        <v>59</v>
      </c>
      <c r="B176" s="72" t="str">
        <f t="shared" si="83"/>
        <v>Q2/2018</v>
      </c>
      <c r="C176" s="73">
        <f t="shared" si="81"/>
        <v>43191</v>
      </c>
      <c r="D176" s="73">
        <f t="shared" si="82"/>
        <v>43281</v>
      </c>
      <c r="E176" s="72">
        <f t="shared" si="79"/>
        <v>91</v>
      </c>
      <c r="F176" s="74">
        <f>VLOOKUP(D176,'FERC Interest Rate'!$A:$B,2,TRUE)</f>
        <v>4.4699999999999997E-2</v>
      </c>
      <c r="G176" s="75">
        <f t="shared" si="80"/>
        <v>14477.131483575597</v>
      </c>
      <c r="H176" s="75">
        <v>0</v>
      </c>
      <c r="I176" s="99">
        <f t="shared" si="84"/>
        <v>34.817199376097811</v>
      </c>
      <c r="J176" s="76">
        <f t="shared" si="86"/>
        <v>161.33870612531629</v>
      </c>
      <c r="K176" s="116">
        <f t="shared" si="75"/>
        <v>196.15590550141411</v>
      </c>
      <c r="L176" s="76">
        <f t="shared" si="85"/>
        <v>1078.8082993604867</v>
      </c>
      <c r="M176" s="117">
        <f t="shared" si="76"/>
        <v>1274.9642048619007</v>
      </c>
      <c r="N176" s="8">
        <f t="shared" si="77"/>
        <v>14638.470189700913</v>
      </c>
      <c r="O176" s="75">
        <f t="shared" si="78"/>
        <v>13363.505984839014</v>
      </c>
      <c r="P176" s="103"/>
      <c r="Q176" s="103"/>
      <c r="R176" s="103"/>
      <c r="S176" s="103"/>
      <c r="T176" s="103"/>
      <c r="U176" s="103"/>
      <c r="V176" s="103"/>
      <c r="W176" s="103"/>
      <c r="X176" s="103"/>
    </row>
    <row r="177" spans="1:24" x14ac:dyDescent="0.25">
      <c r="A177" s="17" t="s">
        <v>60</v>
      </c>
      <c r="B177" s="72" t="str">
        <f t="shared" si="83"/>
        <v>Q3/2018</v>
      </c>
      <c r="C177" s="73">
        <f t="shared" si="81"/>
        <v>43282</v>
      </c>
      <c r="D177" s="73">
        <f t="shared" si="82"/>
        <v>43373</v>
      </c>
      <c r="E177" s="72">
        <f t="shared" si="79"/>
        <v>92</v>
      </c>
      <c r="F177" s="74">
        <f>VLOOKUP(D177,'FERC Interest Rate'!$A:$B,2,TRUE)</f>
        <v>4.6899999999999997E-2</v>
      </c>
      <c r="G177" s="75">
        <f t="shared" si="80"/>
        <v>13363.505984839014</v>
      </c>
      <c r="H177" s="75">
        <v>0</v>
      </c>
      <c r="I177" s="99">
        <f t="shared" si="84"/>
        <v>34.817199376097811</v>
      </c>
      <c r="J177" s="76">
        <f t="shared" si="86"/>
        <v>157.97494691337911</v>
      </c>
      <c r="K177" s="116">
        <f t="shared" si="75"/>
        <v>192.79214628947693</v>
      </c>
      <c r="L177" s="76">
        <f t="shared" si="85"/>
        <v>1078.8082993604867</v>
      </c>
      <c r="M177" s="117">
        <f t="shared" si="76"/>
        <v>1271.6004456499636</v>
      </c>
      <c r="N177" s="8">
        <f t="shared" si="77"/>
        <v>13521.480931752392</v>
      </c>
      <c r="O177" s="75">
        <f t="shared" si="78"/>
        <v>12249.880486102431</v>
      </c>
      <c r="P177" s="103"/>
      <c r="Q177" s="103"/>
      <c r="R177" s="103"/>
      <c r="S177" s="103"/>
      <c r="T177" s="103"/>
      <c r="U177" s="103"/>
      <c r="V177" s="103"/>
      <c r="W177" s="103"/>
      <c r="X177" s="103"/>
    </row>
    <row r="178" spans="1:24" x14ac:dyDescent="0.25">
      <c r="A178" s="17" t="s">
        <v>61</v>
      </c>
      <c r="B178" s="72" t="str">
        <f t="shared" si="83"/>
        <v>Q4/2018</v>
      </c>
      <c r="C178" s="73">
        <f t="shared" si="81"/>
        <v>43374</v>
      </c>
      <c r="D178" s="73">
        <f t="shared" si="82"/>
        <v>43465</v>
      </c>
      <c r="E178" s="72">
        <f t="shared" si="79"/>
        <v>92</v>
      </c>
      <c r="F178" s="74">
        <f>VLOOKUP(D178,'FERC Interest Rate'!$A:$B,2,TRUE)</f>
        <v>4.9599999999999998E-2</v>
      </c>
      <c r="G178" s="75">
        <f t="shared" si="80"/>
        <v>12249.880486102431</v>
      </c>
      <c r="H178" s="75">
        <v>0</v>
      </c>
      <c r="I178" s="99">
        <f t="shared" si="84"/>
        <v>34.817199376097811</v>
      </c>
      <c r="J178" s="76">
        <f t="shared" si="86"/>
        <v>153.14699899776059</v>
      </c>
      <c r="K178" s="116">
        <f t="shared" si="75"/>
        <v>187.96419837385841</v>
      </c>
      <c r="L178" s="76">
        <f t="shared" si="85"/>
        <v>1078.8082993604867</v>
      </c>
      <c r="M178" s="117">
        <f t="shared" si="76"/>
        <v>1266.7724977343451</v>
      </c>
      <c r="N178" s="8">
        <f t="shared" si="77"/>
        <v>12403.027485100192</v>
      </c>
      <c r="O178" s="75">
        <f t="shared" si="78"/>
        <v>11136.254987365848</v>
      </c>
      <c r="P178" s="103"/>
      <c r="Q178" s="103"/>
      <c r="R178" s="103"/>
      <c r="S178" s="103"/>
      <c r="T178" s="103"/>
      <c r="U178" s="103"/>
      <c r="V178" s="103"/>
      <c r="W178" s="103"/>
      <c r="X178" s="103"/>
    </row>
    <row r="179" spans="1:24" x14ac:dyDescent="0.25">
      <c r="A179" s="17" t="s">
        <v>62</v>
      </c>
      <c r="B179" s="72" t="str">
        <f t="shared" si="83"/>
        <v>Q1/2019</v>
      </c>
      <c r="C179" s="73">
        <f t="shared" si="81"/>
        <v>43466</v>
      </c>
      <c r="D179" s="73">
        <f t="shared" si="82"/>
        <v>43555</v>
      </c>
      <c r="E179" s="72">
        <f t="shared" si="79"/>
        <v>90</v>
      </c>
      <c r="F179" s="74">
        <f>VLOOKUP(D179,'FERC Interest Rate'!$A:$B,2,TRUE)</f>
        <v>5.1799999999999999E-2</v>
      </c>
      <c r="G179" s="75">
        <f t="shared" si="80"/>
        <v>11136.254987365848</v>
      </c>
      <c r="H179" s="75">
        <v>0</v>
      </c>
      <c r="I179" s="99">
        <f t="shared" si="84"/>
        <v>34.817199376097811</v>
      </c>
      <c r="J179" s="76">
        <f t="shared" si="86"/>
        <v>142.23896096191666</v>
      </c>
      <c r="K179" s="116">
        <f t="shared" si="75"/>
        <v>177.05616033801448</v>
      </c>
      <c r="L179" s="76">
        <f t="shared" si="85"/>
        <v>1078.8082993604867</v>
      </c>
      <c r="M179" s="117">
        <f t="shared" si="76"/>
        <v>1255.8644596985012</v>
      </c>
      <c r="N179" s="8">
        <f t="shared" si="77"/>
        <v>11278.493948327765</v>
      </c>
      <c r="O179" s="75">
        <f t="shared" si="78"/>
        <v>10022.629488629265</v>
      </c>
      <c r="P179" s="103"/>
      <c r="Q179" s="103"/>
      <c r="R179" s="103"/>
      <c r="S179" s="103"/>
      <c r="T179" s="103"/>
      <c r="U179" s="103"/>
      <c r="V179" s="103"/>
      <c r="W179" s="103"/>
      <c r="X179" s="103"/>
    </row>
    <row r="180" spans="1:24" x14ac:dyDescent="0.25">
      <c r="A180" s="17" t="s">
        <v>63</v>
      </c>
      <c r="B180" s="72" t="str">
        <f t="shared" si="83"/>
        <v>Q2/2019</v>
      </c>
      <c r="C180" s="73">
        <f t="shared" si="81"/>
        <v>43556</v>
      </c>
      <c r="D180" s="73">
        <f t="shared" si="82"/>
        <v>43646</v>
      </c>
      <c r="E180" s="72">
        <f t="shared" si="79"/>
        <v>91</v>
      </c>
      <c r="F180" s="74">
        <f>VLOOKUP(D180,'FERC Interest Rate'!$A:$B,2,TRUE)</f>
        <v>5.45E-2</v>
      </c>
      <c r="G180" s="75">
        <f t="shared" si="80"/>
        <v>10022.629488629265</v>
      </c>
      <c r="H180" s="75">
        <v>0</v>
      </c>
      <c r="I180" s="99">
        <f t="shared" si="84"/>
        <v>34.817199376097811</v>
      </c>
      <c r="J180" s="76">
        <f t="shared" si="86"/>
        <v>136.18419438042972</v>
      </c>
      <c r="K180" s="116">
        <f t="shared" si="75"/>
        <v>171.00139375652753</v>
      </c>
      <c r="L180" s="76">
        <f t="shared" si="85"/>
        <v>1078.8082993604867</v>
      </c>
      <c r="M180" s="117">
        <f t="shared" si="76"/>
        <v>1249.8096931170141</v>
      </c>
      <c r="N180" s="8">
        <f t="shared" si="77"/>
        <v>10158.813683009696</v>
      </c>
      <c r="O180" s="75">
        <f t="shared" si="78"/>
        <v>8909.0039898926825</v>
      </c>
      <c r="P180" s="103"/>
      <c r="Q180" s="103"/>
      <c r="R180" s="103"/>
      <c r="S180" s="103"/>
      <c r="T180" s="103"/>
      <c r="U180" s="103"/>
      <c r="V180" s="103"/>
      <c r="W180" s="103"/>
      <c r="X180" s="103"/>
    </row>
    <row r="181" spans="1:24" x14ac:dyDescent="0.25">
      <c r="A181" s="17" t="s">
        <v>64</v>
      </c>
      <c r="B181" s="72" t="str">
        <f t="shared" si="83"/>
        <v>Q3/2019</v>
      </c>
      <c r="C181" s="73">
        <f t="shared" si="81"/>
        <v>43647</v>
      </c>
      <c r="D181" s="73">
        <f t="shared" si="82"/>
        <v>43738</v>
      </c>
      <c r="E181" s="72">
        <f t="shared" si="79"/>
        <v>92</v>
      </c>
      <c r="F181" s="74">
        <f>VLOOKUP(D181,'FERC Interest Rate'!$A:$B,2,TRUE)</f>
        <v>5.5E-2</v>
      </c>
      <c r="G181" s="75">
        <f t="shared" si="80"/>
        <v>8909.0039898926825</v>
      </c>
      <c r="H181" s="75">
        <v>0</v>
      </c>
      <c r="I181" s="99">
        <f t="shared" si="84"/>
        <v>34.817199376097811</v>
      </c>
      <c r="J181" s="76">
        <f t="shared" si="86"/>
        <v>123.50564435303281</v>
      </c>
      <c r="K181" s="116">
        <f t="shared" si="75"/>
        <v>158.32284372913062</v>
      </c>
      <c r="L181" s="76">
        <f t="shared" si="85"/>
        <v>1078.8082993604867</v>
      </c>
      <c r="M181" s="117">
        <f t="shared" si="76"/>
        <v>1237.1311430896174</v>
      </c>
      <c r="N181" s="8">
        <f t="shared" si="77"/>
        <v>9032.5096342457146</v>
      </c>
      <c r="O181" s="75">
        <f t="shared" si="78"/>
        <v>7795.3784911560979</v>
      </c>
      <c r="P181" s="103"/>
      <c r="Q181" s="103"/>
      <c r="R181" s="103"/>
      <c r="S181" s="103"/>
      <c r="T181" s="103"/>
      <c r="U181" s="103"/>
      <c r="V181" s="103"/>
      <c r="W181" s="103"/>
      <c r="X181" s="103"/>
    </row>
    <row r="182" spans="1:24" x14ac:dyDescent="0.25">
      <c r="A182" s="17" t="s">
        <v>65</v>
      </c>
      <c r="B182" s="72" t="str">
        <f t="shared" si="83"/>
        <v>Q4/2019</v>
      </c>
      <c r="C182" s="73">
        <f t="shared" si="81"/>
        <v>43739</v>
      </c>
      <c r="D182" s="73">
        <f t="shared" si="82"/>
        <v>43830</v>
      </c>
      <c r="E182" s="72">
        <f t="shared" si="79"/>
        <v>92</v>
      </c>
      <c r="F182" s="74">
        <f>VLOOKUP(D182,'FERC Interest Rate'!$A:$B,2,TRUE)</f>
        <v>5.4199999999999998E-2</v>
      </c>
      <c r="G182" s="75">
        <f t="shared" si="80"/>
        <v>7795.3784911560979</v>
      </c>
      <c r="H182" s="75">
        <v>0</v>
      </c>
      <c r="I182" s="99">
        <f t="shared" si="84"/>
        <v>34.817199376097811</v>
      </c>
      <c r="J182" s="76">
        <f t="shared" si="86"/>
        <v>106.49554878986511</v>
      </c>
      <c r="K182" s="116">
        <f t="shared" si="75"/>
        <v>141.31274816596292</v>
      </c>
      <c r="L182" s="76">
        <f t="shared" si="85"/>
        <v>1078.8082993604867</v>
      </c>
      <c r="M182" s="117">
        <f t="shared" si="76"/>
        <v>1220.1210475264495</v>
      </c>
      <c r="N182" s="8">
        <f t="shared" si="77"/>
        <v>7901.874039945963</v>
      </c>
      <c r="O182" s="75">
        <f t="shared" si="78"/>
        <v>6681.7529924195132</v>
      </c>
      <c r="P182" s="103"/>
      <c r="Q182" s="103"/>
      <c r="R182" s="103"/>
      <c r="S182" s="103"/>
      <c r="T182" s="103"/>
      <c r="U182" s="103"/>
      <c r="V182" s="103"/>
      <c r="W182" s="103"/>
      <c r="X182" s="103"/>
    </row>
    <row r="183" spans="1:24" x14ac:dyDescent="0.25">
      <c r="A183" s="17" t="s">
        <v>66</v>
      </c>
      <c r="B183" s="72" t="str">
        <f t="shared" si="83"/>
        <v>Q1/2020</v>
      </c>
      <c r="C183" s="73">
        <f t="shared" si="81"/>
        <v>43831</v>
      </c>
      <c r="D183" s="73">
        <f t="shared" si="82"/>
        <v>43921</v>
      </c>
      <c r="E183" s="72">
        <f t="shared" si="79"/>
        <v>91</v>
      </c>
      <c r="F183" s="74">
        <f>VLOOKUP(D183,'FERC Interest Rate'!$A:$B,2,TRUE)</f>
        <v>4.9599999999999998E-2</v>
      </c>
      <c r="G183" s="75">
        <f t="shared" si="80"/>
        <v>6681.7529924195132</v>
      </c>
      <c r="H183" s="75">
        <v>0</v>
      </c>
      <c r="I183" s="99">
        <f t="shared" si="84"/>
        <v>34.817199376097811</v>
      </c>
      <c r="J183" s="76">
        <f t="shared" si="86"/>
        <v>82.400984444220526</v>
      </c>
      <c r="K183" s="116">
        <f t="shared" si="75"/>
        <v>117.21818382031833</v>
      </c>
      <c r="L183" s="76">
        <f t="shared" si="85"/>
        <v>1078.8082993604867</v>
      </c>
      <c r="M183" s="117">
        <f t="shared" si="76"/>
        <v>1196.0264831808049</v>
      </c>
      <c r="N183" s="8">
        <f t="shared" si="77"/>
        <v>6764.153976863734</v>
      </c>
      <c r="O183" s="75">
        <f t="shared" si="78"/>
        <v>5568.1274936829286</v>
      </c>
      <c r="P183" s="103"/>
      <c r="Q183" s="103"/>
      <c r="R183" s="103"/>
      <c r="S183" s="103"/>
      <c r="T183" s="103"/>
      <c r="U183" s="103"/>
      <c r="V183" s="103"/>
      <c r="W183" s="103"/>
      <c r="X183" s="103"/>
    </row>
    <row r="184" spans="1:24" x14ac:dyDescent="0.25">
      <c r="A184" s="17" t="s">
        <v>67</v>
      </c>
      <c r="B184" s="72" t="str">
        <f t="shared" si="83"/>
        <v>Q2/2020</v>
      </c>
      <c r="C184" s="73">
        <f t="shared" si="81"/>
        <v>43922</v>
      </c>
      <c r="D184" s="73">
        <f t="shared" si="82"/>
        <v>44012</v>
      </c>
      <c r="E184" s="72">
        <f t="shared" si="79"/>
        <v>91</v>
      </c>
      <c r="F184" s="74">
        <f>VLOOKUP(D184,'FERC Interest Rate'!$A:$B,2,TRUE)</f>
        <v>4.7503500000000004E-2</v>
      </c>
      <c r="G184" s="75">
        <f t="shared" si="80"/>
        <v>5568.1274936829286</v>
      </c>
      <c r="H184" s="75">
        <v>0</v>
      </c>
      <c r="I184" s="99">
        <f t="shared" si="84"/>
        <v>34.817199376097811</v>
      </c>
      <c r="J184" s="76">
        <f t="shared" si="86"/>
        <v>65.765039726915845</v>
      </c>
      <c r="K184" s="116">
        <f t="shared" si="75"/>
        <v>100.58223910301365</v>
      </c>
      <c r="L184" s="76">
        <f t="shared" si="85"/>
        <v>1078.8082993604867</v>
      </c>
      <c r="M184" s="117">
        <f t="shared" si="76"/>
        <v>1179.3905384635004</v>
      </c>
      <c r="N184" s="8">
        <f t="shared" si="77"/>
        <v>5633.8925334098449</v>
      </c>
      <c r="O184" s="75">
        <f t="shared" si="78"/>
        <v>4454.501994946344</v>
      </c>
      <c r="P184" s="103"/>
      <c r="Q184" s="103"/>
      <c r="R184" s="103"/>
      <c r="S184" s="103"/>
      <c r="T184" s="103"/>
      <c r="U184" s="103"/>
      <c r="V184" s="103"/>
      <c r="W184" s="103"/>
      <c r="X184" s="103"/>
    </row>
    <row r="185" spans="1:24" x14ac:dyDescent="0.25">
      <c r="A185" s="17" t="s">
        <v>68</v>
      </c>
      <c r="B185" s="72" t="str">
        <f t="shared" si="83"/>
        <v>Q3/2020</v>
      </c>
      <c r="C185" s="73">
        <f t="shared" si="81"/>
        <v>44013</v>
      </c>
      <c r="D185" s="73">
        <f t="shared" si="82"/>
        <v>44104</v>
      </c>
      <c r="E185" s="72">
        <f t="shared" si="79"/>
        <v>92</v>
      </c>
      <c r="F185" s="74">
        <f>VLOOKUP(D185,'FERC Interest Rate'!$A:$B,2,TRUE)</f>
        <v>4.7507929999999997E-2</v>
      </c>
      <c r="G185" s="75">
        <f t="shared" si="80"/>
        <v>4454.501994946344</v>
      </c>
      <c r="H185" s="75">
        <v>0</v>
      </c>
      <c r="I185" s="99">
        <f t="shared" si="84"/>
        <v>34.817199376097811</v>
      </c>
      <c r="J185" s="76">
        <f t="shared" si="86"/>
        <v>53.195146296150149</v>
      </c>
      <c r="K185" s="116">
        <f t="shared" si="75"/>
        <v>88.01234567224796</v>
      </c>
      <c r="L185" s="76">
        <f t="shared" si="85"/>
        <v>1078.8082993604867</v>
      </c>
      <c r="M185" s="117">
        <f t="shared" si="76"/>
        <v>1166.8206450327345</v>
      </c>
      <c r="N185" s="8">
        <f t="shared" si="77"/>
        <v>4507.6971412424946</v>
      </c>
      <c r="O185" s="75">
        <f t="shared" si="78"/>
        <v>3340.8764962097594</v>
      </c>
      <c r="P185" s="103"/>
      <c r="Q185" s="103"/>
      <c r="R185" s="103"/>
      <c r="S185" s="103"/>
      <c r="T185" s="103"/>
      <c r="U185" s="103"/>
      <c r="V185" s="103"/>
      <c r="W185" s="103"/>
      <c r="X185" s="103"/>
    </row>
    <row r="186" spans="1:24" x14ac:dyDescent="0.25">
      <c r="A186" s="17" t="s">
        <v>69</v>
      </c>
      <c r="B186" s="72" t="str">
        <f t="shared" si="83"/>
        <v>Q4/2020</v>
      </c>
      <c r="C186" s="73">
        <f t="shared" si="81"/>
        <v>44105</v>
      </c>
      <c r="D186" s="73">
        <f t="shared" si="82"/>
        <v>44196</v>
      </c>
      <c r="E186" s="72">
        <f t="shared" si="79"/>
        <v>92</v>
      </c>
      <c r="F186" s="74">
        <f>VLOOKUP(D186,'FERC Interest Rate'!$A:$B,2,TRUE)</f>
        <v>4.7922320000000004E-2</v>
      </c>
      <c r="G186" s="75">
        <f t="shared" si="80"/>
        <v>3340.8764962097594</v>
      </c>
      <c r="H186" s="75">
        <v>0</v>
      </c>
      <c r="I186" s="99">
        <f t="shared" si="84"/>
        <v>34.817199376097811</v>
      </c>
      <c r="J186" s="76">
        <f t="shared" si="86"/>
        <v>40.24435746702062</v>
      </c>
      <c r="K186" s="116">
        <f t="shared" si="75"/>
        <v>75.061556843118439</v>
      </c>
      <c r="L186" s="76">
        <f t="shared" si="85"/>
        <v>1078.8082993604867</v>
      </c>
      <c r="M186" s="117">
        <f t="shared" si="76"/>
        <v>1153.8698562036052</v>
      </c>
      <c r="N186" s="8">
        <f t="shared" si="77"/>
        <v>3381.1208536767799</v>
      </c>
      <c r="O186" s="75">
        <f t="shared" si="78"/>
        <v>2227.2509974731747</v>
      </c>
      <c r="P186" s="103"/>
      <c r="Q186" s="103"/>
      <c r="R186" s="103"/>
      <c r="S186" s="103"/>
      <c r="T186" s="103"/>
      <c r="U186" s="103"/>
      <c r="V186" s="103"/>
      <c r="W186" s="103"/>
      <c r="X186" s="103"/>
    </row>
    <row r="187" spans="1:24" x14ac:dyDescent="0.25">
      <c r="A187" s="17" t="s">
        <v>70</v>
      </c>
      <c r="B187" s="72" t="str">
        <f t="shared" si="83"/>
        <v>Q1/2021</v>
      </c>
      <c r="C187" s="73">
        <f t="shared" si="81"/>
        <v>44197</v>
      </c>
      <c r="D187" s="73">
        <f t="shared" si="82"/>
        <v>44286</v>
      </c>
      <c r="E187" s="72">
        <f t="shared" si="79"/>
        <v>90</v>
      </c>
      <c r="F187" s="74">
        <f>VLOOKUP(D187,'FERC Interest Rate'!$A:$B,2,TRUE)</f>
        <v>5.0023470000000007E-2</v>
      </c>
      <c r="G187" s="75">
        <f t="shared" si="80"/>
        <v>2227.2509974731747</v>
      </c>
      <c r="H187" s="75">
        <v>0</v>
      </c>
      <c r="I187" s="99">
        <f t="shared" si="84"/>
        <v>34.817199376097811</v>
      </c>
      <c r="J187" s="76">
        <f t="shared" si="86"/>
        <v>27.472148249071918</v>
      </c>
      <c r="K187" s="116">
        <f t="shared" si="75"/>
        <v>62.289347625169725</v>
      </c>
      <c r="L187" s="76">
        <f t="shared" si="85"/>
        <v>1078.8082993604867</v>
      </c>
      <c r="M187" s="117">
        <f t="shared" si="76"/>
        <v>1141.0976469856564</v>
      </c>
      <c r="N187" s="8">
        <f t="shared" si="77"/>
        <v>2254.7231457222465</v>
      </c>
      <c r="O187" s="75">
        <f t="shared" si="78"/>
        <v>1113.6254987365903</v>
      </c>
      <c r="P187" s="103"/>
      <c r="Q187" s="103"/>
      <c r="R187" s="103"/>
      <c r="S187" s="103"/>
      <c r="T187" s="103"/>
      <c r="U187" s="103"/>
      <c r="V187" s="103"/>
      <c r="W187" s="103"/>
      <c r="X187" s="103"/>
    </row>
    <row r="188" spans="1:24" x14ac:dyDescent="0.25">
      <c r="A188" s="17" t="s">
        <v>71</v>
      </c>
      <c r="B188" s="72" t="str">
        <f t="shared" si="83"/>
        <v>Q2/2021</v>
      </c>
      <c r="C188" s="73">
        <f t="shared" si="81"/>
        <v>44287</v>
      </c>
      <c r="D188" s="73">
        <f t="shared" si="82"/>
        <v>44377</v>
      </c>
      <c r="E188" s="72">
        <f t="shared" si="79"/>
        <v>91</v>
      </c>
      <c r="F188" s="74">
        <f>VLOOKUP(D188,'FERC Interest Rate'!$A:$B,2,TRUE)</f>
        <v>5.0403730000000001E-2</v>
      </c>
      <c r="G188" s="75">
        <f t="shared" si="80"/>
        <v>1113.6254987365903</v>
      </c>
      <c r="H188" s="75">
        <v>0</v>
      </c>
      <c r="I188" s="99">
        <f t="shared" si="84"/>
        <v>34.817199376097811</v>
      </c>
      <c r="J188" s="76">
        <f t="shared" si="86"/>
        <v>13.994273932352149</v>
      </c>
      <c r="K188" s="116">
        <f t="shared" si="75"/>
        <v>48.811473308449962</v>
      </c>
      <c r="L188" s="76">
        <f t="shared" si="85"/>
        <v>1078.8082993604867</v>
      </c>
      <c r="M188" s="117">
        <f t="shared" si="76"/>
        <v>1127.6197726689365</v>
      </c>
      <c r="N188" s="8">
        <f t="shared" si="77"/>
        <v>1127.6197726689425</v>
      </c>
      <c r="O188" s="75">
        <f t="shared" si="78"/>
        <v>5.8335558605904225E-12</v>
      </c>
      <c r="P188" s="103"/>
      <c r="Q188" s="103"/>
      <c r="R188" s="103"/>
      <c r="S188" s="103"/>
      <c r="T188" s="103"/>
      <c r="U188" s="103"/>
      <c r="V188" s="103"/>
      <c r="W188" s="103"/>
      <c r="X188" s="103"/>
    </row>
    <row r="189" spans="1:24" x14ac:dyDescent="0.25">
      <c r="B189" s="72"/>
      <c r="C189" s="73"/>
      <c r="D189" s="73"/>
      <c r="E189" s="72"/>
      <c r="F189" s="74"/>
      <c r="G189" s="75"/>
      <c r="H189" s="75"/>
      <c r="I189" s="99"/>
      <c r="J189" s="76"/>
      <c r="K189" s="103"/>
      <c r="L189" s="76"/>
      <c r="M189" s="118"/>
      <c r="N189" s="103"/>
      <c r="O189" s="75"/>
      <c r="P189" s="103"/>
      <c r="Q189" s="103"/>
      <c r="R189" s="103"/>
      <c r="S189" s="103"/>
      <c r="T189" s="103"/>
      <c r="U189" s="103"/>
      <c r="V189" s="103"/>
      <c r="W189" s="103"/>
      <c r="X189" s="103"/>
    </row>
    <row r="190" spans="1:24" ht="13.5" thickBot="1" x14ac:dyDescent="0.35">
      <c r="A190" s="142"/>
      <c r="B190" s="143"/>
      <c r="C190" s="144"/>
      <c r="D190" s="144"/>
      <c r="E190" s="145"/>
      <c r="F190" s="143"/>
      <c r="G190" s="124">
        <f t="shared" ref="G190:O190" si="87">SUM(G166:G189)</f>
        <v>306115.28382541315</v>
      </c>
      <c r="H190" s="124">
        <f t="shared" si="87"/>
        <v>696.34398752195625</v>
      </c>
      <c r="I190" s="125">
        <f t="shared" si="87"/>
        <v>696.34398752195625</v>
      </c>
      <c r="J190" s="124">
        <f t="shared" si="87"/>
        <v>2381.9191902927842</v>
      </c>
      <c r="K190" s="124">
        <f t="shared" si="87"/>
        <v>3468.1184648260737</v>
      </c>
      <c r="L190" s="124">
        <f t="shared" si="87"/>
        <v>21576.165987209744</v>
      </c>
      <c r="M190" s="126">
        <f t="shared" si="87"/>
        <v>24654.42916502447</v>
      </c>
      <c r="N190" s="124">
        <f t="shared" si="87"/>
        <v>309193.54700322775</v>
      </c>
      <c r="O190" s="124">
        <f t="shared" si="87"/>
        <v>284539.11783820338</v>
      </c>
      <c r="P190" s="103"/>
      <c r="Q190" s="103"/>
      <c r="R190" s="103"/>
      <c r="S190" s="103"/>
      <c r="T190" s="103"/>
      <c r="U190" s="103"/>
      <c r="V190" s="103"/>
      <c r="W190" s="103"/>
      <c r="X190" s="103"/>
    </row>
    <row r="191" spans="1:24" ht="13.5" thickTop="1" thickBot="1" x14ac:dyDescent="0.3">
      <c r="B191" s="103"/>
      <c r="C191" s="103"/>
      <c r="D191" s="103"/>
      <c r="E191" s="103"/>
      <c r="F191" s="103"/>
      <c r="G191" s="103"/>
      <c r="H191" s="103"/>
      <c r="I191" s="106"/>
      <c r="J191" s="107"/>
      <c r="K191" s="107"/>
      <c r="L191" s="107"/>
      <c r="M191" s="108"/>
      <c r="N191" s="103"/>
      <c r="O191" s="103"/>
      <c r="P191" s="103"/>
      <c r="Q191" s="103"/>
      <c r="R191" s="103"/>
      <c r="S191" s="103"/>
      <c r="T191" s="103"/>
      <c r="U191" s="103"/>
      <c r="V191" s="103"/>
      <c r="W191" s="103"/>
      <c r="X191" s="103"/>
    </row>
    <row r="192" spans="1:24" x14ac:dyDescent="0.25">
      <c r="B192" s="103"/>
      <c r="C192" s="103"/>
      <c r="D192" s="103"/>
      <c r="E192" s="103"/>
      <c r="F192" s="103"/>
      <c r="G192" s="103"/>
      <c r="H192" s="103"/>
      <c r="I192" s="103"/>
      <c r="J192" s="103"/>
      <c r="L192" s="103"/>
      <c r="N192" s="103"/>
      <c r="O192" s="103"/>
      <c r="P192" s="103"/>
      <c r="Q192" s="103"/>
      <c r="R192" s="103"/>
      <c r="S192" s="103"/>
      <c r="T192" s="103"/>
      <c r="U192" s="103"/>
      <c r="V192" s="103"/>
      <c r="W192" s="103"/>
      <c r="X192" s="103"/>
    </row>
  </sheetData>
  <mergeCells count="1">
    <mergeCell ref="Q27:V27"/>
  </mergeCells>
  <pageMargins left="0.25" right="0.25" top="0.75" bottom="0.75" header="0.3" footer="0.3"/>
  <pageSetup scale="50" fitToHeight="0" orientation="landscape" r:id="rId1"/>
  <headerFooter alignWithMargins="0">
    <oddHeader>&amp;RTO2021 Annual Update
Attachment 4
WP- Schedule 22 NUCs
Page &amp;P of &amp;N</oddHead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Q85"/>
  <sheetViews>
    <sheetView view="pageLayout" zoomScale="60" zoomScaleNormal="60" zoomScalePageLayoutView="60" workbookViewId="0"/>
  </sheetViews>
  <sheetFormatPr defaultColWidth="9.1796875" defaultRowHeight="12.5" outlineLevelRow="1" x14ac:dyDescent="0.25"/>
  <cols>
    <col min="1" max="1" width="10.26953125" style="6" bestFit="1" customWidth="1"/>
    <col min="2" max="2" width="13.7265625" style="6" customWidth="1"/>
    <col min="3" max="4" width="12.7265625" style="6" customWidth="1"/>
    <col min="5" max="5" width="10" style="6" customWidth="1"/>
    <col min="6" max="6" width="12.54296875" style="6" customWidth="1"/>
    <col min="7" max="9" width="16.1796875" style="6" customWidth="1"/>
    <col min="10" max="10" width="17.26953125" style="6" customWidth="1"/>
    <col min="11" max="16" width="16.1796875" style="6" customWidth="1"/>
    <col min="17" max="17" width="11.7265625" style="6" bestFit="1" customWidth="1"/>
    <col min="18" max="16384" width="9.1796875" style="6"/>
  </cols>
  <sheetData>
    <row r="1" spans="1:11" ht="26" x14ac:dyDescent="0.3">
      <c r="A1" s="81" t="s">
        <v>8</v>
      </c>
      <c r="B1" s="82" t="s">
        <v>86</v>
      </c>
      <c r="C1" s="81" t="s">
        <v>2</v>
      </c>
      <c r="D1" s="81" t="s">
        <v>1</v>
      </c>
      <c r="E1" s="82" t="s">
        <v>72</v>
      </c>
      <c r="F1" s="82" t="s">
        <v>47</v>
      </c>
    </row>
    <row r="2" spans="1:11" ht="12.75" customHeight="1" x14ac:dyDescent="0.25">
      <c r="A2" s="78" t="s">
        <v>52</v>
      </c>
      <c r="B2" s="3">
        <v>41974</v>
      </c>
      <c r="C2" s="4">
        <v>15053</v>
      </c>
      <c r="D2" s="4">
        <v>0</v>
      </c>
      <c r="E2" s="4">
        <v>0</v>
      </c>
      <c r="F2" s="7">
        <f>SUM(C2:E2)</f>
        <v>15053</v>
      </c>
    </row>
    <row r="3" spans="1:11" ht="12.75" customHeight="1" outlineLevel="1" x14ac:dyDescent="0.25">
      <c r="A3" s="78" t="s">
        <v>53</v>
      </c>
      <c r="B3" s="18" t="s">
        <v>21</v>
      </c>
      <c r="C3" s="4">
        <v>0</v>
      </c>
      <c r="D3" s="4">
        <v>0</v>
      </c>
      <c r="E3" s="4">
        <v>0</v>
      </c>
      <c r="F3" s="7">
        <f t="shared" ref="F3:F25" si="0">SUM(C3:E3)</f>
        <v>0</v>
      </c>
      <c r="H3" s="45"/>
      <c r="I3" s="45"/>
      <c r="J3" s="45"/>
      <c r="K3" s="45"/>
    </row>
    <row r="4" spans="1:11" ht="12.75" customHeight="1" outlineLevel="1" x14ac:dyDescent="0.25">
      <c r="A4" s="78" t="s">
        <v>54</v>
      </c>
      <c r="B4" s="18" t="s">
        <v>21</v>
      </c>
      <c r="C4" s="4">
        <v>0</v>
      </c>
      <c r="D4" s="4">
        <v>0</v>
      </c>
      <c r="E4" s="4">
        <v>0</v>
      </c>
      <c r="F4" s="7">
        <f t="shared" si="0"/>
        <v>0</v>
      </c>
      <c r="H4" s="64"/>
      <c r="I4" s="64"/>
      <c r="J4" s="64"/>
      <c r="K4" s="64"/>
    </row>
    <row r="5" spans="1:11" ht="12.75" customHeight="1" outlineLevel="1" x14ac:dyDescent="0.25">
      <c r="A5" s="78" t="s">
        <v>55</v>
      </c>
      <c r="B5" s="18" t="s">
        <v>21</v>
      </c>
      <c r="C5" s="4">
        <v>0</v>
      </c>
      <c r="D5" s="4">
        <v>0</v>
      </c>
      <c r="E5" s="4">
        <v>0</v>
      </c>
      <c r="F5" s="7">
        <f t="shared" si="0"/>
        <v>0</v>
      </c>
      <c r="H5" s="36"/>
      <c r="I5" s="36"/>
      <c r="J5" s="36"/>
      <c r="K5" s="36"/>
    </row>
    <row r="6" spans="1:11" ht="12.75" customHeight="1" outlineLevel="1" x14ac:dyDescent="0.25">
      <c r="A6" s="78" t="s">
        <v>56</v>
      </c>
      <c r="B6" s="18" t="s">
        <v>21</v>
      </c>
      <c r="C6" s="4">
        <v>0</v>
      </c>
      <c r="D6" s="4">
        <v>0</v>
      </c>
      <c r="E6" s="4">
        <v>0</v>
      </c>
      <c r="F6" s="7">
        <f t="shared" si="0"/>
        <v>0</v>
      </c>
      <c r="H6" s="35"/>
      <c r="I6" s="35"/>
      <c r="J6" s="35"/>
      <c r="K6" s="35"/>
    </row>
    <row r="7" spans="1:11" outlineLevel="1" x14ac:dyDescent="0.25">
      <c r="A7" s="78" t="s">
        <v>57</v>
      </c>
      <c r="B7" s="18" t="s">
        <v>21</v>
      </c>
      <c r="C7" s="4">
        <v>0</v>
      </c>
      <c r="D7" s="4">
        <v>0</v>
      </c>
      <c r="E7" s="4">
        <v>0</v>
      </c>
      <c r="F7" s="7">
        <f t="shared" si="0"/>
        <v>0</v>
      </c>
      <c r="H7" s="35"/>
      <c r="I7" s="35"/>
      <c r="J7" s="35"/>
      <c r="K7" s="35"/>
    </row>
    <row r="8" spans="1:11" outlineLevel="1" x14ac:dyDescent="0.25">
      <c r="A8" s="78" t="s">
        <v>58</v>
      </c>
      <c r="B8" s="18" t="s">
        <v>21</v>
      </c>
      <c r="C8" s="4">
        <v>0</v>
      </c>
      <c r="D8" s="4">
        <v>0</v>
      </c>
      <c r="E8" s="4">
        <v>0</v>
      </c>
      <c r="F8" s="7">
        <f t="shared" si="0"/>
        <v>0</v>
      </c>
      <c r="H8" s="1"/>
    </row>
    <row r="9" spans="1:11" outlineLevel="1" x14ac:dyDescent="0.25">
      <c r="A9" s="78" t="s">
        <v>59</v>
      </c>
      <c r="B9" s="18" t="s">
        <v>21</v>
      </c>
      <c r="C9" s="4">
        <v>0</v>
      </c>
      <c r="D9" s="4">
        <v>0</v>
      </c>
      <c r="E9" s="4">
        <v>0</v>
      </c>
      <c r="F9" s="7">
        <f t="shared" si="0"/>
        <v>0</v>
      </c>
      <c r="H9" s="35"/>
    </row>
    <row r="10" spans="1:11" outlineLevel="1" x14ac:dyDescent="0.25">
      <c r="A10" s="78" t="s">
        <v>60</v>
      </c>
      <c r="B10" s="18" t="s">
        <v>21</v>
      </c>
      <c r="C10" s="4">
        <v>0</v>
      </c>
      <c r="D10" s="4">
        <v>0</v>
      </c>
      <c r="E10" s="4">
        <v>0</v>
      </c>
      <c r="F10" s="7">
        <f t="shared" si="0"/>
        <v>0</v>
      </c>
      <c r="H10" s="35"/>
    </row>
    <row r="11" spans="1:11" outlineLevel="1" x14ac:dyDescent="0.25">
      <c r="A11" s="78" t="s">
        <v>61</v>
      </c>
      <c r="B11" s="18" t="s">
        <v>21</v>
      </c>
      <c r="C11" s="4">
        <v>0</v>
      </c>
      <c r="D11" s="4">
        <v>0</v>
      </c>
      <c r="E11" s="4">
        <v>0</v>
      </c>
      <c r="F11" s="7">
        <f t="shared" si="0"/>
        <v>0</v>
      </c>
      <c r="H11" s="35"/>
    </row>
    <row r="12" spans="1:11" outlineLevel="1" x14ac:dyDescent="0.25">
      <c r="A12" s="78" t="s">
        <v>62</v>
      </c>
      <c r="B12" s="18" t="s">
        <v>21</v>
      </c>
      <c r="C12" s="4">
        <v>0</v>
      </c>
      <c r="D12" s="4">
        <v>0</v>
      </c>
      <c r="E12" s="4">
        <v>0</v>
      </c>
      <c r="F12" s="7">
        <f t="shared" si="0"/>
        <v>0</v>
      </c>
      <c r="H12" s="35"/>
    </row>
    <row r="13" spans="1:11" outlineLevel="1" x14ac:dyDescent="0.25">
      <c r="A13" s="78" t="s">
        <v>63</v>
      </c>
      <c r="B13" s="18" t="s">
        <v>21</v>
      </c>
      <c r="C13" s="4">
        <v>0</v>
      </c>
      <c r="D13" s="4">
        <v>0</v>
      </c>
      <c r="E13" s="4">
        <v>0</v>
      </c>
      <c r="F13" s="7">
        <f t="shared" si="0"/>
        <v>0</v>
      </c>
      <c r="H13" s="35"/>
    </row>
    <row r="14" spans="1:11" outlineLevel="1" x14ac:dyDescent="0.25">
      <c r="A14" s="78" t="s">
        <v>64</v>
      </c>
      <c r="B14" s="18" t="s">
        <v>21</v>
      </c>
      <c r="C14" s="4">
        <v>0</v>
      </c>
      <c r="D14" s="4">
        <v>0</v>
      </c>
      <c r="E14" s="4">
        <v>0</v>
      </c>
      <c r="F14" s="7">
        <f t="shared" si="0"/>
        <v>0</v>
      </c>
      <c r="H14" s="35"/>
    </row>
    <row r="15" spans="1:11" outlineLevel="1" x14ac:dyDescent="0.25">
      <c r="A15" s="78" t="s">
        <v>65</v>
      </c>
      <c r="B15" s="18" t="s">
        <v>21</v>
      </c>
      <c r="C15" s="4">
        <v>0</v>
      </c>
      <c r="D15" s="4">
        <v>0</v>
      </c>
      <c r="E15" s="4">
        <v>0</v>
      </c>
      <c r="F15" s="7">
        <f t="shared" si="0"/>
        <v>0</v>
      </c>
      <c r="H15" s="15"/>
    </row>
    <row r="16" spans="1:11" outlineLevel="1" x14ac:dyDescent="0.25">
      <c r="A16" s="78" t="s">
        <v>66</v>
      </c>
      <c r="B16" s="18" t="s">
        <v>21</v>
      </c>
      <c r="C16" s="4">
        <v>0</v>
      </c>
      <c r="D16" s="4">
        <v>0</v>
      </c>
      <c r="E16" s="4">
        <v>0</v>
      </c>
      <c r="F16" s="7">
        <f t="shared" si="0"/>
        <v>0</v>
      </c>
      <c r="H16" s="15"/>
    </row>
    <row r="17" spans="1:16" outlineLevel="1" x14ac:dyDescent="0.25">
      <c r="A17" s="78" t="s">
        <v>67</v>
      </c>
      <c r="B17" s="18" t="s">
        <v>21</v>
      </c>
      <c r="C17" s="4">
        <v>0</v>
      </c>
      <c r="D17" s="4">
        <v>0</v>
      </c>
      <c r="E17" s="4">
        <v>0</v>
      </c>
      <c r="F17" s="7">
        <f t="shared" si="0"/>
        <v>0</v>
      </c>
      <c r="H17" s="15"/>
    </row>
    <row r="18" spans="1:16" outlineLevel="1" x14ac:dyDescent="0.25">
      <c r="A18" s="78" t="s">
        <v>68</v>
      </c>
      <c r="B18" s="18" t="s">
        <v>21</v>
      </c>
      <c r="C18" s="4">
        <v>0</v>
      </c>
      <c r="D18" s="4">
        <v>0</v>
      </c>
      <c r="E18" s="4">
        <v>0</v>
      </c>
      <c r="F18" s="7">
        <f t="shared" si="0"/>
        <v>0</v>
      </c>
      <c r="H18" s="15"/>
    </row>
    <row r="19" spans="1:16" outlineLevel="1" x14ac:dyDescent="0.25">
      <c r="A19" s="78" t="s">
        <v>69</v>
      </c>
      <c r="B19" s="18" t="s">
        <v>21</v>
      </c>
      <c r="C19" s="4">
        <v>0</v>
      </c>
      <c r="D19" s="4">
        <v>0</v>
      </c>
      <c r="E19" s="4">
        <v>0</v>
      </c>
      <c r="F19" s="7">
        <f t="shared" si="0"/>
        <v>0</v>
      </c>
    </row>
    <row r="20" spans="1:16" outlineLevel="1" x14ac:dyDescent="0.25">
      <c r="A20" s="78" t="s">
        <v>70</v>
      </c>
      <c r="B20" s="18" t="s">
        <v>21</v>
      </c>
      <c r="C20" s="4">
        <v>0</v>
      </c>
      <c r="D20" s="4">
        <v>0</v>
      </c>
      <c r="E20" s="4">
        <v>0</v>
      </c>
      <c r="F20" s="7">
        <f t="shared" si="0"/>
        <v>0</v>
      </c>
    </row>
    <row r="21" spans="1:16" outlineLevel="1" x14ac:dyDescent="0.25">
      <c r="A21" s="78" t="s">
        <v>71</v>
      </c>
      <c r="B21" s="18" t="s">
        <v>21</v>
      </c>
      <c r="C21" s="4">
        <v>0</v>
      </c>
      <c r="D21" s="4">
        <v>0</v>
      </c>
      <c r="E21" s="4">
        <v>0</v>
      </c>
      <c r="F21" s="7">
        <f t="shared" si="0"/>
        <v>0</v>
      </c>
    </row>
    <row r="22" spans="1:16" outlineLevel="1" x14ac:dyDescent="0.25">
      <c r="A22" s="83" t="s">
        <v>74</v>
      </c>
      <c r="B22" s="18" t="s">
        <v>21</v>
      </c>
      <c r="C22" s="4">
        <v>0</v>
      </c>
      <c r="D22" s="4">
        <v>0</v>
      </c>
      <c r="E22" s="4">
        <v>0</v>
      </c>
      <c r="F22" s="7">
        <f t="shared" si="0"/>
        <v>0</v>
      </c>
    </row>
    <row r="23" spans="1:16" outlineLevel="1" x14ac:dyDescent="0.25">
      <c r="A23" s="83" t="s">
        <v>75</v>
      </c>
      <c r="B23" s="18" t="s">
        <v>21</v>
      </c>
      <c r="C23" s="4">
        <v>0</v>
      </c>
      <c r="D23" s="4">
        <v>0</v>
      </c>
      <c r="E23" s="4">
        <v>0</v>
      </c>
      <c r="F23" s="7">
        <f t="shared" si="0"/>
        <v>0</v>
      </c>
    </row>
    <row r="24" spans="1:16" outlineLevel="1" x14ac:dyDescent="0.25">
      <c r="A24" s="83" t="s">
        <v>76</v>
      </c>
      <c r="B24" s="18" t="s">
        <v>21</v>
      </c>
      <c r="C24" s="4">
        <v>0</v>
      </c>
      <c r="D24" s="4">
        <v>0</v>
      </c>
      <c r="E24" s="4">
        <v>0</v>
      </c>
      <c r="F24" s="7">
        <f t="shared" si="0"/>
        <v>0</v>
      </c>
    </row>
    <row r="25" spans="1:16" ht="13" outlineLevel="1" thickBot="1" x14ac:dyDescent="0.3">
      <c r="A25" s="83" t="s">
        <v>77</v>
      </c>
      <c r="B25" s="18" t="s">
        <v>21</v>
      </c>
      <c r="C25" s="4">
        <v>0</v>
      </c>
      <c r="D25" s="4">
        <v>0</v>
      </c>
      <c r="E25" s="4">
        <v>0</v>
      </c>
      <c r="F25" s="7">
        <f t="shared" si="0"/>
        <v>0</v>
      </c>
    </row>
    <row r="26" spans="1:16" ht="13" x14ac:dyDescent="0.3">
      <c r="B26" s="34" t="s">
        <v>0</v>
      </c>
      <c r="C26" s="109">
        <f>SUM(C2:C25)</f>
        <v>15053</v>
      </c>
      <c r="D26" s="109">
        <f>SUM(D2:D25)</f>
        <v>0</v>
      </c>
      <c r="E26" s="109">
        <f>SUM(E2:E25)</f>
        <v>0</v>
      </c>
      <c r="F26" s="109">
        <f>SUM(F2:F25)</f>
        <v>15053</v>
      </c>
      <c r="H26" s="153"/>
      <c r="I26" s="149" t="s">
        <v>13</v>
      </c>
      <c r="J26" s="149" t="s">
        <v>12</v>
      </c>
      <c r="K26" s="150" t="s">
        <v>20</v>
      </c>
      <c r="L26" s="151"/>
      <c r="M26" s="152"/>
    </row>
    <row r="27" spans="1:16" ht="13" x14ac:dyDescent="0.3">
      <c r="A27" s="17" t="s">
        <v>18</v>
      </c>
      <c r="B27" s="18" t="s">
        <v>21</v>
      </c>
      <c r="C27" s="8">
        <v>0</v>
      </c>
      <c r="D27" s="8">
        <v>0</v>
      </c>
      <c r="E27" s="8">
        <v>0</v>
      </c>
      <c r="F27" s="8">
        <f>SUM(C27:E27)</f>
        <v>0</v>
      </c>
      <c r="H27" s="147" t="s">
        <v>10</v>
      </c>
      <c r="I27" s="84">
        <v>42308</v>
      </c>
      <c r="J27" s="85">
        <v>42328</v>
      </c>
      <c r="K27" s="86"/>
      <c r="L27" s="87"/>
      <c r="M27" s="88"/>
    </row>
    <row r="28" spans="1:16" ht="13.5" thickBot="1" x14ac:dyDescent="0.35">
      <c r="A28" s="17" t="s">
        <v>19</v>
      </c>
      <c r="B28" s="18" t="s">
        <v>21</v>
      </c>
      <c r="C28" s="8">
        <v>0</v>
      </c>
      <c r="D28" s="8">
        <v>0</v>
      </c>
      <c r="E28" s="8">
        <v>0</v>
      </c>
      <c r="F28" s="8">
        <f>SUM(C28:E28)</f>
        <v>0</v>
      </c>
      <c r="H28" s="148" t="s">
        <v>16</v>
      </c>
      <c r="I28" s="89">
        <v>42340</v>
      </c>
      <c r="J28" s="90">
        <v>42369</v>
      </c>
      <c r="K28" s="91"/>
      <c r="L28" s="92"/>
      <c r="M28" s="93"/>
    </row>
    <row r="29" spans="1:16" ht="13.5" thickBot="1" x14ac:dyDescent="0.35">
      <c r="B29" s="34" t="s">
        <v>50</v>
      </c>
      <c r="C29" s="65">
        <f>+SUM(C26:C28)</f>
        <v>15053</v>
      </c>
      <c r="D29" s="65">
        <f>+SUM(D26:D28)</f>
        <v>0</v>
      </c>
      <c r="E29" s="65">
        <f>+SUM(E26:E28)</f>
        <v>0</v>
      </c>
      <c r="F29" s="65">
        <f>+SUM(F26:F28)</f>
        <v>15053</v>
      </c>
    </row>
    <row r="30" spans="1:16" ht="14" thickTop="1" thickBot="1" x14ac:dyDescent="0.35">
      <c r="B30" s="34"/>
      <c r="C30" s="13"/>
      <c r="D30" s="13"/>
      <c r="E30" s="13"/>
      <c r="F30" s="13"/>
    </row>
    <row r="31" spans="1:16" ht="13" x14ac:dyDescent="0.3">
      <c r="B31" s="33"/>
      <c r="C31" s="5"/>
      <c r="D31" s="17"/>
      <c r="I31" s="130"/>
      <c r="J31" s="113"/>
      <c r="K31" s="113"/>
      <c r="L31" s="113"/>
      <c r="M31" s="97"/>
    </row>
    <row r="32" spans="1:16"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c r="P32" s="332"/>
    </row>
    <row r="33" spans="1:16" ht="13" x14ac:dyDescent="0.3">
      <c r="A33" s="347" t="s">
        <v>2</v>
      </c>
      <c r="B33" s="351"/>
      <c r="C33" s="73">
        <f>$J$27</f>
        <v>42328</v>
      </c>
      <c r="D33" s="73">
        <f>DATE(YEAR(C33),IF(MONTH(C33)&lt;=3,3,IF(MONTH(C33)&lt;=6,6,IF(MONTH(C33)&lt;=9,9,12))),IF(OR(MONTH(C33)&lt;=3,MONTH(C33)&gt;=10),31,30))</f>
        <v>42369</v>
      </c>
      <c r="E33" s="72">
        <f>D33-C33+1</f>
        <v>42</v>
      </c>
      <c r="F33" s="74">
        <f>VLOOKUP(D33,'FERC Interest Rate'!$A:$B,2,TRUE)</f>
        <v>3.2500000000000001E-2</v>
      </c>
      <c r="G33" s="75">
        <f>$C$26</f>
        <v>15053</v>
      </c>
      <c r="H33" s="75">
        <f>G33*F33*(E33/(DATE(YEAR(D33),12,31)-DATE(YEAR(D33),1,1)+1))</f>
        <v>56.294095890410958</v>
      </c>
      <c r="I33" s="99">
        <v>0</v>
      </c>
      <c r="J33" s="76">
        <v>0</v>
      </c>
      <c r="K33" s="116">
        <f>+SUM(I33:J33)</f>
        <v>0</v>
      </c>
      <c r="L33" s="76">
        <v>0</v>
      </c>
      <c r="M33" s="117">
        <f>+SUM(K33:L33)</f>
        <v>0</v>
      </c>
      <c r="N33" s="8">
        <f>+G33+H33+J33</f>
        <v>15109.294095890411</v>
      </c>
      <c r="O33" s="75">
        <f t="shared" ref="O33:O50" si="1">G33+H33-L33-I33</f>
        <v>15109.294095890411</v>
      </c>
      <c r="P33" s="75"/>
    </row>
    <row r="34" spans="1:16" x14ac:dyDescent="0.25">
      <c r="A34" s="78" t="s">
        <v>101</v>
      </c>
      <c r="B34" s="72" t="s">
        <v>119</v>
      </c>
      <c r="C34" s="73">
        <v>42370</v>
      </c>
      <c r="D34" s="73">
        <v>42643</v>
      </c>
      <c r="E34" s="72">
        <f>D34-C34+1</f>
        <v>274</v>
      </c>
      <c r="F34" s="74">
        <f>VLOOKUP(D34,'FERC Interest Rate'!$A:$B,2,TRUE)</f>
        <v>3.5000000000000003E-2</v>
      </c>
      <c r="G34" s="75">
        <f t="shared" ref="G34:G50" si="2">O33</f>
        <v>15109.294095890411</v>
      </c>
      <c r="H34" s="75">
        <v>0</v>
      </c>
      <c r="I34" s="99">
        <f>SUM($H$33:$H$51)/20*4</f>
        <v>11.258819178082192</v>
      </c>
      <c r="J34" s="76">
        <f>G34*F34*(E34/(DATE(YEAR(D34),12,31)-DATE(YEAR(D34),1,1)+1))*4</f>
        <v>1583.5861243670938</v>
      </c>
      <c r="K34" s="116">
        <f t="shared" ref="K34:K50" si="3">+SUM(I34:J34)</f>
        <v>1594.844943545176</v>
      </c>
      <c r="L34" s="76">
        <f>$C$26/20*4</f>
        <v>3010.6</v>
      </c>
      <c r="M34" s="117">
        <f t="shared" ref="M34:M50" si="4">+SUM(K34:L34)</f>
        <v>4605.4449435451761</v>
      </c>
      <c r="N34" s="8">
        <f>+G34+H34+J34</f>
        <v>16692.880220257506</v>
      </c>
      <c r="O34" s="75">
        <f t="shared" si="1"/>
        <v>12087.435276712329</v>
      </c>
      <c r="P34" s="75"/>
    </row>
    <row r="35" spans="1:16" x14ac:dyDescent="0.25">
      <c r="A35" s="17" t="s">
        <v>56</v>
      </c>
      <c r="B35" s="72" t="str">
        <f t="shared" ref="B35:B50" si="5">+IF(MONTH(C35)&lt;4,"Q1",IF(MONTH(C35)&lt;7,"Q2",IF(MONTH(C35)&lt;10,"Q3","Q4")))&amp;"/"&amp;YEAR(C35)</f>
        <v>Q4/2016</v>
      </c>
      <c r="C35" s="73">
        <f t="shared" ref="C35:C50" si="6">D34+1</f>
        <v>42644</v>
      </c>
      <c r="D35" s="73">
        <f>EOMONTH(D34,3)</f>
        <v>42735</v>
      </c>
      <c r="E35" s="72">
        <f t="shared" ref="E35:E50" si="7">D35-C35+1</f>
        <v>92</v>
      </c>
      <c r="F35" s="74">
        <f>VLOOKUP(D35,'FERC Interest Rate'!$A:$B,2,TRUE)</f>
        <v>3.5000000000000003E-2</v>
      </c>
      <c r="G35" s="75">
        <f t="shared" si="2"/>
        <v>12087.435276712329</v>
      </c>
      <c r="H35" s="75">
        <v>0</v>
      </c>
      <c r="I35" s="99">
        <f t="shared" ref="I35:I50" si="8">SUM($H$33:$H$51)/20</f>
        <v>2.8147047945205479</v>
      </c>
      <c r="J35" s="76">
        <f t="shared" ref="J35:J50" si="9">G35*F35*(E35/(DATE(YEAR(D35),12,31)-DATE(YEAR(D35),1,1)+1))</f>
        <v>106.34300981151286</v>
      </c>
      <c r="K35" s="116">
        <f t="shared" si="3"/>
        <v>109.15771460603341</v>
      </c>
      <c r="L35" s="76">
        <f t="shared" ref="L35:L50" si="10">$C$26/20</f>
        <v>752.65</v>
      </c>
      <c r="M35" s="117">
        <f t="shared" si="4"/>
        <v>861.80771460603341</v>
      </c>
      <c r="N35" s="8">
        <f t="shared" ref="N35:N50" si="11">+G35+H35+J35</f>
        <v>12193.778286523842</v>
      </c>
      <c r="O35" s="75">
        <f t="shared" si="1"/>
        <v>11331.970571917809</v>
      </c>
      <c r="P35" s="75"/>
    </row>
    <row r="36" spans="1:16" x14ac:dyDescent="0.25">
      <c r="A36" s="17" t="s">
        <v>57</v>
      </c>
      <c r="B36" s="72" t="str">
        <f t="shared" si="5"/>
        <v>Q1/2017</v>
      </c>
      <c r="C36" s="73">
        <f>D35+1</f>
        <v>42736</v>
      </c>
      <c r="D36" s="73">
        <f>EOMONTH(D35,3)</f>
        <v>42825</v>
      </c>
      <c r="E36" s="72">
        <f t="shared" si="7"/>
        <v>90</v>
      </c>
      <c r="F36" s="74">
        <f>VLOOKUP(D36,'FERC Interest Rate'!$A:$B,2,TRUE)</f>
        <v>3.5000000000000003E-2</v>
      </c>
      <c r="G36" s="75">
        <f>O35</f>
        <v>11331.970571917809</v>
      </c>
      <c r="H36" s="75">
        <v>0</v>
      </c>
      <c r="I36" s="99">
        <f t="shared" si="8"/>
        <v>2.8147047945205479</v>
      </c>
      <c r="J36" s="76">
        <f t="shared" si="9"/>
        <v>97.796458360386566</v>
      </c>
      <c r="K36" s="116">
        <f t="shared" si="3"/>
        <v>100.61116315490712</v>
      </c>
      <c r="L36" s="76">
        <f t="shared" si="10"/>
        <v>752.65</v>
      </c>
      <c r="M36" s="117">
        <f t="shared" si="4"/>
        <v>853.26116315490708</v>
      </c>
      <c r="N36" s="8">
        <f t="shared" si="11"/>
        <v>11429.767030278195</v>
      </c>
      <c r="O36" s="75">
        <f t="shared" si="1"/>
        <v>10576.505867123289</v>
      </c>
      <c r="P36" s="75"/>
    </row>
    <row r="37" spans="1:16" x14ac:dyDescent="0.25">
      <c r="A37" s="17" t="s">
        <v>58</v>
      </c>
      <c r="B37" s="72" t="str">
        <f t="shared" si="5"/>
        <v>Q2/2017</v>
      </c>
      <c r="C37" s="73">
        <f t="shared" si="6"/>
        <v>42826</v>
      </c>
      <c r="D37" s="73">
        <f t="shared" ref="D37:D50" si="12">EOMONTH(D36,3)</f>
        <v>42916</v>
      </c>
      <c r="E37" s="72">
        <f t="shared" si="7"/>
        <v>91</v>
      </c>
      <c r="F37" s="74">
        <f>VLOOKUP(D37,'FERC Interest Rate'!$A:$B,2,TRUE)</f>
        <v>3.7100000000000001E-2</v>
      </c>
      <c r="G37" s="75">
        <f t="shared" si="2"/>
        <v>10576.505867123289</v>
      </c>
      <c r="H37" s="75">
        <v>0</v>
      </c>
      <c r="I37" s="99">
        <f t="shared" si="8"/>
        <v>2.8147047945205479</v>
      </c>
      <c r="J37" s="76">
        <f t="shared" si="9"/>
        <v>97.828332761629966</v>
      </c>
      <c r="K37" s="116">
        <f t="shared" si="3"/>
        <v>100.64303755615052</v>
      </c>
      <c r="L37" s="76">
        <f t="shared" si="10"/>
        <v>752.65</v>
      </c>
      <c r="M37" s="117">
        <f t="shared" si="4"/>
        <v>853.29303755615047</v>
      </c>
      <c r="N37" s="8">
        <f t="shared" si="11"/>
        <v>10674.334199884919</v>
      </c>
      <c r="O37" s="75">
        <f t="shared" si="1"/>
        <v>9821.0411623287691</v>
      </c>
      <c r="P37" s="75"/>
    </row>
    <row r="38" spans="1:16" x14ac:dyDescent="0.25">
      <c r="A38" s="17" t="s">
        <v>59</v>
      </c>
      <c r="B38" s="72" t="str">
        <f t="shared" si="5"/>
        <v>Q3/2017</v>
      </c>
      <c r="C38" s="73">
        <f t="shared" si="6"/>
        <v>42917</v>
      </c>
      <c r="D38" s="73">
        <f t="shared" si="12"/>
        <v>43008</v>
      </c>
      <c r="E38" s="72">
        <f t="shared" si="7"/>
        <v>92</v>
      </c>
      <c r="F38" s="74">
        <f>VLOOKUP(D38,'FERC Interest Rate'!$A:$B,2,TRUE)</f>
        <v>3.9600000000000003E-2</v>
      </c>
      <c r="G38" s="75">
        <f t="shared" si="2"/>
        <v>9821.0411623287691</v>
      </c>
      <c r="H38" s="75">
        <v>0</v>
      </c>
      <c r="I38" s="99">
        <f t="shared" si="8"/>
        <v>2.8147047945205479</v>
      </c>
      <c r="J38" s="76">
        <f t="shared" si="9"/>
        <v>98.027444281085423</v>
      </c>
      <c r="K38" s="116">
        <f t="shared" si="3"/>
        <v>100.84214907560597</v>
      </c>
      <c r="L38" s="76">
        <f t="shared" si="10"/>
        <v>752.65</v>
      </c>
      <c r="M38" s="117">
        <f t="shared" si="4"/>
        <v>853.49214907560599</v>
      </c>
      <c r="N38" s="8">
        <f t="shared" si="11"/>
        <v>9919.0686066098551</v>
      </c>
      <c r="O38" s="75">
        <f t="shared" si="1"/>
        <v>9065.5764575342491</v>
      </c>
      <c r="P38" s="75"/>
    </row>
    <row r="39" spans="1:16" x14ac:dyDescent="0.25">
      <c r="A39" s="17" t="s">
        <v>60</v>
      </c>
      <c r="B39" s="72" t="str">
        <f t="shared" si="5"/>
        <v>Q4/2017</v>
      </c>
      <c r="C39" s="73">
        <f t="shared" si="6"/>
        <v>43009</v>
      </c>
      <c r="D39" s="73">
        <f t="shared" si="12"/>
        <v>43100</v>
      </c>
      <c r="E39" s="72">
        <f t="shared" si="7"/>
        <v>92</v>
      </c>
      <c r="F39" s="74">
        <f>VLOOKUP(D39,'FERC Interest Rate'!$A:$B,2,TRUE)</f>
        <v>4.2099999999999999E-2</v>
      </c>
      <c r="G39" s="75">
        <f t="shared" si="2"/>
        <v>9065.5764575342491</v>
      </c>
      <c r="H39" s="75">
        <v>0</v>
      </c>
      <c r="I39" s="99">
        <f t="shared" si="8"/>
        <v>2.8147047945205479</v>
      </c>
      <c r="J39" s="76">
        <f t="shared" si="9"/>
        <v>96.199426672114129</v>
      </c>
      <c r="K39" s="116">
        <f t="shared" si="3"/>
        <v>99.01413146663468</v>
      </c>
      <c r="L39" s="76">
        <f t="shared" si="10"/>
        <v>752.65</v>
      </c>
      <c r="M39" s="117">
        <f t="shared" si="4"/>
        <v>851.66413146663467</v>
      </c>
      <c r="N39" s="8">
        <f t="shared" si="11"/>
        <v>9161.7758842063631</v>
      </c>
      <c r="O39" s="75">
        <f t="shared" si="1"/>
        <v>8310.1117527397291</v>
      </c>
      <c r="P39" s="75"/>
    </row>
    <row r="40" spans="1:16" x14ac:dyDescent="0.25">
      <c r="A40" s="17" t="s">
        <v>61</v>
      </c>
      <c r="B40" s="72" t="str">
        <f t="shared" si="5"/>
        <v>Q1/2018</v>
      </c>
      <c r="C40" s="73">
        <f t="shared" si="6"/>
        <v>43101</v>
      </c>
      <c r="D40" s="73">
        <f t="shared" si="12"/>
        <v>43190</v>
      </c>
      <c r="E40" s="72">
        <f t="shared" si="7"/>
        <v>90</v>
      </c>
      <c r="F40" s="74">
        <f>VLOOKUP(D40,'FERC Interest Rate'!$A:$B,2,TRUE)</f>
        <v>4.2500000000000003E-2</v>
      </c>
      <c r="G40" s="75">
        <f t="shared" si="2"/>
        <v>8310.1117527397291</v>
      </c>
      <c r="H40" s="75">
        <v>0</v>
      </c>
      <c r="I40" s="99">
        <f t="shared" si="8"/>
        <v>2.8147047945205479</v>
      </c>
      <c r="J40" s="76">
        <f t="shared" si="9"/>
        <v>87.085417682820449</v>
      </c>
      <c r="K40" s="116">
        <f t="shared" si="3"/>
        <v>89.900122477341</v>
      </c>
      <c r="L40" s="76">
        <f t="shared" si="10"/>
        <v>752.65</v>
      </c>
      <c r="M40" s="117">
        <f t="shared" si="4"/>
        <v>842.55012247734101</v>
      </c>
      <c r="N40" s="8">
        <f t="shared" si="11"/>
        <v>8397.1971704225489</v>
      </c>
      <c r="O40" s="75">
        <f t="shared" si="1"/>
        <v>7554.6470479452091</v>
      </c>
      <c r="P40" s="75"/>
    </row>
    <row r="41" spans="1:16" x14ac:dyDescent="0.25">
      <c r="A41" s="17" t="s">
        <v>62</v>
      </c>
      <c r="B41" s="72" t="str">
        <f t="shared" si="5"/>
        <v>Q2/2018</v>
      </c>
      <c r="C41" s="73">
        <f t="shared" si="6"/>
        <v>43191</v>
      </c>
      <c r="D41" s="73">
        <f t="shared" si="12"/>
        <v>43281</v>
      </c>
      <c r="E41" s="72">
        <f t="shared" si="7"/>
        <v>91</v>
      </c>
      <c r="F41" s="74">
        <f>VLOOKUP(D41,'FERC Interest Rate'!$A:$B,2,TRUE)</f>
        <v>4.4699999999999997E-2</v>
      </c>
      <c r="G41" s="75">
        <f t="shared" si="2"/>
        <v>7554.6470479452091</v>
      </c>
      <c r="H41" s="75">
        <v>0</v>
      </c>
      <c r="I41" s="99">
        <f t="shared" si="8"/>
        <v>2.8147047945205479</v>
      </c>
      <c r="J41" s="76">
        <f t="shared" si="9"/>
        <v>84.191884375141711</v>
      </c>
      <c r="K41" s="116">
        <f t="shared" si="3"/>
        <v>87.006589169662263</v>
      </c>
      <c r="L41" s="76">
        <f t="shared" si="10"/>
        <v>752.65</v>
      </c>
      <c r="M41" s="117">
        <f t="shared" si="4"/>
        <v>839.6565891696622</v>
      </c>
      <c r="N41" s="8">
        <f t="shared" si="11"/>
        <v>7638.838932320351</v>
      </c>
      <c r="O41" s="75">
        <f t="shared" si="1"/>
        <v>6799.1823431506891</v>
      </c>
      <c r="P41" s="75"/>
    </row>
    <row r="42" spans="1:16" x14ac:dyDescent="0.25">
      <c r="A42" s="17" t="s">
        <v>63</v>
      </c>
      <c r="B42" s="72" t="str">
        <f t="shared" si="5"/>
        <v>Q3/2018</v>
      </c>
      <c r="C42" s="73">
        <f t="shared" si="6"/>
        <v>43282</v>
      </c>
      <c r="D42" s="73">
        <f t="shared" si="12"/>
        <v>43373</v>
      </c>
      <c r="E42" s="72">
        <f t="shared" si="7"/>
        <v>92</v>
      </c>
      <c r="F42" s="74">
        <f>VLOOKUP(D42,'FERC Interest Rate'!$A:$B,2,TRUE)</f>
        <v>4.6899999999999997E-2</v>
      </c>
      <c r="G42" s="75">
        <f t="shared" si="2"/>
        <v>6799.1823431506891</v>
      </c>
      <c r="H42" s="75">
        <v>0</v>
      </c>
      <c r="I42" s="99">
        <f t="shared" si="8"/>
        <v>2.8147047945205479</v>
      </c>
      <c r="J42" s="76">
        <f t="shared" si="9"/>
        <v>80.375649244456426</v>
      </c>
      <c r="K42" s="116">
        <f t="shared" si="3"/>
        <v>83.190354038976977</v>
      </c>
      <c r="L42" s="76">
        <f t="shared" si="10"/>
        <v>752.65</v>
      </c>
      <c r="M42" s="117">
        <f t="shared" si="4"/>
        <v>835.84035403897701</v>
      </c>
      <c r="N42" s="8">
        <f t="shared" si="11"/>
        <v>6879.5579923951454</v>
      </c>
      <c r="O42" s="75">
        <f t="shared" si="1"/>
        <v>6043.7176383561691</v>
      </c>
      <c r="P42" s="75"/>
    </row>
    <row r="43" spans="1:16" x14ac:dyDescent="0.25">
      <c r="A43" s="17" t="s">
        <v>64</v>
      </c>
      <c r="B43" s="72" t="str">
        <f t="shared" si="5"/>
        <v>Q4/2018</v>
      </c>
      <c r="C43" s="73">
        <f t="shared" si="6"/>
        <v>43374</v>
      </c>
      <c r="D43" s="73">
        <f t="shared" si="12"/>
        <v>43465</v>
      </c>
      <c r="E43" s="72">
        <f t="shared" si="7"/>
        <v>92</v>
      </c>
      <c r="F43" s="74">
        <f>VLOOKUP(D43,'FERC Interest Rate'!$A:$B,2,TRUE)</f>
        <v>4.9599999999999998E-2</v>
      </c>
      <c r="G43" s="75">
        <f t="shared" si="2"/>
        <v>6043.7176383561691</v>
      </c>
      <c r="H43" s="75">
        <v>0</v>
      </c>
      <c r="I43" s="99">
        <f t="shared" si="8"/>
        <v>2.8147047945205479</v>
      </c>
      <c r="J43" s="76">
        <f t="shared" si="9"/>
        <v>75.558061170813346</v>
      </c>
      <c r="K43" s="116">
        <f t="shared" si="3"/>
        <v>78.372765965333897</v>
      </c>
      <c r="L43" s="76">
        <f t="shared" si="10"/>
        <v>752.65</v>
      </c>
      <c r="M43" s="117">
        <f t="shared" si="4"/>
        <v>831.02276596533386</v>
      </c>
      <c r="N43" s="8">
        <f t="shared" si="11"/>
        <v>6119.2756995269829</v>
      </c>
      <c r="O43" s="75">
        <f t="shared" si="1"/>
        <v>5288.2529335616491</v>
      </c>
      <c r="P43" s="75"/>
    </row>
    <row r="44" spans="1:16" x14ac:dyDescent="0.25">
      <c r="A44" s="17" t="s">
        <v>65</v>
      </c>
      <c r="B44" s="72" t="str">
        <f t="shared" si="5"/>
        <v>Q1/2019</v>
      </c>
      <c r="C44" s="73">
        <f t="shared" si="6"/>
        <v>43466</v>
      </c>
      <c r="D44" s="73">
        <f t="shared" si="12"/>
        <v>43555</v>
      </c>
      <c r="E44" s="72">
        <f t="shared" si="7"/>
        <v>90</v>
      </c>
      <c r="F44" s="74">
        <f>VLOOKUP(D44,'FERC Interest Rate'!$A:$B,2,TRUE)</f>
        <v>5.1799999999999999E-2</v>
      </c>
      <c r="G44" s="75">
        <f t="shared" si="2"/>
        <v>5288.2529335616491</v>
      </c>
      <c r="H44" s="75">
        <v>0</v>
      </c>
      <c r="I44" s="99">
        <f t="shared" si="8"/>
        <v>2.8147047945205479</v>
      </c>
      <c r="J44" s="76">
        <f t="shared" si="9"/>
        <v>67.544753907573721</v>
      </c>
      <c r="K44" s="116">
        <f t="shared" si="3"/>
        <v>70.359458702094273</v>
      </c>
      <c r="L44" s="76">
        <f t="shared" si="10"/>
        <v>752.65</v>
      </c>
      <c r="M44" s="117">
        <f t="shared" si="4"/>
        <v>823.00945870209421</v>
      </c>
      <c r="N44" s="8">
        <f t="shared" si="11"/>
        <v>5355.7976874692231</v>
      </c>
      <c r="O44" s="75">
        <f t="shared" si="1"/>
        <v>4532.7882287671291</v>
      </c>
      <c r="P44" s="75"/>
    </row>
    <row r="45" spans="1:16" x14ac:dyDescent="0.25">
      <c r="A45" s="17" t="s">
        <v>66</v>
      </c>
      <c r="B45" s="72" t="str">
        <f t="shared" si="5"/>
        <v>Q2/2019</v>
      </c>
      <c r="C45" s="73">
        <f t="shared" si="6"/>
        <v>43556</v>
      </c>
      <c r="D45" s="73">
        <f t="shared" si="12"/>
        <v>43646</v>
      </c>
      <c r="E45" s="72">
        <f t="shared" si="7"/>
        <v>91</v>
      </c>
      <c r="F45" s="74">
        <f>VLOOKUP(D45,'FERC Interest Rate'!$A:$B,2,TRUE)</f>
        <v>5.45E-2</v>
      </c>
      <c r="G45" s="75">
        <f t="shared" si="2"/>
        <v>4532.7882287671291</v>
      </c>
      <c r="H45" s="75">
        <v>0</v>
      </c>
      <c r="I45" s="99">
        <f t="shared" si="8"/>
        <v>2.8147047945205479</v>
      </c>
      <c r="J45" s="76">
        <f t="shared" si="9"/>
        <v>61.590036220741311</v>
      </c>
      <c r="K45" s="116">
        <f t="shared" si="3"/>
        <v>64.404741015261862</v>
      </c>
      <c r="L45" s="76">
        <f t="shared" si="10"/>
        <v>752.65</v>
      </c>
      <c r="M45" s="117">
        <f t="shared" si="4"/>
        <v>817.05474101526181</v>
      </c>
      <c r="N45" s="8">
        <f t="shared" si="11"/>
        <v>4594.3782649878704</v>
      </c>
      <c r="O45" s="75">
        <f t="shared" si="1"/>
        <v>3777.3235239726087</v>
      </c>
      <c r="P45" s="75"/>
    </row>
    <row r="46" spans="1:16" x14ac:dyDescent="0.25">
      <c r="A46" s="17" t="s">
        <v>67</v>
      </c>
      <c r="B46" s="72" t="str">
        <f t="shared" si="5"/>
        <v>Q3/2019</v>
      </c>
      <c r="C46" s="73">
        <f t="shared" si="6"/>
        <v>43647</v>
      </c>
      <c r="D46" s="73">
        <f t="shared" si="12"/>
        <v>43738</v>
      </c>
      <c r="E46" s="72">
        <f t="shared" si="7"/>
        <v>92</v>
      </c>
      <c r="F46" s="74">
        <f>VLOOKUP(D46,'FERC Interest Rate'!$A:$B,2,TRUE)</f>
        <v>5.5E-2</v>
      </c>
      <c r="G46" s="75">
        <f t="shared" si="2"/>
        <v>3777.3235239726087</v>
      </c>
      <c r="H46" s="75">
        <v>0</v>
      </c>
      <c r="I46" s="99">
        <f t="shared" si="8"/>
        <v>2.8147047945205479</v>
      </c>
      <c r="J46" s="76">
        <f t="shared" si="9"/>
        <v>52.365087756990143</v>
      </c>
      <c r="K46" s="116">
        <f t="shared" si="3"/>
        <v>55.179792551510687</v>
      </c>
      <c r="L46" s="76">
        <f t="shared" si="10"/>
        <v>752.65</v>
      </c>
      <c r="M46" s="117">
        <f t="shared" si="4"/>
        <v>807.82979255151065</v>
      </c>
      <c r="N46" s="8">
        <f t="shared" si="11"/>
        <v>3829.688611729599</v>
      </c>
      <c r="O46" s="75">
        <f t="shared" si="1"/>
        <v>3021.8588191780882</v>
      </c>
      <c r="P46" s="75"/>
    </row>
    <row r="47" spans="1:16" x14ac:dyDescent="0.25">
      <c r="A47" s="17" t="s">
        <v>68</v>
      </c>
      <c r="B47" s="72" t="str">
        <f t="shared" si="5"/>
        <v>Q4/2019</v>
      </c>
      <c r="C47" s="73">
        <f t="shared" si="6"/>
        <v>43739</v>
      </c>
      <c r="D47" s="73">
        <f t="shared" si="12"/>
        <v>43830</v>
      </c>
      <c r="E47" s="72">
        <f t="shared" si="7"/>
        <v>92</v>
      </c>
      <c r="F47" s="74">
        <f>VLOOKUP(D47,'FERC Interest Rate'!$A:$B,2,TRUE)</f>
        <v>5.4199999999999998E-2</v>
      </c>
      <c r="G47" s="75">
        <f t="shared" si="2"/>
        <v>3021.8588191780882</v>
      </c>
      <c r="H47" s="75">
        <v>0</v>
      </c>
      <c r="I47" s="99">
        <f t="shared" si="8"/>
        <v>2.8147047945205479</v>
      </c>
      <c r="J47" s="76">
        <f t="shared" si="9"/>
        <v>41.2827310026017</v>
      </c>
      <c r="K47" s="116">
        <f t="shared" si="3"/>
        <v>44.097435797122245</v>
      </c>
      <c r="L47" s="76">
        <f t="shared" si="10"/>
        <v>752.65</v>
      </c>
      <c r="M47" s="117">
        <f t="shared" si="4"/>
        <v>796.74743579712219</v>
      </c>
      <c r="N47" s="8">
        <f t="shared" si="11"/>
        <v>3063.14155018069</v>
      </c>
      <c r="O47" s="75">
        <f t="shared" si="1"/>
        <v>2266.3941143835677</v>
      </c>
      <c r="P47" s="75"/>
    </row>
    <row r="48" spans="1:16" x14ac:dyDescent="0.25">
      <c r="A48" s="17" t="s">
        <v>69</v>
      </c>
      <c r="B48" s="72" t="str">
        <f t="shared" si="5"/>
        <v>Q1/2020</v>
      </c>
      <c r="C48" s="73">
        <f t="shared" si="6"/>
        <v>43831</v>
      </c>
      <c r="D48" s="73">
        <f t="shared" si="12"/>
        <v>43921</v>
      </c>
      <c r="E48" s="72">
        <f t="shared" si="7"/>
        <v>91</v>
      </c>
      <c r="F48" s="74">
        <f>VLOOKUP(D48,'FERC Interest Rate'!$A:$B,2,TRUE)</f>
        <v>4.9599999999999998E-2</v>
      </c>
      <c r="G48" s="75">
        <f t="shared" si="2"/>
        <v>2266.3941143835677</v>
      </c>
      <c r="H48" s="75">
        <v>0</v>
      </c>
      <c r="I48" s="99">
        <f t="shared" si="8"/>
        <v>2.8147047945205479</v>
      </c>
      <c r="J48" s="76">
        <f t="shared" si="9"/>
        <v>27.94971714393899</v>
      </c>
      <c r="K48" s="116">
        <f t="shared" si="3"/>
        <v>30.764421938459538</v>
      </c>
      <c r="L48" s="76">
        <f t="shared" si="10"/>
        <v>752.65</v>
      </c>
      <c r="M48" s="117">
        <f t="shared" si="4"/>
        <v>783.41442193845955</v>
      </c>
      <c r="N48" s="8">
        <f t="shared" si="11"/>
        <v>2294.3438315275066</v>
      </c>
      <c r="O48" s="75">
        <f t="shared" si="1"/>
        <v>1510.9294095890471</v>
      </c>
      <c r="P48" s="75"/>
    </row>
    <row r="49" spans="1:17" x14ac:dyDescent="0.25">
      <c r="A49" s="17" t="s">
        <v>70</v>
      </c>
      <c r="B49" s="72" t="str">
        <f t="shared" si="5"/>
        <v>Q2/2020</v>
      </c>
      <c r="C49" s="73">
        <f t="shared" si="6"/>
        <v>43922</v>
      </c>
      <c r="D49" s="73">
        <f t="shared" si="12"/>
        <v>44012</v>
      </c>
      <c r="E49" s="72">
        <f t="shared" si="7"/>
        <v>91</v>
      </c>
      <c r="F49" s="74">
        <f>VLOOKUP(D49,'FERC Interest Rate'!$A:$B,2,TRUE)</f>
        <v>4.7503500000000004E-2</v>
      </c>
      <c r="G49" s="75">
        <f t="shared" si="2"/>
        <v>1510.9294095890471</v>
      </c>
      <c r="H49" s="75">
        <v>0</v>
      </c>
      <c r="I49" s="99">
        <f t="shared" si="8"/>
        <v>2.8147047945205479</v>
      </c>
      <c r="J49" s="76">
        <f t="shared" si="9"/>
        <v>17.845556294988008</v>
      </c>
      <c r="K49" s="116">
        <f t="shared" si="3"/>
        <v>20.660261089508555</v>
      </c>
      <c r="L49" s="76">
        <f t="shared" si="10"/>
        <v>752.65</v>
      </c>
      <c r="M49" s="117">
        <f t="shared" si="4"/>
        <v>773.31026108950857</v>
      </c>
      <c r="N49" s="8">
        <f t="shared" si="11"/>
        <v>1528.7749658840351</v>
      </c>
      <c r="O49" s="75">
        <f t="shared" si="1"/>
        <v>755.46470479452648</v>
      </c>
      <c r="P49" s="75"/>
    </row>
    <row r="50" spans="1:17" x14ac:dyDescent="0.25">
      <c r="A50" s="17" t="s">
        <v>71</v>
      </c>
      <c r="B50" s="72" t="str">
        <f t="shared" si="5"/>
        <v>Q3/2020</v>
      </c>
      <c r="C50" s="73">
        <f t="shared" si="6"/>
        <v>44013</v>
      </c>
      <c r="D50" s="73">
        <f t="shared" si="12"/>
        <v>44104</v>
      </c>
      <c r="E50" s="72">
        <f t="shared" si="7"/>
        <v>92</v>
      </c>
      <c r="F50" s="74">
        <f>VLOOKUP(D50,'FERC Interest Rate'!$A:$B,2,TRUE)</f>
        <v>4.7507929999999997E-2</v>
      </c>
      <c r="G50" s="75">
        <f t="shared" si="2"/>
        <v>755.46470479452648</v>
      </c>
      <c r="H50" s="75">
        <v>0</v>
      </c>
      <c r="I50" s="99">
        <f t="shared" si="8"/>
        <v>2.8147047945205479</v>
      </c>
      <c r="J50" s="76">
        <f t="shared" si="9"/>
        <v>9.0216719037762569</v>
      </c>
      <c r="K50" s="116">
        <f t="shared" si="3"/>
        <v>11.836376698296805</v>
      </c>
      <c r="L50" s="76">
        <f t="shared" si="10"/>
        <v>752.65</v>
      </c>
      <c r="M50" s="117">
        <f t="shared" si="4"/>
        <v>764.48637669829679</v>
      </c>
      <c r="N50" s="8">
        <f t="shared" si="11"/>
        <v>764.48637669830271</v>
      </c>
      <c r="O50" s="75">
        <f t="shared" si="1"/>
        <v>5.9579008393484401E-12</v>
      </c>
      <c r="P50" s="75"/>
    </row>
    <row r="51" spans="1:17" x14ac:dyDescent="0.25">
      <c r="B51" s="11"/>
      <c r="C51" s="111"/>
      <c r="D51" s="111"/>
      <c r="E51" s="10"/>
      <c r="F51" s="11"/>
      <c r="G51" s="76"/>
      <c r="H51" s="12"/>
      <c r="I51" s="101"/>
      <c r="J51" s="76"/>
      <c r="K51" s="103"/>
      <c r="L51" s="58"/>
      <c r="M51" s="118"/>
      <c r="O51" s="76"/>
      <c r="P51" s="76"/>
    </row>
    <row r="52" spans="1:17" ht="13.5" thickBot="1" x14ac:dyDescent="0.35">
      <c r="A52" s="142"/>
      <c r="B52" s="143"/>
      <c r="C52" s="146"/>
      <c r="D52" s="146"/>
      <c r="E52" s="145"/>
      <c r="F52" s="143"/>
      <c r="G52" s="127">
        <f t="shared" ref="G52:O52" si="13">+SUM(G33:G51)</f>
        <v>132905.49394794524</v>
      </c>
      <c r="H52" s="127">
        <f t="shared" si="13"/>
        <v>56.294095890410958</v>
      </c>
      <c r="I52" s="128">
        <f t="shared" si="13"/>
        <v>56.294095890410986</v>
      </c>
      <c r="J52" s="127">
        <f t="shared" si="13"/>
        <v>2684.5913629576648</v>
      </c>
      <c r="K52" s="127">
        <f t="shared" si="13"/>
        <v>2740.8854588480763</v>
      </c>
      <c r="L52" s="127">
        <f t="shared" si="13"/>
        <v>15052.999999999995</v>
      </c>
      <c r="M52" s="129">
        <f t="shared" si="13"/>
        <v>17793.885458848075</v>
      </c>
      <c r="N52" s="127">
        <f t="shared" si="13"/>
        <v>135646.37940679336</v>
      </c>
      <c r="O52" s="127">
        <f t="shared" si="13"/>
        <v>117852.49394794527</v>
      </c>
      <c r="P52" s="187"/>
      <c r="Q52" s="8"/>
    </row>
    <row r="53" spans="1:17" s="174" customFormat="1" ht="13" thickTop="1" x14ac:dyDescent="0.25">
      <c r="B53" s="175"/>
      <c r="C53" s="175"/>
      <c r="D53" s="175"/>
      <c r="E53" s="175"/>
      <c r="F53" s="175"/>
      <c r="G53" s="175"/>
      <c r="H53" s="175"/>
      <c r="I53" s="176"/>
      <c r="J53" s="175"/>
      <c r="K53" s="175"/>
      <c r="L53" s="175"/>
      <c r="M53" s="177"/>
      <c r="O53" s="175"/>
      <c r="P53" s="175"/>
    </row>
    <row r="54" spans="1:17" ht="37" x14ac:dyDescent="0.3">
      <c r="A54" s="77" t="s">
        <v>51</v>
      </c>
      <c r="B54" s="77" t="s">
        <v>3</v>
      </c>
      <c r="C54" s="77" t="s">
        <v>4</v>
      </c>
      <c r="D54" s="77" t="s">
        <v>5</v>
      </c>
      <c r="E54" s="77" t="s">
        <v>6</v>
      </c>
      <c r="F54" s="77" t="s">
        <v>7</v>
      </c>
      <c r="G54" s="77" t="s">
        <v>78</v>
      </c>
      <c r="H54" s="77" t="s">
        <v>79</v>
      </c>
      <c r="I54" s="94" t="s">
        <v>80</v>
      </c>
      <c r="J54" s="95" t="s">
        <v>81</v>
      </c>
      <c r="K54" s="95" t="s">
        <v>82</v>
      </c>
      <c r="L54" s="95" t="s">
        <v>83</v>
      </c>
      <c r="M54" s="96" t="s">
        <v>73</v>
      </c>
      <c r="N54" s="77" t="s">
        <v>84</v>
      </c>
      <c r="O54" s="77" t="s">
        <v>85</v>
      </c>
      <c r="P54" s="332"/>
      <c r="Q54" s="8"/>
    </row>
    <row r="55" spans="1:17" x14ac:dyDescent="0.25">
      <c r="B55" s="72"/>
      <c r="C55" s="73">
        <f>$B$2</f>
        <v>41974</v>
      </c>
      <c r="D55" s="73">
        <f>DATE(YEAR(C55),IF(MONTH(C55)&lt;=3,3,IF(MONTH(C55)&lt;=6,6,IF(MONTH(C55)&lt;=9,9,12))),IF(OR(MONTH(C55)&lt;=3,MONTH(C55)&gt;=10),31,30))</f>
        <v>42004</v>
      </c>
      <c r="E55" s="72">
        <f>D55-C55+1</f>
        <v>31</v>
      </c>
      <c r="F55" s="74">
        <f>VLOOKUP(D55,'FERC Interest Rate'!$A:$B,2,TRUE)</f>
        <v>3.2500000000000001E-2</v>
      </c>
      <c r="G55" s="75">
        <f>$E$2</f>
        <v>0</v>
      </c>
      <c r="H55" s="75">
        <f t="shared" ref="H55:H62" si="14">G55*F55*(E55/(DATE(YEAR(D55),12,31)-DATE(YEAR(D55),1,1)+1))</f>
        <v>0</v>
      </c>
      <c r="I55" s="99">
        <v>0</v>
      </c>
      <c r="J55" s="76">
        <v>0</v>
      </c>
      <c r="K55" s="116">
        <f t="shared" ref="K55:K82" si="15">+SUM(I55:J55)</f>
        <v>0</v>
      </c>
      <c r="L55" s="76">
        <v>0</v>
      </c>
      <c r="M55" s="117">
        <f t="shared" ref="M55:M82" si="16">+SUM(K55:L55)</f>
        <v>0</v>
      </c>
      <c r="N55" s="8">
        <f t="shared" ref="N55:N82" si="17">+G55+H55+J55</f>
        <v>0</v>
      </c>
      <c r="O55" s="75">
        <f t="shared" ref="O55:O82" si="18">G55+H55-L55-I55</f>
        <v>0</v>
      </c>
      <c r="P55" s="75"/>
      <c r="Q55" s="8"/>
    </row>
    <row r="56" spans="1:17" x14ac:dyDescent="0.25">
      <c r="B56" s="72"/>
      <c r="C56" s="73">
        <f>D55+1</f>
        <v>42005</v>
      </c>
      <c r="D56" s="73">
        <f>EOMONTH(D55,3)</f>
        <v>42094</v>
      </c>
      <c r="E56" s="72">
        <f t="shared" ref="E56:E82" si="19">D56-C56+1</f>
        <v>90</v>
      </c>
      <c r="F56" s="74">
        <f>VLOOKUP(D56,'FERC Interest Rate'!$A:$B,2,TRUE)</f>
        <v>3.2500000000000001E-2</v>
      </c>
      <c r="G56" s="75">
        <f t="shared" ref="G56:G82" si="20">O55</f>
        <v>0</v>
      </c>
      <c r="H56" s="75">
        <f t="shared" si="14"/>
        <v>0</v>
      </c>
      <c r="I56" s="99">
        <v>0</v>
      </c>
      <c r="J56" s="76">
        <v>0</v>
      </c>
      <c r="K56" s="116">
        <f t="shared" si="15"/>
        <v>0</v>
      </c>
      <c r="L56" s="76">
        <v>0</v>
      </c>
      <c r="M56" s="117">
        <f t="shared" si="16"/>
        <v>0</v>
      </c>
      <c r="N56" s="8">
        <f t="shared" si="17"/>
        <v>0</v>
      </c>
      <c r="O56" s="75">
        <f t="shared" si="18"/>
        <v>0</v>
      </c>
      <c r="P56" s="75"/>
      <c r="Q56" s="8"/>
    </row>
    <row r="57" spans="1:17" x14ac:dyDescent="0.25">
      <c r="B57" s="72"/>
      <c r="C57" s="73">
        <f t="shared" ref="C57:C82" si="21">D56+1</f>
        <v>42095</v>
      </c>
      <c r="D57" s="73">
        <f t="shared" ref="D57:D82" si="22">EOMONTH(D56,3)</f>
        <v>42185</v>
      </c>
      <c r="E57" s="72">
        <f t="shared" si="19"/>
        <v>91</v>
      </c>
      <c r="F57" s="74">
        <f>VLOOKUP(D57,'FERC Interest Rate'!$A:$B,2,TRUE)</f>
        <v>3.2500000000000001E-2</v>
      </c>
      <c r="G57" s="75">
        <f t="shared" si="20"/>
        <v>0</v>
      </c>
      <c r="H57" s="75">
        <f t="shared" si="14"/>
        <v>0</v>
      </c>
      <c r="I57" s="99">
        <v>0</v>
      </c>
      <c r="J57" s="76">
        <v>0</v>
      </c>
      <c r="K57" s="116">
        <f t="shared" si="15"/>
        <v>0</v>
      </c>
      <c r="L57" s="76">
        <v>0</v>
      </c>
      <c r="M57" s="117">
        <f t="shared" si="16"/>
        <v>0</v>
      </c>
      <c r="N57" s="8">
        <f t="shared" si="17"/>
        <v>0</v>
      </c>
      <c r="O57" s="75">
        <f t="shared" si="18"/>
        <v>0</v>
      </c>
      <c r="P57" s="75"/>
    </row>
    <row r="58" spans="1:17" x14ac:dyDescent="0.25">
      <c r="B58" s="72"/>
      <c r="C58" s="73">
        <f t="shared" si="21"/>
        <v>42186</v>
      </c>
      <c r="D58" s="73">
        <f t="shared" si="22"/>
        <v>42277</v>
      </c>
      <c r="E58" s="72">
        <f t="shared" si="19"/>
        <v>92</v>
      </c>
      <c r="F58" s="74">
        <f>VLOOKUP(D58,'FERC Interest Rate'!$A:$B,2,TRUE)</f>
        <v>3.2500000000000001E-2</v>
      </c>
      <c r="G58" s="75">
        <f t="shared" si="20"/>
        <v>0</v>
      </c>
      <c r="H58" s="75">
        <f t="shared" si="14"/>
        <v>0</v>
      </c>
      <c r="I58" s="99">
        <v>0</v>
      </c>
      <c r="J58" s="76">
        <v>0</v>
      </c>
      <c r="K58" s="116">
        <f t="shared" si="15"/>
        <v>0</v>
      </c>
      <c r="L58" s="76">
        <v>0</v>
      </c>
      <c r="M58" s="117">
        <f t="shared" si="16"/>
        <v>0</v>
      </c>
      <c r="N58" s="8">
        <f t="shared" si="17"/>
        <v>0</v>
      </c>
      <c r="O58" s="75">
        <f t="shared" si="18"/>
        <v>0</v>
      </c>
      <c r="P58" s="75"/>
    </row>
    <row r="59" spans="1:17" x14ac:dyDescent="0.25">
      <c r="B59" s="72"/>
      <c r="C59" s="73">
        <f t="shared" si="21"/>
        <v>42278</v>
      </c>
      <c r="D59" s="73">
        <f t="shared" si="22"/>
        <v>42369</v>
      </c>
      <c r="E59" s="72">
        <f t="shared" si="19"/>
        <v>92</v>
      </c>
      <c r="F59" s="74">
        <f>VLOOKUP(D59,'FERC Interest Rate'!$A:$B,2,TRUE)</f>
        <v>3.2500000000000001E-2</v>
      </c>
      <c r="G59" s="75">
        <f t="shared" si="20"/>
        <v>0</v>
      </c>
      <c r="H59" s="75">
        <f t="shared" si="14"/>
        <v>0</v>
      </c>
      <c r="I59" s="99">
        <v>0</v>
      </c>
      <c r="J59" s="76">
        <v>0</v>
      </c>
      <c r="K59" s="116">
        <f t="shared" si="15"/>
        <v>0</v>
      </c>
      <c r="L59" s="76">
        <v>0</v>
      </c>
      <c r="M59" s="117">
        <f t="shared" si="16"/>
        <v>0</v>
      </c>
      <c r="N59" s="8">
        <f t="shared" si="17"/>
        <v>0</v>
      </c>
      <c r="O59" s="75">
        <f t="shared" si="18"/>
        <v>0</v>
      </c>
      <c r="P59" s="75"/>
    </row>
    <row r="60" spans="1:17" x14ac:dyDescent="0.25">
      <c r="B60" s="72"/>
      <c r="C60" s="73">
        <f t="shared" si="21"/>
        <v>42370</v>
      </c>
      <c r="D60" s="73">
        <f t="shared" si="22"/>
        <v>42460</v>
      </c>
      <c r="E60" s="72">
        <f t="shared" si="19"/>
        <v>91</v>
      </c>
      <c r="F60" s="74">
        <f>VLOOKUP(D60,'FERC Interest Rate'!$A:$B,2,TRUE)</f>
        <v>3.2500000000000001E-2</v>
      </c>
      <c r="G60" s="75">
        <f t="shared" si="20"/>
        <v>0</v>
      </c>
      <c r="H60" s="75">
        <f t="shared" si="14"/>
        <v>0</v>
      </c>
      <c r="I60" s="99">
        <v>0</v>
      </c>
      <c r="J60" s="76">
        <v>0</v>
      </c>
      <c r="K60" s="116">
        <f t="shared" si="15"/>
        <v>0</v>
      </c>
      <c r="L60" s="76">
        <v>0</v>
      </c>
      <c r="M60" s="117">
        <f t="shared" si="16"/>
        <v>0</v>
      </c>
      <c r="N60" s="8">
        <f t="shared" si="17"/>
        <v>0</v>
      </c>
      <c r="O60" s="75">
        <f t="shared" si="18"/>
        <v>0</v>
      </c>
      <c r="P60" s="75"/>
    </row>
    <row r="61" spans="1:17" x14ac:dyDescent="0.25">
      <c r="B61" s="72"/>
      <c r="C61" s="73">
        <f t="shared" si="21"/>
        <v>42461</v>
      </c>
      <c r="D61" s="73">
        <f t="shared" si="22"/>
        <v>42551</v>
      </c>
      <c r="E61" s="72">
        <f t="shared" si="19"/>
        <v>91</v>
      </c>
      <c r="F61" s="74">
        <f>VLOOKUP(D61,'FERC Interest Rate'!$A:$B,2,TRUE)</f>
        <v>3.4599999999999999E-2</v>
      </c>
      <c r="G61" s="75">
        <f t="shared" si="20"/>
        <v>0</v>
      </c>
      <c r="H61" s="75">
        <f t="shared" si="14"/>
        <v>0</v>
      </c>
      <c r="I61" s="99">
        <v>0</v>
      </c>
      <c r="J61" s="76">
        <v>0</v>
      </c>
      <c r="K61" s="116">
        <f t="shared" si="15"/>
        <v>0</v>
      </c>
      <c r="L61" s="76">
        <v>0</v>
      </c>
      <c r="M61" s="117">
        <f t="shared" si="16"/>
        <v>0</v>
      </c>
      <c r="N61" s="8">
        <f t="shared" si="17"/>
        <v>0</v>
      </c>
      <c r="O61" s="75">
        <f t="shared" si="18"/>
        <v>0</v>
      </c>
      <c r="P61" s="75"/>
    </row>
    <row r="62" spans="1:17" x14ac:dyDescent="0.25">
      <c r="B62" s="72"/>
      <c r="C62" s="73">
        <f t="shared" si="21"/>
        <v>42552</v>
      </c>
      <c r="D62" s="73">
        <f t="shared" si="22"/>
        <v>42643</v>
      </c>
      <c r="E62" s="72">
        <f t="shared" si="19"/>
        <v>92</v>
      </c>
      <c r="F62" s="74">
        <f>VLOOKUP(D62,'FERC Interest Rate'!$A:$B,2,TRUE)</f>
        <v>3.5000000000000003E-2</v>
      </c>
      <c r="G62" s="75">
        <f t="shared" si="20"/>
        <v>0</v>
      </c>
      <c r="H62" s="75">
        <f t="shared" si="14"/>
        <v>0</v>
      </c>
      <c r="I62" s="99">
        <v>0</v>
      </c>
      <c r="J62" s="76">
        <v>0</v>
      </c>
      <c r="K62" s="116">
        <f t="shared" si="15"/>
        <v>0</v>
      </c>
      <c r="L62" s="76">
        <v>0</v>
      </c>
      <c r="M62" s="117">
        <f t="shared" si="16"/>
        <v>0</v>
      </c>
      <c r="N62" s="8">
        <f t="shared" si="17"/>
        <v>0</v>
      </c>
      <c r="O62" s="75">
        <f t="shared" si="18"/>
        <v>0</v>
      </c>
      <c r="P62" s="75"/>
    </row>
    <row r="63" spans="1:17" x14ac:dyDescent="0.25">
      <c r="B63" s="72"/>
      <c r="C63" s="73">
        <f t="shared" si="21"/>
        <v>42644</v>
      </c>
      <c r="D63" s="73">
        <f t="shared" si="22"/>
        <v>42735</v>
      </c>
      <c r="E63" s="72">
        <f t="shared" si="19"/>
        <v>92</v>
      </c>
      <c r="F63" s="74">
        <f>VLOOKUP(D63,'FERC Interest Rate'!$A:$B,2,TRUE)</f>
        <v>3.5000000000000003E-2</v>
      </c>
      <c r="G63" s="75">
        <f t="shared" si="20"/>
        <v>0</v>
      </c>
      <c r="H63" s="75">
        <v>0</v>
      </c>
      <c r="I63" s="99">
        <v>0</v>
      </c>
      <c r="J63" s="76">
        <f t="shared" ref="J63:J80" si="23">G63*F63*(E63/(DATE(YEAR(D63),12,31)-DATE(YEAR(D63),1,1)+1))</f>
        <v>0</v>
      </c>
      <c r="K63" s="116">
        <f t="shared" si="15"/>
        <v>0</v>
      </c>
      <c r="L63" s="76">
        <f t="shared" ref="L63:L82" si="24">$G$55/20</f>
        <v>0</v>
      </c>
      <c r="M63" s="117">
        <f t="shared" si="16"/>
        <v>0</v>
      </c>
      <c r="N63" s="8">
        <f t="shared" si="17"/>
        <v>0</v>
      </c>
      <c r="O63" s="75">
        <f t="shared" si="18"/>
        <v>0</v>
      </c>
      <c r="P63" s="75"/>
    </row>
    <row r="64" spans="1:17" x14ac:dyDescent="0.25">
      <c r="B64" s="72"/>
      <c r="C64" s="73">
        <f t="shared" si="21"/>
        <v>42736</v>
      </c>
      <c r="D64" s="73">
        <f t="shared" si="22"/>
        <v>42825</v>
      </c>
      <c r="E64" s="72">
        <f t="shared" si="19"/>
        <v>90</v>
      </c>
      <c r="F64" s="74">
        <f>VLOOKUP(D64,'FERC Interest Rate'!$A:$B,2,TRUE)</f>
        <v>3.5000000000000003E-2</v>
      </c>
      <c r="G64" s="75">
        <f t="shared" si="20"/>
        <v>0</v>
      </c>
      <c r="H64" s="75">
        <v>0</v>
      </c>
      <c r="I64" s="99">
        <v>0</v>
      </c>
      <c r="J64" s="76">
        <f t="shared" si="23"/>
        <v>0</v>
      </c>
      <c r="K64" s="116">
        <f t="shared" si="15"/>
        <v>0</v>
      </c>
      <c r="L64" s="76">
        <f t="shared" si="24"/>
        <v>0</v>
      </c>
      <c r="M64" s="117">
        <f t="shared" si="16"/>
        <v>0</v>
      </c>
      <c r="N64" s="8">
        <f t="shared" si="17"/>
        <v>0</v>
      </c>
      <c r="O64" s="75">
        <f t="shared" si="18"/>
        <v>0</v>
      </c>
      <c r="P64" s="75"/>
    </row>
    <row r="65" spans="2:16" x14ac:dyDescent="0.25">
      <c r="B65" s="72"/>
      <c r="C65" s="73">
        <f t="shared" si="21"/>
        <v>42826</v>
      </c>
      <c r="D65" s="73">
        <f t="shared" si="22"/>
        <v>42916</v>
      </c>
      <c r="E65" s="72">
        <f t="shared" si="19"/>
        <v>91</v>
      </c>
      <c r="F65" s="74">
        <f>VLOOKUP(D65,'FERC Interest Rate'!$A:$B,2,TRUE)</f>
        <v>3.7100000000000001E-2</v>
      </c>
      <c r="G65" s="75">
        <f t="shared" si="20"/>
        <v>0</v>
      </c>
      <c r="H65" s="75">
        <v>0</v>
      </c>
      <c r="I65" s="99">
        <v>0</v>
      </c>
      <c r="J65" s="76">
        <f t="shared" si="23"/>
        <v>0</v>
      </c>
      <c r="K65" s="116">
        <f t="shared" si="15"/>
        <v>0</v>
      </c>
      <c r="L65" s="76">
        <f t="shared" si="24"/>
        <v>0</v>
      </c>
      <c r="M65" s="117">
        <f t="shared" si="16"/>
        <v>0</v>
      </c>
      <c r="N65" s="8">
        <f t="shared" si="17"/>
        <v>0</v>
      </c>
      <c r="O65" s="75">
        <f t="shared" si="18"/>
        <v>0</v>
      </c>
      <c r="P65" s="75"/>
    </row>
    <row r="66" spans="2:16" x14ac:dyDescent="0.25">
      <c r="B66" s="72"/>
      <c r="C66" s="73">
        <f t="shared" si="21"/>
        <v>42917</v>
      </c>
      <c r="D66" s="73">
        <f t="shared" si="22"/>
        <v>43008</v>
      </c>
      <c r="E66" s="72">
        <f t="shared" si="19"/>
        <v>92</v>
      </c>
      <c r="F66" s="74">
        <f>VLOOKUP(D66,'FERC Interest Rate'!$A:$B,2,TRUE)</f>
        <v>3.9600000000000003E-2</v>
      </c>
      <c r="G66" s="75">
        <f t="shared" si="20"/>
        <v>0</v>
      </c>
      <c r="H66" s="75">
        <v>0</v>
      </c>
      <c r="I66" s="99">
        <v>0</v>
      </c>
      <c r="J66" s="76">
        <f t="shared" si="23"/>
        <v>0</v>
      </c>
      <c r="K66" s="116">
        <f t="shared" si="15"/>
        <v>0</v>
      </c>
      <c r="L66" s="76">
        <f t="shared" si="24"/>
        <v>0</v>
      </c>
      <c r="M66" s="117">
        <f t="shared" si="16"/>
        <v>0</v>
      </c>
      <c r="N66" s="8">
        <f t="shared" si="17"/>
        <v>0</v>
      </c>
      <c r="O66" s="75">
        <f t="shared" si="18"/>
        <v>0</v>
      </c>
      <c r="P66" s="75"/>
    </row>
    <row r="67" spans="2:16" x14ac:dyDescent="0.25">
      <c r="B67" s="72"/>
      <c r="C67" s="73">
        <f t="shared" si="21"/>
        <v>43009</v>
      </c>
      <c r="D67" s="73">
        <f t="shared" si="22"/>
        <v>43100</v>
      </c>
      <c r="E67" s="72">
        <f t="shared" si="19"/>
        <v>92</v>
      </c>
      <c r="F67" s="74">
        <f>VLOOKUP(D67,'FERC Interest Rate'!$A:$B,2,TRUE)</f>
        <v>4.2099999999999999E-2</v>
      </c>
      <c r="G67" s="75">
        <f t="shared" si="20"/>
        <v>0</v>
      </c>
      <c r="H67" s="75">
        <v>0</v>
      </c>
      <c r="I67" s="99">
        <v>0</v>
      </c>
      <c r="J67" s="76">
        <f t="shared" si="23"/>
        <v>0</v>
      </c>
      <c r="K67" s="116">
        <f t="shared" si="15"/>
        <v>0</v>
      </c>
      <c r="L67" s="76">
        <f t="shared" si="24"/>
        <v>0</v>
      </c>
      <c r="M67" s="117">
        <f t="shared" si="16"/>
        <v>0</v>
      </c>
      <c r="N67" s="8">
        <f t="shared" si="17"/>
        <v>0</v>
      </c>
      <c r="O67" s="75">
        <f t="shared" si="18"/>
        <v>0</v>
      </c>
      <c r="P67" s="75"/>
    </row>
    <row r="68" spans="2:16" x14ac:dyDescent="0.25">
      <c r="B68" s="72"/>
      <c r="C68" s="73">
        <f t="shared" si="21"/>
        <v>43101</v>
      </c>
      <c r="D68" s="73">
        <f t="shared" si="22"/>
        <v>43190</v>
      </c>
      <c r="E68" s="72">
        <f t="shared" si="19"/>
        <v>90</v>
      </c>
      <c r="F68" s="74">
        <f>VLOOKUP(D68,'FERC Interest Rate'!$A:$B,2,TRUE)</f>
        <v>4.2500000000000003E-2</v>
      </c>
      <c r="G68" s="75">
        <f t="shared" si="20"/>
        <v>0</v>
      </c>
      <c r="H68" s="75">
        <v>0</v>
      </c>
      <c r="I68" s="99">
        <v>0</v>
      </c>
      <c r="J68" s="76">
        <f t="shared" si="23"/>
        <v>0</v>
      </c>
      <c r="K68" s="116">
        <f t="shared" si="15"/>
        <v>0</v>
      </c>
      <c r="L68" s="76">
        <f t="shared" si="24"/>
        <v>0</v>
      </c>
      <c r="M68" s="117">
        <f t="shared" si="16"/>
        <v>0</v>
      </c>
      <c r="N68" s="8">
        <f t="shared" si="17"/>
        <v>0</v>
      </c>
      <c r="O68" s="75">
        <f t="shared" si="18"/>
        <v>0</v>
      </c>
      <c r="P68" s="75"/>
    </row>
    <row r="69" spans="2:16" x14ac:dyDescent="0.25">
      <c r="B69" s="72"/>
      <c r="C69" s="73">
        <f t="shared" si="21"/>
        <v>43191</v>
      </c>
      <c r="D69" s="73">
        <f t="shared" si="22"/>
        <v>43281</v>
      </c>
      <c r="E69" s="72">
        <f t="shared" si="19"/>
        <v>91</v>
      </c>
      <c r="F69" s="74">
        <f>VLOOKUP(D69,'FERC Interest Rate'!$A:$B,2,TRUE)</f>
        <v>4.4699999999999997E-2</v>
      </c>
      <c r="G69" s="75">
        <f t="shared" si="20"/>
        <v>0</v>
      </c>
      <c r="H69" s="75">
        <v>0</v>
      </c>
      <c r="I69" s="99">
        <v>0</v>
      </c>
      <c r="J69" s="76">
        <f t="shared" si="23"/>
        <v>0</v>
      </c>
      <c r="K69" s="116">
        <f t="shared" si="15"/>
        <v>0</v>
      </c>
      <c r="L69" s="76">
        <f t="shared" si="24"/>
        <v>0</v>
      </c>
      <c r="M69" s="117">
        <f t="shared" si="16"/>
        <v>0</v>
      </c>
      <c r="N69" s="8">
        <f t="shared" si="17"/>
        <v>0</v>
      </c>
      <c r="O69" s="75">
        <f t="shared" si="18"/>
        <v>0</v>
      </c>
      <c r="P69" s="75"/>
    </row>
    <row r="70" spans="2:16" x14ac:dyDescent="0.25">
      <c r="B70" s="72"/>
      <c r="C70" s="73">
        <f t="shared" si="21"/>
        <v>43282</v>
      </c>
      <c r="D70" s="73">
        <f t="shared" si="22"/>
        <v>43373</v>
      </c>
      <c r="E70" s="72">
        <f t="shared" si="19"/>
        <v>92</v>
      </c>
      <c r="F70" s="74">
        <f>VLOOKUP(D70,'FERC Interest Rate'!$A:$B,2,TRUE)</f>
        <v>4.6899999999999997E-2</v>
      </c>
      <c r="G70" s="75">
        <f t="shared" si="20"/>
        <v>0</v>
      </c>
      <c r="H70" s="75">
        <v>0</v>
      </c>
      <c r="I70" s="99">
        <v>0</v>
      </c>
      <c r="J70" s="76">
        <f t="shared" si="23"/>
        <v>0</v>
      </c>
      <c r="K70" s="116">
        <f t="shared" si="15"/>
        <v>0</v>
      </c>
      <c r="L70" s="76">
        <f t="shared" si="24"/>
        <v>0</v>
      </c>
      <c r="M70" s="117">
        <f t="shared" si="16"/>
        <v>0</v>
      </c>
      <c r="N70" s="8">
        <f t="shared" si="17"/>
        <v>0</v>
      </c>
      <c r="O70" s="75">
        <f t="shared" si="18"/>
        <v>0</v>
      </c>
      <c r="P70" s="75"/>
    </row>
    <row r="71" spans="2:16" x14ac:dyDescent="0.25">
      <c r="B71" s="72"/>
      <c r="C71" s="73">
        <f t="shared" si="21"/>
        <v>43374</v>
      </c>
      <c r="D71" s="73">
        <f t="shared" si="22"/>
        <v>43465</v>
      </c>
      <c r="E71" s="72">
        <f t="shared" si="19"/>
        <v>92</v>
      </c>
      <c r="F71" s="74">
        <f>VLOOKUP(D71,'FERC Interest Rate'!$A:$B,2,TRUE)</f>
        <v>4.9599999999999998E-2</v>
      </c>
      <c r="G71" s="75">
        <f t="shared" si="20"/>
        <v>0</v>
      </c>
      <c r="H71" s="75">
        <v>0</v>
      </c>
      <c r="I71" s="99">
        <v>0</v>
      </c>
      <c r="J71" s="76">
        <f t="shared" si="23"/>
        <v>0</v>
      </c>
      <c r="K71" s="116">
        <f t="shared" si="15"/>
        <v>0</v>
      </c>
      <c r="L71" s="76">
        <f t="shared" si="24"/>
        <v>0</v>
      </c>
      <c r="M71" s="117">
        <f t="shared" si="16"/>
        <v>0</v>
      </c>
      <c r="N71" s="8">
        <f t="shared" si="17"/>
        <v>0</v>
      </c>
      <c r="O71" s="75">
        <f t="shared" si="18"/>
        <v>0</v>
      </c>
      <c r="P71" s="75"/>
    </row>
    <row r="72" spans="2:16" x14ac:dyDescent="0.25">
      <c r="B72" s="72"/>
      <c r="C72" s="73">
        <f t="shared" si="21"/>
        <v>43466</v>
      </c>
      <c r="D72" s="73">
        <f t="shared" si="22"/>
        <v>43555</v>
      </c>
      <c r="E72" s="72">
        <f t="shared" si="19"/>
        <v>90</v>
      </c>
      <c r="F72" s="74">
        <f>VLOOKUP(D72,'FERC Interest Rate'!$A:$B,2,TRUE)</f>
        <v>5.1799999999999999E-2</v>
      </c>
      <c r="G72" s="75">
        <f t="shared" si="20"/>
        <v>0</v>
      </c>
      <c r="H72" s="75">
        <v>0</v>
      </c>
      <c r="I72" s="99">
        <v>0</v>
      </c>
      <c r="J72" s="76">
        <f t="shared" si="23"/>
        <v>0</v>
      </c>
      <c r="K72" s="116">
        <f t="shared" si="15"/>
        <v>0</v>
      </c>
      <c r="L72" s="76">
        <f t="shared" si="24"/>
        <v>0</v>
      </c>
      <c r="M72" s="117">
        <f t="shared" si="16"/>
        <v>0</v>
      </c>
      <c r="N72" s="8">
        <f t="shared" si="17"/>
        <v>0</v>
      </c>
      <c r="O72" s="75">
        <f t="shared" si="18"/>
        <v>0</v>
      </c>
      <c r="P72" s="75"/>
    </row>
    <row r="73" spans="2:16" x14ac:dyDescent="0.25">
      <c r="B73" s="72"/>
      <c r="C73" s="73">
        <f t="shared" si="21"/>
        <v>43556</v>
      </c>
      <c r="D73" s="73">
        <f t="shared" si="22"/>
        <v>43646</v>
      </c>
      <c r="E73" s="72">
        <f t="shared" si="19"/>
        <v>91</v>
      </c>
      <c r="F73" s="74">
        <f>VLOOKUP(D73,'FERC Interest Rate'!$A:$B,2,TRUE)</f>
        <v>5.45E-2</v>
      </c>
      <c r="G73" s="75">
        <f t="shared" si="20"/>
        <v>0</v>
      </c>
      <c r="H73" s="75">
        <v>0</v>
      </c>
      <c r="I73" s="99">
        <v>0</v>
      </c>
      <c r="J73" s="76">
        <f t="shared" si="23"/>
        <v>0</v>
      </c>
      <c r="K73" s="116">
        <f t="shared" si="15"/>
        <v>0</v>
      </c>
      <c r="L73" s="76">
        <f t="shared" si="24"/>
        <v>0</v>
      </c>
      <c r="M73" s="117">
        <f t="shared" si="16"/>
        <v>0</v>
      </c>
      <c r="N73" s="8">
        <f t="shared" si="17"/>
        <v>0</v>
      </c>
      <c r="O73" s="75">
        <f t="shared" si="18"/>
        <v>0</v>
      </c>
      <c r="P73" s="75"/>
    </row>
    <row r="74" spans="2:16" x14ac:dyDescent="0.25">
      <c r="B74" s="72"/>
      <c r="C74" s="73">
        <f t="shared" si="21"/>
        <v>43647</v>
      </c>
      <c r="D74" s="73">
        <f t="shared" si="22"/>
        <v>43738</v>
      </c>
      <c r="E74" s="72">
        <f t="shared" si="19"/>
        <v>92</v>
      </c>
      <c r="F74" s="74">
        <f>VLOOKUP(D74,'FERC Interest Rate'!$A:$B,2,TRUE)</f>
        <v>5.5E-2</v>
      </c>
      <c r="G74" s="75">
        <f t="shared" si="20"/>
        <v>0</v>
      </c>
      <c r="H74" s="75">
        <v>0</v>
      </c>
      <c r="I74" s="99">
        <v>0</v>
      </c>
      <c r="J74" s="76">
        <f t="shared" si="23"/>
        <v>0</v>
      </c>
      <c r="K74" s="116">
        <f t="shared" si="15"/>
        <v>0</v>
      </c>
      <c r="L74" s="76">
        <f t="shared" si="24"/>
        <v>0</v>
      </c>
      <c r="M74" s="117">
        <f t="shared" si="16"/>
        <v>0</v>
      </c>
      <c r="N74" s="8">
        <f t="shared" si="17"/>
        <v>0</v>
      </c>
      <c r="O74" s="75">
        <f t="shared" si="18"/>
        <v>0</v>
      </c>
      <c r="P74" s="75"/>
    </row>
    <row r="75" spans="2:16" x14ac:dyDescent="0.25">
      <c r="B75" s="72"/>
      <c r="C75" s="73">
        <f t="shared" si="21"/>
        <v>43739</v>
      </c>
      <c r="D75" s="73">
        <f t="shared" si="22"/>
        <v>43830</v>
      </c>
      <c r="E75" s="72">
        <f t="shared" si="19"/>
        <v>92</v>
      </c>
      <c r="F75" s="74">
        <f>VLOOKUP(D75,'FERC Interest Rate'!$A:$B,2,TRUE)</f>
        <v>5.4199999999999998E-2</v>
      </c>
      <c r="G75" s="75">
        <f t="shared" si="20"/>
        <v>0</v>
      </c>
      <c r="H75" s="75">
        <v>0</v>
      </c>
      <c r="I75" s="99">
        <v>0</v>
      </c>
      <c r="J75" s="76">
        <f t="shared" si="23"/>
        <v>0</v>
      </c>
      <c r="K75" s="116">
        <f t="shared" si="15"/>
        <v>0</v>
      </c>
      <c r="L75" s="76">
        <f t="shared" si="24"/>
        <v>0</v>
      </c>
      <c r="M75" s="117">
        <f t="shared" si="16"/>
        <v>0</v>
      </c>
      <c r="N75" s="8">
        <f t="shared" si="17"/>
        <v>0</v>
      </c>
      <c r="O75" s="75">
        <f t="shared" si="18"/>
        <v>0</v>
      </c>
      <c r="P75" s="75"/>
    </row>
    <row r="76" spans="2:16" x14ac:dyDescent="0.25">
      <c r="B76" s="72"/>
      <c r="C76" s="73">
        <f t="shared" si="21"/>
        <v>43831</v>
      </c>
      <c r="D76" s="73">
        <f t="shared" si="22"/>
        <v>43921</v>
      </c>
      <c r="E76" s="72">
        <f t="shared" si="19"/>
        <v>91</v>
      </c>
      <c r="F76" s="74">
        <f>VLOOKUP(D76,'FERC Interest Rate'!$A:$B,2,TRUE)</f>
        <v>4.9599999999999998E-2</v>
      </c>
      <c r="G76" s="75">
        <f t="shared" si="20"/>
        <v>0</v>
      </c>
      <c r="H76" s="75">
        <v>0</v>
      </c>
      <c r="I76" s="99">
        <v>0</v>
      </c>
      <c r="J76" s="76">
        <f t="shared" si="23"/>
        <v>0</v>
      </c>
      <c r="K76" s="116">
        <f t="shared" si="15"/>
        <v>0</v>
      </c>
      <c r="L76" s="76">
        <f t="shared" si="24"/>
        <v>0</v>
      </c>
      <c r="M76" s="117">
        <f t="shared" si="16"/>
        <v>0</v>
      </c>
      <c r="N76" s="8">
        <f t="shared" si="17"/>
        <v>0</v>
      </c>
      <c r="O76" s="75">
        <f t="shared" si="18"/>
        <v>0</v>
      </c>
      <c r="P76" s="75"/>
    </row>
    <row r="77" spans="2:16" x14ac:dyDescent="0.25">
      <c r="B77" s="72"/>
      <c r="C77" s="73">
        <f t="shared" si="21"/>
        <v>43922</v>
      </c>
      <c r="D77" s="73">
        <f t="shared" si="22"/>
        <v>44012</v>
      </c>
      <c r="E77" s="72">
        <f t="shared" si="19"/>
        <v>91</v>
      </c>
      <c r="F77" s="74">
        <f>VLOOKUP(D77,'FERC Interest Rate'!$A:$B,2,TRUE)</f>
        <v>4.7503500000000004E-2</v>
      </c>
      <c r="G77" s="75">
        <f t="shared" si="20"/>
        <v>0</v>
      </c>
      <c r="H77" s="75">
        <v>0</v>
      </c>
      <c r="I77" s="99">
        <v>0</v>
      </c>
      <c r="J77" s="76">
        <f t="shared" si="23"/>
        <v>0</v>
      </c>
      <c r="K77" s="116">
        <f t="shared" si="15"/>
        <v>0</v>
      </c>
      <c r="L77" s="76">
        <f t="shared" si="24"/>
        <v>0</v>
      </c>
      <c r="M77" s="117">
        <f t="shared" si="16"/>
        <v>0</v>
      </c>
      <c r="N77" s="8">
        <f t="shared" si="17"/>
        <v>0</v>
      </c>
      <c r="O77" s="75">
        <f t="shared" si="18"/>
        <v>0</v>
      </c>
      <c r="P77" s="75"/>
    </row>
    <row r="78" spans="2:16" x14ac:dyDescent="0.25">
      <c r="B78" s="72"/>
      <c r="C78" s="73">
        <f t="shared" si="21"/>
        <v>44013</v>
      </c>
      <c r="D78" s="73">
        <f t="shared" si="22"/>
        <v>44104</v>
      </c>
      <c r="E78" s="72">
        <f t="shared" si="19"/>
        <v>92</v>
      </c>
      <c r="F78" s="74">
        <f>VLOOKUP(D78,'FERC Interest Rate'!$A:$B,2,TRUE)</f>
        <v>4.7507929999999997E-2</v>
      </c>
      <c r="G78" s="75">
        <f t="shared" si="20"/>
        <v>0</v>
      </c>
      <c r="H78" s="75">
        <v>0</v>
      </c>
      <c r="I78" s="99">
        <v>0</v>
      </c>
      <c r="J78" s="76">
        <f t="shared" si="23"/>
        <v>0</v>
      </c>
      <c r="K78" s="116">
        <f t="shared" si="15"/>
        <v>0</v>
      </c>
      <c r="L78" s="76">
        <f t="shared" si="24"/>
        <v>0</v>
      </c>
      <c r="M78" s="117">
        <f t="shared" si="16"/>
        <v>0</v>
      </c>
      <c r="N78" s="8">
        <f t="shared" si="17"/>
        <v>0</v>
      </c>
      <c r="O78" s="75">
        <f t="shared" si="18"/>
        <v>0</v>
      </c>
      <c r="P78" s="75"/>
    </row>
    <row r="79" spans="2:16" x14ac:dyDescent="0.25">
      <c r="B79" s="72"/>
      <c r="C79" s="73">
        <f t="shared" si="21"/>
        <v>44105</v>
      </c>
      <c r="D79" s="73">
        <f t="shared" si="22"/>
        <v>44196</v>
      </c>
      <c r="E79" s="72">
        <f t="shared" si="19"/>
        <v>92</v>
      </c>
      <c r="F79" s="74">
        <f>VLOOKUP(D79,'FERC Interest Rate'!$A:$B,2,TRUE)</f>
        <v>4.7922320000000004E-2</v>
      </c>
      <c r="G79" s="75">
        <f t="shared" si="20"/>
        <v>0</v>
      </c>
      <c r="H79" s="75">
        <v>0</v>
      </c>
      <c r="I79" s="99">
        <v>0</v>
      </c>
      <c r="J79" s="76">
        <f t="shared" si="23"/>
        <v>0</v>
      </c>
      <c r="K79" s="116">
        <f t="shared" si="15"/>
        <v>0</v>
      </c>
      <c r="L79" s="76">
        <f t="shared" si="24"/>
        <v>0</v>
      </c>
      <c r="M79" s="117">
        <f t="shared" si="16"/>
        <v>0</v>
      </c>
      <c r="N79" s="8">
        <f t="shared" si="17"/>
        <v>0</v>
      </c>
      <c r="O79" s="75">
        <f t="shared" si="18"/>
        <v>0</v>
      </c>
      <c r="P79" s="75"/>
    </row>
    <row r="80" spans="2:16" x14ac:dyDescent="0.25">
      <c r="B80" s="72"/>
      <c r="C80" s="73">
        <f t="shared" si="21"/>
        <v>44197</v>
      </c>
      <c r="D80" s="73">
        <f t="shared" si="22"/>
        <v>44286</v>
      </c>
      <c r="E80" s="72">
        <f t="shared" si="19"/>
        <v>90</v>
      </c>
      <c r="F80" s="74">
        <f>VLOOKUP(D80,'FERC Interest Rate'!$A:$B,2,TRUE)</f>
        <v>5.0023470000000007E-2</v>
      </c>
      <c r="G80" s="75">
        <f t="shared" si="20"/>
        <v>0</v>
      </c>
      <c r="H80" s="75">
        <v>0</v>
      </c>
      <c r="I80" s="99">
        <v>0</v>
      </c>
      <c r="J80" s="76">
        <f t="shared" si="23"/>
        <v>0</v>
      </c>
      <c r="K80" s="116">
        <f t="shared" si="15"/>
        <v>0</v>
      </c>
      <c r="L80" s="76">
        <f t="shared" si="24"/>
        <v>0</v>
      </c>
      <c r="M80" s="117">
        <f t="shared" si="16"/>
        <v>0</v>
      </c>
      <c r="N80" s="8">
        <f t="shared" si="17"/>
        <v>0</v>
      </c>
      <c r="O80" s="75">
        <f t="shared" si="18"/>
        <v>0</v>
      </c>
      <c r="P80" s="75"/>
    </row>
    <row r="81" spans="1:16" x14ac:dyDescent="0.25">
      <c r="B81" s="72"/>
      <c r="C81" s="73">
        <f t="shared" si="21"/>
        <v>44287</v>
      </c>
      <c r="D81" s="73">
        <f t="shared" si="22"/>
        <v>44377</v>
      </c>
      <c r="E81" s="72">
        <f t="shared" si="19"/>
        <v>91</v>
      </c>
      <c r="F81" s="74">
        <f>VLOOKUP(D81,'FERC Interest Rate'!$A:$B,2,TRUE)</f>
        <v>5.0403730000000001E-2</v>
      </c>
      <c r="G81" s="75">
        <f t="shared" si="20"/>
        <v>0</v>
      </c>
      <c r="H81" s="75">
        <v>0</v>
      </c>
      <c r="I81" s="99">
        <v>0</v>
      </c>
      <c r="J81" s="76">
        <f>G81*F81*(E81/(DATE(YEAR(D81),12,31)-DATE(YEAR(D81),1,1)+1))</f>
        <v>0</v>
      </c>
      <c r="K81" s="116">
        <f t="shared" si="15"/>
        <v>0</v>
      </c>
      <c r="L81" s="76">
        <f t="shared" si="24"/>
        <v>0</v>
      </c>
      <c r="M81" s="117">
        <f t="shared" si="16"/>
        <v>0</v>
      </c>
      <c r="N81" s="8">
        <f t="shared" si="17"/>
        <v>0</v>
      </c>
      <c r="O81" s="75">
        <f t="shared" si="18"/>
        <v>0</v>
      </c>
      <c r="P81" s="75"/>
    </row>
    <row r="82" spans="1:16" x14ac:dyDescent="0.25">
      <c r="B82" s="72"/>
      <c r="C82" s="73">
        <f t="shared" si="21"/>
        <v>44378</v>
      </c>
      <c r="D82" s="73">
        <f t="shared" si="22"/>
        <v>44469</v>
      </c>
      <c r="E82" s="72">
        <f t="shared" si="19"/>
        <v>92</v>
      </c>
      <c r="F82" s="74">
        <f>VLOOKUP(D82,'FERC Interest Rate'!$A:$B,2,TRUE)</f>
        <v>5.2520850000000001E-2</v>
      </c>
      <c r="G82" s="75">
        <f t="shared" si="20"/>
        <v>0</v>
      </c>
      <c r="H82" s="75">
        <v>0</v>
      </c>
      <c r="I82" s="99">
        <v>0</v>
      </c>
      <c r="J82" s="76">
        <f>G82*F82*(E82/(DATE(YEAR(D82),12,31)-DATE(YEAR(D82),1,1)+1))</f>
        <v>0</v>
      </c>
      <c r="K82" s="116">
        <f t="shared" si="15"/>
        <v>0</v>
      </c>
      <c r="L82" s="76">
        <f t="shared" si="24"/>
        <v>0</v>
      </c>
      <c r="M82" s="117">
        <f t="shared" si="16"/>
        <v>0</v>
      </c>
      <c r="N82" s="8">
        <f t="shared" si="17"/>
        <v>0</v>
      </c>
      <c r="O82" s="75">
        <f t="shared" si="18"/>
        <v>0</v>
      </c>
      <c r="P82" s="75"/>
    </row>
    <row r="83" spans="1:16" x14ac:dyDescent="0.25">
      <c r="B83" s="11"/>
      <c r="C83" s="79"/>
      <c r="D83" s="79"/>
      <c r="E83" s="10"/>
      <c r="F83" s="11"/>
      <c r="G83" s="76"/>
      <c r="H83" s="76"/>
      <c r="I83" s="119"/>
      <c r="J83" s="12"/>
      <c r="K83" s="12"/>
      <c r="L83" s="76"/>
      <c r="M83" s="118"/>
    </row>
    <row r="84" spans="1:16" ht="13.5" thickBot="1" x14ac:dyDescent="0.35">
      <c r="A84" s="142"/>
      <c r="B84" s="142"/>
      <c r="C84" s="142"/>
      <c r="D84" s="142"/>
      <c r="E84" s="142"/>
      <c r="F84" s="142"/>
      <c r="G84" s="65">
        <f>+SUM(G55:G83)</f>
        <v>0</v>
      </c>
      <c r="H84" s="65">
        <f t="shared" ref="H84:O84" si="25">+SUM(H55:H83)</f>
        <v>0</v>
      </c>
      <c r="I84" s="104">
        <f t="shared" si="25"/>
        <v>0</v>
      </c>
      <c r="J84" s="65">
        <f t="shared" si="25"/>
        <v>0</v>
      </c>
      <c r="K84" s="65">
        <f t="shared" si="25"/>
        <v>0</v>
      </c>
      <c r="L84" s="65">
        <f t="shared" si="25"/>
        <v>0</v>
      </c>
      <c r="M84" s="105">
        <f t="shared" si="25"/>
        <v>0</v>
      </c>
      <c r="N84" s="65">
        <f t="shared" si="25"/>
        <v>0</v>
      </c>
      <c r="O84" s="65">
        <f t="shared" si="25"/>
        <v>0</v>
      </c>
      <c r="P84" s="178"/>
    </row>
    <row r="85" spans="1:16" ht="13.5" thickTop="1" thickBot="1" x14ac:dyDescent="0.3">
      <c r="I85" s="106"/>
      <c r="J85" s="107"/>
      <c r="K85" s="107"/>
      <c r="L85" s="107"/>
      <c r="M85" s="108"/>
    </row>
  </sheetData>
  <mergeCells count="1">
    <mergeCell ref="A33:B33"/>
  </mergeCells>
  <pageMargins left="0.25" right="0.25" top="0.75" bottom="0.75" header="0.3" footer="0.3"/>
  <pageSetup scale="62" fitToHeight="0" orientation="landscape" r:id="rId1"/>
  <headerFooter alignWithMargins="0">
    <oddHeader>&amp;RTO2021 Annual Update
Attachment 4
WP- Schedule 22 NUCs
Page &amp;P of &amp;N</oddHeader>
    <oddFooter>&amp;R&amp;A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9"/>
  <sheetViews>
    <sheetView tabSelected="1" view="pageLayout" zoomScaleNormal="100" workbookViewId="0"/>
  </sheetViews>
  <sheetFormatPr defaultColWidth="9.1796875" defaultRowHeight="13" x14ac:dyDescent="0.3"/>
  <cols>
    <col min="1" max="1" width="13.453125" style="26" bestFit="1" customWidth="1"/>
    <col min="2" max="2" width="12.26953125" style="26" customWidth="1"/>
    <col min="3" max="3" width="9.1796875" style="26"/>
    <col min="4" max="16384" width="9.1796875" style="24"/>
  </cols>
  <sheetData>
    <row r="1" spans="1:3" s="23" customFormat="1" x14ac:dyDescent="0.3">
      <c r="A1" s="25" t="s">
        <v>23</v>
      </c>
      <c r="B1" s="25" t="s">
        <v>22</v>
      </c>
      <c r="C1" s="29" t="s">
        <v>24</v>
      </c>
    </row>
    <row r="2" spans="1:3" s="23" customFormat="1" x14ac:dyDescent="0.3">
      <c r="A2" s="27">
        <v>38442</v>
      </c>
      <c r="B2" s="28">
        <v>4.7500000000000001E-2</v>
      </c>
      <c r="C2" s="26" t="s">
        <v>12</v>
      </c>
    </row>
    <row r="3" spans="1:3" s="23" customFormat="1" x14ac:dyDescent="0.3">
      <c r="A3" s="27">
        <v>38533</v>
      </c>
      <c r="B3" s="28">
        <v>5.2999999999999999E-2</v>
      </c>
      <c r="C3" s="26" t="s">
        <v>12</v>
      </c>
    </row>
    <row r="4" spans="1:3" s="23" customFormat="1" x14ac:dyDescent="0.3">
      <c r="A4" s="27">
        <v>38625</v>
      </c>
      <c r="B4" s="28">
        <v>5.7700000000000001E-2</v>
      </c>
      <c r="C4" s="26" t="s">
        <v>12</v>
      </c>
    </row>
    <row r="5" spans="1:3" s="23" customFormat="1" x14ac:dyDescent="0.3">
      <c r="A5" s="27">
        <v>38717</v>
      </c>
      <c r="B5" s="28">
        <v>6.2300000000000001E-2</v>
      </c>
      <c r="C5" s="26" t="s">
        <v>12</v>
      </c>
    </row>
    <row r="6" spans="1:3" s="23" customFormat="1" x14ac:dyDescent="0.3">
      <c r="A6" s="27">
        <v>38807</v>
      </c>
      <c r="B6" s="28">
        <v>6.7799999999999999E-2</v>
      </c>
      <c r="C6" s="26" t="s">
        <v>12</v>
      </c>
    </row>
    <row r="7" spans="1:3" s="23" customFormat="1" x14ac:dyDescent="0.3">
      <c r="A7" s="27">
        <v>38898</v>
      </c>
      <c r="B7" s="28">
        <v>7.2999999999999995E-2</v>
      </c>
      <c r="C7" s="26" t="s">
        <v>12</v>
      </c>
    </row>
    <row r="8" spans="1:3" s="23" customFormat="1" x14ac:dyDescent="0.3">
      <c r="A8" s="27">
        <v>38990</v>
      </c>
      <c r="B8" s="28">
        <v>7.7399999999999997E-2</v>
      </c>
      <c r="C8" s="26" t="s">
        <v>12</v>
      </c>
    </row>
    <row r="9" spans="1:3" s="23" customFormat="1" x14ac:dyDescent="0.3">
      <c r="A9" s="27">
        <v>39082</v>
      </c>
      <c r="B9" s="28">
        <v>8.1699999999999995E-2</v>
      </c>
      <c r="C9" s="26" t="s">
        <v>12</v>
      </c>
    </row>
    <row r="10" spans="1:3" s="23" customFormat="1" x14ac:dyDescent="0.3">
      <c r="A10" s="27">
        <v>39172</v>
      </c>
      <c r="B10" s="28">
        <v>8.2500000000000004E-2</v>
      </c>
      <c r="C10" s="26" t="s">
        <v>12</v>
      </c>
    </row>
    <row r="11" spans="1:3" s="23" customFormat="1" x14ac:dyDescent="0.3">
      <c r="A11" s="27">
        <v>39263</v>
      </c>
      <c r="B11" s="28">
        <v>8.2500000000000004E-2</v>
      </c>
      <c r="C11" s="26" t="s">
        <v>12</v>
      </c>
    </row>
    <row r="12" spans="1:3" s="23" customFormat="1" x14ac:dyDescent="0.3">
      <c r="A12" s="27">
        <v>39355</v>
      </c>
      <c r="B12" s="28">
        <v>8.2500000000000004E-2</v>
      </c>
      <c r="C12" s="26" t="s">
        <v>12</v>
      </c>
    </row>
    <row r="13" spans="1:3" s="23" customFormat="1" x14ac:dyDescent="0.3">
      <c r="A13" s="27">
        <v>39447</v>
      </c>
      <c r="B13" s="28">
        <v>8.2500000000000004E-2</v>
      </c>
      <c r="C13" s="26" t="s">
        <v>12</v>
      </c>
    </row>
    <row r="14" spans="1:3" x14ac:dyDescent="0.3">
      <c r="A14" s="27">
        <v>39538</v>
      </c>
      <c r="B14" s="28">
        <v>7.7600000000000002E-2</v>
      </c>
      <c r="C14" s="26" t="s">
        <v>12</v>
      </c>
    </row>
    <row r="15" spans="1:3" x14ac:dyDescent="0.3">
      <c r="A15" s="27">
        <v>39629</v>
      </c>
      <c r="B15" s="28">
        <v>6.7699999999999996E-2</v>
      </c>
      <c r="C15" s="26" t="s">
        <v>12</v>
      </c>
    </row>
    <row r="16" spans="1:3" x14ac:dyDescent="0.3">
      <c r="A16" s="27">
        <v>39721</v>
      </c>
      <c r="B16" s="28">
        <v>5.2999999999999999E-2</v>
      </c>
      <c r="C16" s="26" t="s">
        <v>12</v>
      </c>
    </row>
    <row r="17" spans="1:6" x14ac:dyDescent="0.3">
      <c r="A17" s="27">
        <v>39813</v>
      </c>
      <c r="B17" s="28">
        <v>0.05</v>
      </c>
      <c r="C17" s="26" t="s">
        <v>12</v>
      </c>
    </row>
    <row r="18" spans="1:6" x14ac:dyDescent="0.3">
      <c r="A18" s="27">
        <v>39903</v>
      </c>
      <c r="B18" s="28">
        <v>4.5199999999999997E-2</v>
      </c>
      <c r="C18" s="26" t="s">
        <v>12</v>
      </c>
    </row>
    <row r="19" spans="1:6" x14ac:dyDescent="0.3">
      <c r="A19" s="27">
        <v>39994</v>
      </c>
      <c r="B19" s="28">
        <v>3.3700000000000001E-2</v>
      </c>
      <c r="C19" s="26" t="s">
        <v>12</v>
      </c>
      <c r="F19" s="23"/>
    </row>
    <row r="20" spans="1:6" x14ac:dyDescent="0.3">
      <c r="A20" s="27">
        <v>40086</v>
      </c>
      <c r="B20" s="28">
        <v>3.2500000000000001E-2</v>
      </c>
      <c r="C20" s="26" t="s">
        <v>12</v>
      </c>
      <c r="F20" s="23"/>
    </row>
    <row r="21" spans="1:6" x14ac:dyDescent="0.3">
      <c r="A21" s="27">
        <v>40178</v>
      </c>
      <c r="B21" s="28">
        <v>3.2500000000000001E-2</v>
      </c>
      <c r="C21" s="26" t="s">
        <v>12</v>
      </c>
    </row>
    <row r="22" spans="1:6" x14ac:dyDescent="0.3">
      <c r="A22" s="27">
        <v>40268</v>
      </c>
      <c r="B22" s="28">
        <v>3.2500000000000001E-2</v>
      </c>
      <c r="C22" s="26" t="s">
        <v>12</v>
      </c>
    </row>
    <row r="23" spans="1:6" x14ac:dyDescent="0.3">
      <c r="A23" s="27">
        <v>40359</v>
      </c>
      <c r="B23" s="28">
        <v>3.2500000000000001E-2</v>
      </c>
      <c r="C23" s="26" t="s">
        <v>12</v>
      </c>
    </row>
    <row r="24" spans="1:6" x14ac:dyDescent="0.3">
      <c r="A24" s="27">
        <v>40451</v>
      </c>
      <c r="B24" s="28">
        <v>3.2500000000000001E-2</v>
      </c>
      <c r="C24" s="26" t="s">
        <v>12</v>
      </c>
    </row>
    <row r="25" spans="1:6" x14ac:dyDescent="0.3">
      <c r="A25" s="27">
        <v>40543</v>
      </c>
      <c r="B25" s="28">
        <v>3.2500000000000001E-2</v>
      </c>
      <c r="C25" s="26" t="s">
        <v>12</v>
      </c>
    </row>
    <row r="26" spans="1:6" x14ac:dyDescent="0.3">
      <c r="A26" s="27">
        <v>40633</v>
      </c>
      <c r="B26" s="28">
        <v>3.2500000000000001E-2</v>
      </c>
      <c r="C26" s="26" t="s">
        <v>12</v>
      </c>
    </row>
    <row r="27" spans="1:6" x14ac:dyDescent="0.3">
      <c r="A27" s="27">
        <v>40724</v>
      </c>
      <c r="B27" s="28">
        <v>3.2500000000000001E-2</v>
      </c>
      <c r="C27" s="26" t="s">
        <v>12</v>
      </c>
    </row>
    <row r="28" spans="1:6" x14ac:dyDescent="0.3">
      <c r="A28" s="27">
        <v>40816</v>
      </c>
      <c r="B28" s="28">
        <v>3.2500000000000001E-2</v>
      </c>
      <c r="C28" s="26" t="s">
        <v>12</v>
      </c>
    </row>
    <row r="29" spans="1:6" x14ac:dyDescent="0.3">
      <c r="A29" s="27">
        <v>40908</v>
      </c>
      <c r="B29" s="28">
        <v>3.2500000000000001E-2</v>
      </c>
      <c r="C29" s="26" t="s">
        <v>12</v>
      </c>
    </row>
    <row r="30" spans="1:6" x14ac:dyDescent="0.3">
      <c r="A30" s="27">
        <v>40999</v>
      </c>
      <c r="B30" s="28">
        <v>3.2500000000000001E-2</v>
      </c>
      <c r="C30" s="26" t="s">
        <v>12</v>
      </c>
    </row>
    <row r="31" spans="1:6" x14ac:dyDescent="0.3">
      <c r="A31" s="27">
        <v>41090</v>
      </c>
      <c r="B31" s="28">
        <v>3.2500000000000001E-2</v>
      </c>
      <c r="C31" s="26" t="s">
        <v>12</v>
      </c>
    </row>
    <row r="32" spans="1:6" x14ac:dyDescent="0.3">
      <c r="A32" s="27">
        <v>41182</v>
      </c>
      <c r="B32" s="28">
        <v>3.2500000000000001E-2</v>
      </c>
      <c r="C32" s="26" t="s">
        <v>12</v>
      </c>
    </row>
    <row r="33" spans="1:4" x14ac:dyDescent="0.3">
      <c r="A33" s="27">
        <v>41274</v>
      </c>
      <c r="B33" s="28">
        <v>3.2500000000000001E-2</v>
      </c>
      <c r="C33" s="26" t="s">
        <v>12</v>
      </c>
    </row>
    <row r="34" spans="1:4" x14ac:dyDescent="0.3">
      <c r="A34" s="27">
        <v>41364</v>
      </c>
      <c r="B34" s="28">
        <v>3.2500000000000001E-2</v>
      </c>
      <c r="C34" s="26" t="s">
        <v>12</v>
      </c>
    </row>
    <row r="35" spans="1:4" x14ac:dyDescent="0.3">
      <c r="A35" s="27">
        <v>41455</v>
      </c>
      <c r="B35" s="28">
        <v>3.2500000000000001E-2</v>
      </c>
      <c r="C35" s="26" t="s">
        <v>12</v>
      </c>
    </row>
    <row r="36" spans="1:4" x14ac:dyDescent="0.3">
      <c r="A36" s="27">
        <v>41547</v>
      </c>
      <c r="B36" s="28">
        <v>3.2500000000000001E-2</v>
      </c>
      <c r="C36" s="26" t="s">
        <v>12</v>
      </c>
    </row>
    <row r="37" spans="1:4" x14ac:dyDescent="0.3">
      <c r="A37" s="27">
        <v>41639</v>
      </c>
      <c r="B37" s="28">
        <v>3.2500000000000001E-2</v>
      </c>
      <c r="C37" s="26" t="s">
        <v>12</v>
      </c>
    </row>
    <row r="38" spans="1:4" x14ac:dyDescent="0.3">
      <c r="A38" s="27">
        <v>41729</v>
      </c>
      <c r="B38" s="28">
        <v>3.2500000000000001E-2</v>
      </c>
      <c r="C38" s="26" t="s">
        <v>12</v>
      </c>
    </row>
    <row r="39" spans="1:4" x14ac:dyDescent="0.3">
      <c r="A39" s="27">
        <v>41820</v>
      </c>
      <c r="B39" s="28">
        <v>3.2500000000000001E-2</v>
      </c>
      <c r="C39" s="26" t="s">
        <v>12</v>
      </c>
    </row>
    <row r="40" spans="1:4" x14ac:dyDescent="0.3">
      <c r="A40" s="27">
        <v>41912</v>
      </c>
      <c r="B40" s="28">
        <v>3.2500000000000001E-2</v>
      </c>
      <c r="C40" s="26" t="s">
        <v>12</v>
      </c>
    </row>
    <row r="41" spans="1:4" x14ac:dyDescent="0.3">
      <c r="A41" s="27">
        <v>42004</v>
      </c>
      <c r="B41" s="28">
        <v>3.2500000000000001E-2</v>
      </c>
      <c r="C41" s="26" t="s">
        <v>12</v>
      </c>
    </row>
    <row r="42" spans="1:4" x14ac:dyDescent="0.3">
      <c r="A42" s="27">
        <v>42094</v>
      </c>
      <c r="B42" s="28">
        <v>3.2500000000000001E-2</v>
      </c>
      <c r="C42" s="26" t="s">
        <v>12</v>
      </c>
    </row>
    <row r="43" spans="1:4" x14ac:dyDescent="0.3">
      <c r="A43" s="27">
        <v>42185</v>
      </c>
      <c r="B43" s="28">
        <v>3.2500000000000001E-2</v>
      </c>
      <c r="C43" s="26" t="s">
        <v>12</v>
      </c>
    </row>
    <row r="44" spans="1:4" x14ac:dyDescent="0.3">
      <c r="A44" s="27">
        <v>42277</v>
      </c>
      <c r="B44" s="28">
        <v>3.2500000000000001E-2</v>
      </c>
      <c r="C44" s="26" t="s">
        <v>12</v>
      </c>
    </row>
    <row r="45" spans="1:4" x14ac:dyDescent="0.3">
      <c r="A45" s="27">
        <v>42369</v>
      </c>
      <c r="B45" s="28">
        <v>3.2500000000000001E-2</v>
      </c>
      <c r="C45" s="26" t="s">
        <v>12</v>
      </c>
    </row>
    <row r="46" spans="1:4" x14ac:dyDescent="0.3">
      <c r="A46" s="27">
        <v>42460</v>
      </c>
      <c r="B46" s="28">
        <v>3.2500000000000001E-2</v>
      </c>
      <c r="C46" s="26" t="s">
        <v>12</v>
      </c>
      <c r="D46" s="259"/>
    </row>
    <row r="47" spans="1:4" x14ac:dyDescent="0.3">
      <c r="A47" s="27">
        <v>42551</v>
      </c>
      <c r="B47" s="28">
        <v>3.4599999999999999E-2</v>
      </c>
      <c r="C47" s="26" t="s">
        <v>12</v>
      </c>
      <c r="D47" s="259"/>
    </row>
    <row r="48" spans="1:4" x14ac:dyDescent="0.3">
      <c r="A48" s="27">
        <v>42643</v>
      </c>
      <c r="B48" s="28">
        <v>3.5000000000000003E-2</v>
      </c>
      <c r="C48" s="26" t="s">
        <v>12</v>
      </c>
    </row>
    <row r="49" spans="1:9" x14ac:dyDescent="0.3">
      <c r="A49" s="27">
        <v>42735</v>
      </c>
      <c r="B49" s="28">
        <v>3.5000000000000003E-2</v>
      </c>
      <c r="C49" s="26" t="s">
        <v>12</v>
      </c>
    </row>
    <row r="50" spans="1:9" x14ac:dyDescent="0.3">
      <c r="A50" s="27">
        <v>42825</v>
      </c>
      <c r="B50" s="28">
        <v>3.5000000000000003E-2</v>
      </c>
      <c r="C50" s="26" t="s">
        <v>12</v>
      </c>
    </row>
    <row r="51" spans="1:9" x14ac:dyDescent="0.3">
      <c r="A51" s="27">
        <v>42916</v>
      </c>
      <c r="B51" s="28">
        <v>3.7100000000000001E-2</v>
      </c>
      <c r="C51" s="26" t="s">
        <v>12</v>
      </c>
    </row>
    <row r="52" spans="1:9" x14ac:dyDescent="0.3">
      <c r="A52" s="27">
        <v>43008</v>
      </c>
      <c r="B52" s="28">
        <v>3.9600000000000003E-2</v>
      </c>
      <c r="C52" s="26" t="s">
        <v>12</v>
      </c>
    </row>
    <row r="53" spans="1:9" x14ac:dyDescent="0.3">
      <c r="A53" s="27">
        <v>43100</v>
      </c>
      <c r="B53" s="28">
        <v>4.2099999999999999E-2</v>
      </c>
      <c r="C53" s="26" t="s">
        <v>12</v>
      </c>
    </row>
    <row r="54" spans="1:9" x14ac:dyDescent="0.3">
      <c r="A54" s="27">
        <v>43190</v>
      </c>
      <c r="B54" s="28">
        <v>4.2500000000000003E-2</v>
      </c>
      <c r="C54" s="26" t="s">
        <v>12</v>
      </c>
      <c r="D54" s="311">
        <v>4.5266666666666699</v>
      </c>
    </row>
    <row r="55" spans="1:9" x14ac:dyDescent="0.3">
      <c r="A55" s="27">
        <v>43281</v>
      </c>
      <c r="B55" s="28">
        <v>4.4699999999999997E-2</v>
      </c>
      <c r="C55" s="26" t="s">
        <v>12</v>
      </c>
      <c r="D55" s="311">
        <v>4.7969629999999999</v>
      </c>
    </row>
    <row r="56" spans="1:9" x14ac:dyDescent="0.3">
      <c r="A56" s="27">
        <v>43373</v>
      </c>
      <c r="B56" s="28">
        <v>4.6899999999999997E-2</v>
      </c>
      <c r="C56" s="26" t="s">
        <v>12</v>
      </c>
      <c r="D56" s="311">
        <v>5.011323</v>
      </c>
    </row>
    <row r="57" spans="1:9" x14ac:dyDescent="0.3">
      <c r="A57" s="27">
        <v>43465</v>
      </c>
      <c r="B57" s="28">
        <v>4.9599999999999998E-2</v>
      </c>
      <c r="C57" s="26" t="s">
        <v>12</v>
      </c>
      <c r="D57" s="311">
        <v>5.2834649999999996</v>
      </c>
    </row>
    <row r="58" spans="1:9" x14ac:dyDescent="0.3">
      <c r="A58" s="27">
        <v>43555</v>
      </c>
      <c r="B58" s="28">
        <v>5.1799999999999999E-2</v>
      </c>
      <c r="C58" s="26" t="s">
        <v>12</v>
      </c>
      <c r="D58" s="311">
        <v>5.5321980000000002</v>
      </c>
      <c r="F58" s="310"/>
      <c r="G58" s="310"/>
      <c r="H58" s="310"/>
      <c r="I58" s="284"/>
    </row>
    <row r="59" spans="1:9" x14ac:dyDescent="0.3">
      <c r="A59" s="281">
        <v>43646</v>
      </c>
      <c r="B59" s="282">
        <v>5.45E-2</v>
      </c>
      <c r="C59" s="283" t="s">
        <v>12</v>
      </c>
      <c r="D59" s="312">
        <v>5.8</v>
      </c>
      <c r="I59" s="284"/>
    </row>
    <row r="60" spans="1:9" x14ac:dyDescent="0.3">
      <c r="A60" s="281">
        <v>43738</v>
      </c>
      <c r="B60" s="282">
        <v>5.5E-2</v>
      </c>
      <c r="C60" s="283" t="s">
        <v>12</v>
      </c>
      <c r="D60" s="312">
        <v>6.0133640000000002</v>
      </c>
    </row>
    <row r="61" spans="1:9" x14ac:dyDescent="0.3">
      <c r="A61" s="281">
        <v>43830</v>
      </c>
      <c r="B61" s="282">
        <v>5.4199999999999998E-2</v>
      </c>
      <c r="C61" s="283" t="s">
        <v>12</v>
      </c>
      <c r="D61" s="313">
        <v>5.552473</v>
      </c>
    </row>
    <row r="62" spans="1:9" ht="13.5" thickBot="1" x14ac:dyDescent="0.35">
      <c r="A62" s="278">
        <v>43921</v>
      </c>
      <c r="B62" s="279">
        <v>4.9599999999999998E-2</v>
      </c>
      <c r="C62" s="280" t="s">
        <v>12</v>
      </c>
      <c r="D62" s="313">
        <v>5.7525519999999997</v>
      </c>
    </row>
    <row r="63" spans="1:9" x14ac:dyDescent="0.3">
      <c r="A63" s="27">
        <v>44012</v>
      </c>
      <c r="B63" s="28">
        <f t="shared" ref="B63:B89" si="0">+D63*0.01</f>
        <v>4.7503500000000004E-2</v>
      </c>
      <c r="C63" s="26" t="s">
        <v>13</v>
      </c>
      <c r="D63" s="314">
        <v>4.7503500000000001</v>
      </c>
    </row>
    <row r="64" spans="1:9" x14ac:dyDescent="0.3">
      <c r="A64" s="27">
        <v>44104</v>
      </c>
      <c r="B64" s="28">
        <f t="shared" si="0"/>
        <v>4.7507929999999997E-2</v>
      </c>
      <c r="C64" s="26" t="s">
        <v>13</v>
      </c>
      <c r="D64" s="314">
        <v>4.7507929999999998</v>
      </c>
      <c r="H64" s="284"/>
    </row>
    <row r="65" spans="1:10" x14ac:dyDescent="0.3">
      <c r="A65" s="27">
        <v>44196</v>
      </c>
      <c r="B65" s="28">
        <f t="shared" si="0"/>
        <v>4.7922320000000004E-2</v>
      </c>
      <c r="C65" s="26" t="s">
        <v>13</v>
      </c>
      <c r="D65" s="314">
        <v>4.7922320000000003</v>
      </c>
    </row>
    <row r="66" spans="1:10" x14ac:dyDescent="0.3">
      <c r="A66" s="286">
        <v>44286</v>
      </c>
      <c r="B66" s="28">
        <f t="shared" si="0"/>
        <v>5.0023470000000007E-2</v>
      </c>
      <c r="C66" s="26" t="s">
        <v>13</v>
      </c>
      <c r="D66" s="314">
        <v>5.0023470000000003</v>
      </c>
    </row>
    <row r="67" spans="1:10" x14ac:dyDescent="0.3">
      <c r="A67" s="286">
        <v>44377</v>
      </c>
      <c r="B67" s="28">
        <f t="shared" si="0"/>
        <v>5.0403730000000001E-2</v>
      </c>
      <c r="C67" s="26" t="s">
        <v>13</v>
      </c>
      <c r="D67" s="314">
        <v>5.0403729999999998</v>
      </c>
      <c r="G67" s="284"/>
    </row>
    <row r="68" spans="1:10" x14ac:dyDescent="0.3">
      <c r="A68" s="286">
        <v>44469</v>
      </c>
      <c r="B68" s="28">
        <f t="shared" si="0"/>
        <v>5.2520850000000001E-2</v>
      </c>
      <c r="C68" s="26" t="s">
        <v>13</v>
      </c>
      <c r="D68" s="314">
        <v>5.2520850000000001</v>
      </c>
    </row>
    <row r="69" spans="1:10" x14ac:dyDescent="0.3">
      <c r="A69" s="286">
        <v>44561</v>
      </c>
      <c r="B69" s="28">
        <f t="shared" si="0"/>
        <v>5.2766440000000005E-2</v>
      </c>
      <c r="C69" s="26" t="s">
        <v>13</v>
      </c>
      <c r="D69" s="314">
        <v>5.2766440000000001</v>
      </c>
    </row>
    <row r="70" spans="1:10" x14ac:dyDescent="0.3">
      <c r="A70" s="286">
        <v>44651</v>
      </c>
      <c r="B70" s="28">
        <f t="shared" si="0"/>
        <v>5.5031330000000003E-2</v>
      </c>
      <c r="C70" s="26" t="s">
        <v>13</v>
      </c>
      <c r="D70" s="315">
        <v>5.5031330000000001</v>
      </c>
    </row>
    <row r="71" spans="1:10" x14ac:dyDescent="0.3">
      <c r="A71" s="286">
        <v>44742</v>
      </c>
      <c r="B71" s="28">
        <f t="shared" si="0"/>
        <v>5.502961E-2</v>
      </c>
      <c r="C71" s="26" t="s">
        <v>13</v>
      </c>
      <c r="D71" s="315">
        <v>5.502961</v>
      </c>
    </row>
    <row r="72" spans="1:10" x14ac:dyDescent="0.3">
      <c r="A72" s="286">
        <v>44834</v>
      </c>
      <c r="B72" s="28">
        <f t="shared" si="0"/>
        <v>5.5014820000000006E-2</v>
      </c>
      <c r="C72" s="26" t="s">
        <v>13</v>
      </c>
      <c r="D72" s="315">
        <v>5.5014820000000002</v>
      </c>
    </row>
    <row r="73" spans="1:10" x14ac:dyDescent="0.3">
      <c r="A73" s="286">
        <v>44926</v>
      </c>
      <c r="B73" s="28">
        <f t="shared" si="0"/>
        <v>5.5019070000000003E-2</v>
      </c>
      <c r="C73" s="26" t="s">
        <v>13</v>
      </c>
      <c r="D73" s="315">
        <v>5.5019070000000001</v>
      </c>
      <c r="J73" s="284"/>
    </row>
    <row r="74" spans="1:10" x14ac:dyDescent="0.3">
      <c r="A74" s="286">
        <v>45016</v>
      </c>
      <c r="B74" s="28">
        <f t="shared" si="0"/>
        <v>5.6811270000000004E-2</v>
      </c>
      <c r="C74" s="26" t="s">
        <v>13</v>
      </c>
      <c r="D74" s="315">
        <v>5.681127</v>
      </c>
    </row>
    <row r="75" spans="1:10" x14ac:dyDescent="0.3">
      <c r="A75" s="286">
        <v>45107</v>
      </c>
      <c r="B75" s="28">
        <f t="shared" si="0"/>
        <v>5.7503789999999999E-2</v>
      </c>
      <c r="C75" s="26" t="s">
        <v>13</v>
      </c>
      <c r="D75" s="315">
        <v>5.7503789999999997</v>
      </c>
    </row>
    <row r="76" spans="1:10" x14ac:dyDescent="0.3">
      <c r="A76" s="286">
        <v>45199</v>
      </c>
      <c r="B76" s="28">
        <f t="shared" si="0"/>
        <v>5.7503250000000006E-2</v>
      </c>
      <c r="C76" s="26" t="s">
        <v>13</v>
      </c>
      <c r="D76" s="315">
        <v>5.7503250000000001</v>
      </c>
    </row>
    <row r="77" spans="1:10" x14ac:dyDescent="0.3">
      <c r="A77" s="286">
        <v>45291</v>
      </c>
      <c r="B77" s="28">
        <f t="shared" si="0"/>
        <v>5.7508480000000008E-2</v>
      </c>
      <c r="C77" s="26" t="s">
        <v>13</v>
      </c>
      <c r="D77" s="315">
        <v>5.7508480000000004</v>
      </c>
    </row>
    <row r="78" spans="1:10" x14ac:dyDescent="0.3">
      <c r="A78" s="286">
        <v>45382</v>
      </c>
      <c r="B78" s="28">
        <f t="shared" si="0"/>
        <v>5.7505569999999999E-2</v>
      </c>
      <c r="C78" s="26" t="s">
        <v>13</v>
      </c>
      <c r="D78" s="315">
        <v>5.7505569999999997</v>
      </c>
    </row>
    <row r="79" spans="1:10" x14ac:dyDescent="0.3">
      <c r="A79" s="286">
        <v>45473</v>
      </c>
      <c r="B79" s="28">
        <f t="shared" si="0"/>
        <v>5.7504200000000005E-2</v>
      </c>
      <c r="C79" s="26" t="s">
        <v>13</v>
      </c>
      <c r="D79" s="315">
        <v>5.7504200000000001</v>
      </c>
    </row>
    <row r="80" spans="1:10" x14ac:dyDescent="0.3">
      <c r="A80" s="286">
        <v>45565</v>
      </c>
      <c r="B80" s="28">
        <f t="shared" si="0"/>
        <v>5.7496109999999996E-2</v>
      </c>
      <c r="C80" s="26" t="s">
        <v>13</v>
      </c>
      <c r="D80" s="315">
        <v>5.7496109999999998</v>
      </c>
    </row>
    <row r="81" spans="1:4" x14ac:dyDescent="0.3">
      <c r="A81" s="286">
        <v>45657</v>
      </c>
      <c r="B81" s="28">
        <f t="shared" si="0"/>
        <v>5.7492729999999999E-2</v>
      </c>
      <c r="C81" s="26" t="s">
        <v>13</v>
      </c>
      <c r="D81" s="315">
        <v>5.7492729999999996</v>
      </c>
    </row>
    <row r="82" spans="1:4" x14ac:dyDescent="0.3">
      <c r="A82" s="286">
        <v>45747</v>
      </c>
      <c r="B82" s="28">
        <f t="shared" si="0"/>
        <v>5.7482410000000005E-2</v>
      </c>
      <c r="C82" s="26" t="s">
        <v>13</v>
      </c>
      <c r="D82" s="315">
        <v>5.7482410000000002</v>
      </c>
    </row>
    <row r="83" spans="1:4" x14ac:dyDescent="0.3">
      <c r="A83" s="286">
        <v>45838</v>
      </c>
      <c r="B83" s="28">
        <f t="shared" si="0"/>
        <v>5.7477660000000007E-2</v>
      </c>
      <c r="C83" s="26" t="s">
        <v>13</v>
      </c>
      <c r="D83" s="315">
        <v>5.7477660000000004</v>
      </c>
    </row>
    <row r="84" spans="1:4" x14ac:dyDescent="0.3">
      <c r="A84" s="286">
        <v>45930</v>
      </c>
      <c r="B84" s="28">
        <f t="shared" si="0"/>
        <v>5.747787E-2</v>
      </c>
      <c r="C84" s="26" t="s">
        <v>13</v>
      </c>
      <c r="D84" s="315">
        <v>5.7477869999999998</v>
      </c>
    </row>
    <row r="85" spans="1:4" x14ac:dyDescent="0.3">
      <c r="A85" s="286">
        <v>46022</v>
      </c>
      <c r="B85" s="28">
        <f t="shared" si="0"/>
        <v>5.7478519999999998E-2</v>
      </c>
      <c r="C85" s="26" t="s">
        <v>13</v>
      </c>
      <c r="D85" s="315">
        <v>5.747852</v>
      </c>
    </row>
    <row r="86" spans="1:4" x14ac:dyDescent="0.3">
      <c r="A86" s="286">
        <v>46112</v>
      </c>
      <c r="B86" s="28">
        <f t="shared" si="0"/>
        <v>5.7472580000000002E-2</v>
      </c>
      <c r="C86" s="26" t="s">
        <v>13</v>
      </c>
      <c r="D86" s="315">
        <v>5.7472580000000004</v>
      </c>
    </row>
    <row r="87" spans="1:4" x14ac:dyDescent="0.3">
      <c r="A87" s="286">
        <v>46203</v>
      </c>
      <c r="B87" s="28">
        <f t="shared" si="0"/>
        <v>5.7468110000000003E-2</v>
      </c>
      <c r="C87" s="26" t="s">
        <v>13</v>
      </c>
      <c r="D87" s="315">
        <v>5.7468110000000001</v>
      </c>
    </row>
    <row r="88" spans="1:4" x14ac:dyDescent="0.3">
      <c r="A88" s="286">
        <v>46295</v>
      </c>
      <c r="B88" s="28">
        <f t="shared" si="0"/>
        <v>5.7464359999999999E-2</v>
      </c>
      <c r="C88" s="26" t="s">
        <v>13</v>
      </c>
      <c r="D88" s="315">
        <v>5.7464360000000001</v>
      </c>
    </row>
    <row r="89" spans="1:4" x14ac:dyDescent="0.3">
      <c r="A89" s="286">
        <v>46387</v>
      </c>
      <c r="B89" s="28">
        <f t="shared" si="0"/>
        <v>5.7460120000000003E-2</v>
      </c>
      <c r="C89" s="26" t="s">
        <v>13</v>
      </c>
      <c r="D89" s="315">
        <v>5.7460120000000003</v>
      </c>
    </row>
  </sheetData>
  <autoFilter ref="A1:C1" xr:uid="{00000000-0009-0000-0000-000000000000}"/>
  <pageMargins left="0.7" right="0.7" top="0.75" bottom="0.75" header="0.3" footer="0.3"/>
  <pageSetup orientation="portrait" r:id="rId1"/>
  <headerFooter>
    <oddHeader>&amp;C&amp;"Times New Roman,Regular"&amp;12FERC Interest Rate&amp;RTO2021 Annual Update
Attachment 4
WP- Schedule 22 NUCs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32"/>
  <sheetViews>
    <sheetView view="pageLayout" zoomScale="60" zoomScaleNormal="40" zoomScalePageLayoutView="60" workbookViewId="0"/>
  </sheetViews>
  <sheetFormatPr defaultColWidth="9.1796875" defaultRowHeight="12.5" outlineLevelRow="1" x14ac:dyDescent="0.25"/>
  <cols>
    <col min="1" max="1" width="10.26953125" style="6" bestFit="1" customWidth="1"/>
    <col min="2" max="2" width="13.26953125" style="6" customWidth="1"/>
    <col min="3" max="3" width="16.26953125" style="6" bestFit="1" customWidth="1"/>
    <col min="4" max="4" width="14.81640625" style="6" customWidth="1"/>
    <col min="5" max="5" width="9.7265625" style="6" bestFit="1" customWidth="1"/>
    <col min="6" max="6" width="18.7265625" style="6" bestFit="1" customWidth="1"/>
    <col min="7" max="9" width="16.1796875" style="6" customWidth="1"/>
    <col min="10" max="10" width="17" style="6" customWidth="1"/>
    <col min="11" max="13" width="16.1796875" style="6" customWidth="1"/>
    <col min="14" max="14" width="18" style="6" bestFit="1" customWidth="1"/>
    <col min="15" max="15" width="16.1796875" style="6" customWidth="1"/>
    <col min="16" max="16384" width="9.1796875" style="6"/>
  </cols>
  <sheetData>
    <row r="1" spans="1:8" ht="26" x14ac:dyDescent="0.3">
      <c r="A1" s="81" t="s">
        <v>8</v>
      </c>
      <c r="B1" s="82" t="s">
        <v>86</v>
      </c>
      <c r="C1" s="81" t="s">
        <v>2</v>
      </c>
      <c r="D1" s="81" t="s">
        <v>1</v>
      </c>
      <c r="E1" s="82" t="s">
        <v>72</v>
      </c>
      <c r="F1" s="82" t="s">
        <v>47</v>
      </c>
    </row>
    <row r="2" spans="1:8" ht="12.75" customHeight="1" x14ac:dyDescent="0.25">
      <c r="A2" s="78" t="s">
        <v>52</v>
      </c>
      <c r="B2" s="62">
        <v>41275</v>
      </c>
      <c r="C2" s="43">
        <v>5567720</v>
      </c>
      <c r="D2" s="43">
        <v>0</v>
      </c>
      <c r="E2" s="43">
        <v>0</v>
      </c>
      <c r="F2" s="7">
        <f>SUM(C2:E2)</f>
        <v>5567720</v>
      </c>
      <c r="G2" s="8"/>
    </row>
    <row r="3" spans="1:8" ht="12.75" customHeight="1" outlineLevel="1" x14ac:dyDescent="0.25">
      <c r="A3" s="78" t="s">
        <v>53</v>
      </c>
      <c r="B3" s="18" t="s">
        <v>21</v>
      </c>
      <c r="C3" s="43">
        <v>0</v>
      </c>
      <c r="D3" s="43">
        <v>0</v>
      </c>
      <c r="E3" s="43">
        <v>0</v>
      </c>
      <c r="F3" s="7">
        <f t="shared" ref="F3:F25" si="0">SUM(C3:E3)</f>
        <v>0</v>
      </c>
    </row>
    <row r="4" spans="1:8" outlineLevel="1" x14ac:dyDescent="0.25">
      <c r="A4" s="78" t="s">
        <v>54</v>
      </c>
      <c r="B4" s="18" t="s">
        <v>21</v>
      </c>
      <c r="C4" s="43">
        <v>0</v>
      </c>
      <c r="D4" s="43">
        <v>0</v>
      </c>
      <c r="E4" s="43">
        <v>0</v>
      </c>
      <c r="F4" s="7">
        <f t="shared" si="0"/>
        <v>0</v>
      </c>
    </row>
    <row r="5" spans="1:8" outlineLevel="1" x14ac:dyDescent="0.25">
      <c r="A5" s="78" t="s">
        <v>55</v>
      </c>
      <c r="B5" s="18" t="s">
        <v>21</v>
      </c>
      <c r="C5" s="43">
        <v>0</v>
      </c>
      <c r="D5" s="43">
        <v>0</v>
      </c>
      <c r="E5" s="43">
        <v>0</v>
      </c>
      <c r="F5" s="7">
        <f t="shared" si="0"/>
        <v>0</v>
      </c>
    </row>
    <row r="6" spans="1:8" ht="12.75" customHeight="1" outlineLevel="1" x14ac:dyDescent="0.25">
      <c r="A6" s="78" t="s">
        <v>56</v>
      </c>
      <c r="B6" s="18" t="s">
        <v>21</v>
      </c>
      <c r="C6" s="43">
        <v>0</v>
      </c>
      <c r="D6" s="43">
        <v>0</v>
      </c>
      <c r="E6" s="43">
        <v>0</v>
      </c>
      <c r="F6" s="7">
        <f t="shared" si="0"/>
        <v>0</v>
      </c>
    </row>
    <row r="7" spans="1:8" outlineLevel="1" x14ac:dyDescent="0.25">
      <c r="A7" s="78" t="s">
        <v>57</v>
      </c>
      <c r="B7" s="18" t="s">
        <v>21</v>
      </c>
      <c r="C7" s="43">
        <v>0</v>
      </c>
      <c r="D7" s="43">
        <v>0</v>
      </c>
      <c r="E7" s="43">
        <v>0</v>
      </c>
      <c r="F7" s="7">
        <f t="shared" si="0"/>
        <v>0</v>
      </c>
    </row>
    <row r="8" spans="1:8" outlineLevel="1" x14ac:dyDescent="0.25">
      <c r="A8" s="78" t="s">
        <v>58</v>
      </c>
      <c r="B8" s="18" t="s">
        <v>21</v>
      </c>
      <c r="C8" s="43">
        <v>0</v>
      </c>
      <c r="D8" s="43">
        <v>0</v>
      </c>
      <c r="E8" s="43">
        <v>0</v>
      </c>
      <c r="F8" s="7">
        <f t="shared" si="0"/>
        <v>0</v>
      </c>
    </row>
    <row r="9" spans="1:8" outlineLevel="1" x14ac:dyDescent="0.25">
      <c r="A9" s="78" t="s">
        <v>59</v>
      </c>
      <c r="B9" s="18" t="s">
        <v>21</v>
      </c>
      <c r="C9" s="43">
        <v>0</v>
      </c>
      <c r="D9" s="43">
        <v>0</v>
      </c>
      <c r="E9" s="43">
        <v>0</v>
      </c>
      <c r="F9" s="7">
        <f t="shared" si="0"/>
        <v>0</v>
      </c>
    </row>
    <row r="10" spans="1:8" outlineLevel="1" x14ac:dyDescent="0.25">
      <c r="A10" s="78" t="s">
        <v>60</v>
      </c>
      <c r="B10" s="18" t="s">
        <v>21</v>
      </c>
      <c r="C10" s="43">
        <v>0</v>
      </c>
      <c r="D10" s="43">
        <v>0</v>
      </c>
      <c r="E10" s="43">
        <v>0</v>
      </c>
      <c r="F10" s="7">
        <f t="shared" si="0"/>
        <v>0</v>
      </c>
    </row>
    <row r="11" spans="1:8" outlineLevel="1" x14ac:dyDescent="0.25">
      <c r="A11" s="78" t="s">
        <v>61</v>
      </c>
      <c r="B11" s="18" t="s">
        <v>21</v>
      </c>
      <c r="C11" s="43">
        <v>0</v>
      </c>
      <c r="D11" s="43">
        <v>0</v>
      </c>
      <c r="E11" s="43">
        <v>0</v>
      </c>
      <c r="F11" s="7">
        <f t="shared" si="0"/>
        <v>0</v>
      </c>
    </row>
    <row r="12" spans="1:8" outlineLevel="1" x14ac:dyDescent="0.25">
      <c r="A12" s="78" t="s">
        <v>62</v>
      </c>
      <c r="B12" s="18" t="s">
        <v>21</v>
      </c>
      <c r="C12" s="43">
        <v>0</v>
      </c>
      <c r="D12" s="43">
        <v>0</v>
      </c>
      <c r="E12" s="43">
        <v>0</v>
      </c>
      <c r="F12" s="7">
        <f t="shared" si="0"/>
        <v>0</v>
      </c>
      <c r="H12" s="163"/>
    </row>
    <row r="13" spans="1:8" outlineLevel="1" x14ac:dyDescent="0.25">
      <c r="A13" s="78" t="s">
        <v>63</v>
      </c>
      <c r="B13" s="18" t="s">
        <v>21</v>
      </c>
      <c r="C13" s="43">
        <v>0</v>
      </c>
      <c r="D13" s="43">
        <v>0</v>
      </c>
      <c r="E13" s="43">
        <v>0</v>
      </c>
      <c r="F13" s="7">
        <f t="shared" si="0"/>
        <v>0</v>
      </c>
      <c r="H13" s="163"/>
    </row>
    <row r="14" spans="1:8" outlineLevel="1" x14ac:dyDescent="0.25">
      <c r="A14" s="78" t="s">
        <v>64</v>
      </c>
      <c r="B14" s="18" t="s">
        <v>21</v>
      </c>
      <c r="C14" s="43">
        <v>0</v>
      </c>
      <c r="D14" s="43">
        <v>0</v>
      </c>
      <c r="E14" s="43">
        <v>0</v>
      </c>
      <c r="F14" s="7">
        <f t="shared" si="0"/>
        <v>0</v>
      </c>
      <c r="H14" s="163"/>
    </row>
    <row r="15" spans="1:8" outlineLevel="1" x14ac:dyDescent="0.25">
      <c r="A15" s="78" t="s">
        <v>65</v>
      </c>
      <c r="B15" s="18" t="s">
        <v>21</v>
      </c>
      <c r="C15" s="43">
        <v>0</v>
      </c>
      <c r="D15" s="43">
        <v>0</v>
      </c>
      <c r="E15" s="43">
        <v>0</v>
      </c>
      <c r="F15" s="7">
        <f t="shared" si="0"/>
        <v>0</v>
      </c>
      <c r="H15" s="163"/>
    </row>
    <row r="16" spans="1:8" outlineLevel="1" x14ac:dyDescent="0.25">
      <c r="A16" s="78" t="s">
        <v>66</v>
      </c>
      <c r="B16" s="18" t="s">
        <v>21</v>
      </c>
      <c r="C16" s="43">
        <v>0</v>
      </c>
      <c r="D16" s="43">
        <v>0</v>
      </c>
      <c r="E16" s="43">
        <v>0</v>
      </c>
      <c r="F16" s="7">
        <f t="shared" si="0"/>
        <v>0</v>
      </c>
      <c r="H16" s="163"/>
    </row>
    <row r="17" spans="1:16" outlineLevel="1" x14ac:dyDescent="0.25">
      <c r="A17" s="78" t="s">
        <v>67</v>
      </c>
      <c r="B17" s="18" t="s">
        <v>21</v>
      </c>
      <c r="C17" s="43">
        <v>0</v>
      </c>
      <c r="D17" s="43">
        <v>0</v>
      </c>
      <c r="E17" s="43">
        <v>0</v>
      </c>
      <c r="F17" s="7">
        <f t="shared" si="0"/>
        <v>0</v>
      </c>
      <c r="H17" s="163"/>
    </row>
    <row r="18" spans="1:16" outlineLevel="1" x14ac:dyDescent="0.25">
      <c r="A18" s="78" t="s">
        <v>68</v>
      </c>
      <c r="B18" s="18" t="s">
        <v>21</v>
      </c>
      <c r="C18" s="43">
        <v>0</v>
      </c>
      <c r="D18" s="43">
        <v>0</v>
      </c>
      <c r="E18" s="43">
        <v>0</v>
      </c>
      <c r="F18" s="7">
        <f t="shared" si="0"/>
        <v>0</v>
      </c>
      <c r="H18" s="163"/>
    </row>
    <row r="19" spans="1:16" outlineLevel="1" x14ac:dyDescent="0.25">
      <c r="A19" s="78" t="s">
        <v>69</v>
      </c>
      <c r="B19" s="18" t="s">
        <v>21</v>
      </c>
      <c r="C19" s="43">
        <v>0</v>
      </c>
      <c r="D19" s="43">
        <v>0</v>
      </c>
      <c r="E19" s="43">
        <v>0</v>
      </c>
      <c r="F19" s="7">
        <f t="shared" si="0"/>
        <v>0</v>
      </c>
    </row>
    <row r="20" spans="1:16" outlineLevel="1" x14ac:dyDescent="0.25">
      <c r="A20" s="78" t="s">
        <v>70</v>
      </c>
      <c r="B20" s="18" t="s">
        <v>21</v>
      </c>
      <c r="C20" s="43">
        <v>0</v>
      </c>
      <c r="D20" s="43">
        <v>0</v>
      </c>
      <c r="E20" s="43">
        <v>0</v>
      </c>
      <c r="F20" s="7">
        <f t="shared" si="0"/>
        <v>0</v>
      </c>
    </row>
    <row r="21" spans="1:16" outlineLevel="1" x14ac:dyDescent="0.25">
      <c r="A21" s="78" t="s">
        <v>71</v>
      </c>
      <c r="B21" s="18" t="s">
        <v>21</v>
      </c>
      <c r="C21" s="43">
        <v>0</v>
      </c>
      <c r="D21" s="43">
        <v>0</v>
      </c>
      <c r="E21" s="43">
        <v>0</v>
      </c>
      <c r="F21" s="7">
        <f t="shared" si="0"/>
        <v>0</v>
      </c>
    </row>
    <row r="22" spans="1:16" outlineLevel="1" x14ac:dyDescent="0.25">
      <c r="A22" s="78" t="s">
        <v>74</v>
      </c>
      <c r="B22" s="18" t="s">
        <v>21</v>
      </c>
      <c r="C22" s="43">
        <v>0</v>
      </c>
      <c r="D22" s="43">
        <v>0</v>
      </c>
      <c r="E22" s="43">
        <v>0</v>
      </c>
      <c r="F22" s="7">
        <f t="shared" si="0"/>
        <v>0</v>
      </c>
    </row>
    <row r="23" spans="1:16" outlineLevel="1" x14ac:dyDescent="0.25">
      <c r="A23" s="78" t="s">
        <v>75</v>
      </c>
      <c r="B23" s="18" t="s">
        <v>21</v>
      </c>
      <c r="C23" s="43">
        <v>0</v>
      </c>
      <c r="D23" s="43">
        <v>0</v>
      </c>
      <c r="E23" s="43">
        <v>0</v>
      </c>
      <c r="F23" s="7">
        <f t="shared" si="0"/>
        <v>0</v>
      </c>
    </row>
    <row r="24" spans="1:16" outlineLevel="1" x14ac:dyDescent="0.25">
      <c r="A24" s="78" t="s">
        <v>76</v>
      </c>
      <c r="B24" s="18" t="s">
        <v>21</v>
      </c>
      <c r="C24" s="43">
        <v>0</v>
      </c>
      <c r="D24" s="43">
        <v>0</v>
      </c>
      <c r="E24" s="43">
        <v>0</v>
      </c>
      <c r="F24" s="7">
        <f t="shared" si="0"/>
        <v>0</v>
      </c>
    </row>
    <row r="25" spans="1:16" ht="13" outlineLevel="1" thickBot="1" x14ac:dyDescent="0.3">
      <c r="A25" s="78" t="s">
        <v>77</v>
      </c>
      <c r="B25" s="18" t="s">
        <v>21</v>
      </c>
      <c r="C25" s="43">
        <v>0</v>
      </c>
      <c r="D25" s="43">
        <v>0</v>
      </c>
      <c r="E25" s="43">
        <v>0</v>
      </c>
      <c r="F25" s="7">
        <f t="shared" si="0"/>
        <v>0</v>
      </c>
    </row>
    <row r="26" spans="1:16" ht="13" x14ac:dyDescent="0.3">
      <c r="B26" s="34" t="s">
        <v>0</v>
      </c>
      <c r="C26" s="109">
        <f>SUM(C2:C25)</f>
        <v>5567720</v>
      </c>
      <c r="D26" s="109">
        <f>SUM(D2:D25)</f>
        <v>0</v>
      </c>
      <c r="E26" s="109">
        <f>SUM(E2:E25)</f>
        <v>0</v>
      </c>
      <c r="F26" s="109">
        <f>SUM(F2:F25)</f>
        <v>5567720</v>
      </c>
      <c r="H26" s="153"/>
      <c r="I26" s="149" t="s">
        <v>13</v>
      </c>
      <c r="J26" s="149" t="s">
        <v>12</v>
      </c>
      <c r="K26" s="150" t="s">
        <v>20</v>
      </c>
      <c r="L26" s="151"/>
      <c r="M26" s="152"/>
    </row>
    <row r="27" spans="1:16" ht="13" x14ac:dyDescent="0.3">
      <c r="A27" s="17" t="s">
        <v>18</v>
      </c>
      <c r="B27" s="18" t="s">
        <v>21</v>
      </c>
      <c r="C27" s="8">
        <v>2469500</v>
      </c>
      <c r="D27" s="8">
        <v>0</v>
      </c>
      <c r="E27" s="8">
        <v>0</v>
      </c>
      <c r="F27" s="8">
        <f>SUM(C27:E27)</f>
        <v>2469500</v>
      </c>
      <c r="H27" s="147" t="s">
        <v>10</v>
      </c>
      <c r="I27" s="84">
        <v>41850</v>
      </c>
      <c r="J27" s="85">
        <v>41590</v>
      </c>
      <c r="K27" s="86"/>
      <c r="L27" s="87"/>
      <c r="M27" s="88"/>
    </row>
    <row r="28" spans="1:16" ht="13.5" thickBot="1" x14ac:dyDescent="0.35">
      <c r="A28" s="17" t="s">
        <v>19</v>
      </c>
      <c r="B28" s="18" t="s">
        <v>21</v>
      </c>
      <c r="C28" s="8">
        <v>4565056.84</v>
      </c>
      <c r="D28" s="8">
        <v>0</v>
      </c>
      <c r="E28" s="8">
        <v>0</v>
      </c>
      <c r="F28" s="8">
        <f>SUM(C28:E28)</f>
        <v>4565056.84</v>
      </c>
      <c r="H28" s="148" t="s">
        <v>16</v>
      </c>
      <c r="I28" s="89">
        <v>41955</v>
      </c>
      <c r="J28" s="90">
        <v>41977</v>
      </c>
      <c r="K28" s="91"/>
      <c r="L28" s="92"/>
      <c r="M28" s="93"/>
    </row>
    <row r="29" spans="1:16" ht="13.5" thickBot="1" x14ac:dyDescent="0.35">
      <c r="A29" s="34"/>
      <c r="B29" s="66" t="s">
        <v>50</v>
      </c>
      <c r="C29" s="65">
        <f>+SUM(C26:C28)</f>
        <v>12602276.84</v>
      </c>
      <c r="D29" s="65">
        <f>+SUM(D26:D28)</f>
        <v>0</v>
      </c>
      <c r="E29" s="65">
        <f>+SUM(E26:E28)</f>
        <v>0</v>
      </c>
      <c r="F29" s="65">
        <f>+SUM(F26:F28)</f>
        <v>12602276.84</v>
      </c>
    </row>
    <row r="30" spans="1:16" ht="14" thickTop="1" thickBot="1" x14ac:dyDescent="0.35">
      <c r="B30" s="34"/>
      <c r="C30" s="13"/>
      <c r="D30" s="13"/>
      <c r="E30" s="13"/>
      <c r="F30" s="13"/>
    </row>
    <row r="31" spans="1:16" ht="13" x14ac:dyDescent="0.3">
      <c r="B31" s="33"/>
      <c r="C31" s="5"/>
      <c r="D31" s="17"/>
      <c r="I31" s="130"/>
      <c r="J31" s="113"/>
      <c r="K31" s="113"/>
      <c r="L31" s="113"/>
      <c r="M31" s="97"/>
    </row>
    <row r="32" spans="1:16" ht="39" x14ac:dyDescent="0.3">
      <c r="A32" s="77" t="s">
        <v>51</v>
      </c>
      <c r="B32" s="77" t="s">
        <v>3</v>
      </c>
      <c r="C32" s="77" t="s">
        <v>4</v>
      </c>
      <c r="D32" s="77" t="s">
        <v>5</v>
      </c>
      <c r="E32" s="77" t="s">
        <v>6</v>
      </c>
      <c r="F32" s="77" t="s">
        <v>7</v>
      </c>
      <c r="G32" s="77" t="s">
        <v>92</v>
      </c>
      <c r="H32" s="77" t="s">
        <v>93</v>
      </c>
      <c r="I32" s="94" t="s">
        <v>94</v>
      </c>
      <c r="J32" s="95" t="s">
        <v>95</v>
      </c>
      <c r="K32" s="95" t="s">
        <v>96</v>
      </c>
      <c r="L32" s="95" t="s">
        <v>97</v>
      </c>
      <c r="M32" s="96" t="s">
        <v>98</v>
      </c>
      <c r="N32" s="77" t="s">
        <v>99</v>
      </c>
      <c r="O32" s="77" t="s">
        <v>100</v>
      </c>
      <c r="P32" s="277"/>
    </row>
    <row r="33" spans="1:15" ht="13" x14ac:dyDescent="0.3">
      <c r="A33" s="339" t="s">
        <v>2</v>
      </c>
      <c r="B33" s="339"/>
      <c r="C33" s="300">
        <f>$J$27</f>
        <v>41590</v>
      </c>
      <c r="D33" s="300">
        <f>DATE(YEAR(C33),IF(MONTH(C33)&lt;=3,3,IF(MONTH(C33)&lt;=6,6,IF(MONTH(C33)&lt;=9,9,12))),IF(OR(MONTH(C33)&lt;=3,MONTH(C33)&gt;=10),31,30))</f>
        <v>41639</v>
      </c>
      <c r="E33" s="301">
        <f>D33-C33+1</f>
        <v>50</v>
      </c>
      <c r="F33" s="302">
        <f>VLOOKUP(D33,'FERC Interest Rate'!$A:$B,2,TRUE)</f>
        <v>3.2500000000000001E-2</v>
      </c>
      <c r="G33" s="167">
        <f>$C$26</f>
        <v>5567720</v>
      </c>
      <c r="H33" s="167">
        <f>G33*F33*(E33/(DATE(YEAR(D33),12,31)-DATE(YEAR(D33),1,1)+1))</f>
        <v>24787.794520547945</v>
      </c>
      <c r="I33" s="303">
        <v>0</v>
      </c>
      <c r="J33" s="304">
        <v>0</v>
      </c>
      <c r="K33" s="305">
        <f>+SUM(I33:J33)</f>
        <v>0</v>
      </c>
      <c r="L33" s="304">
        <v>0</v>
      </c>
      <c r="M33" s="306">
        <f>+SUM(K33:L33)</f>
        <v>0</v>
      </c>
      <c r="N33" s="307">
        <f>+G33+H33+J33</f>
        <v>5592507.7945205476</v>
      </c>
      <c r="O33" s="167">
        <f t="shared" ref="O33:O56" si="1">G33+H33-L33-I33</f>
        <v>5592507.7945205476</v>
      </c>
    </row>
    <row r="34" spans="1:15" ht="13" x14ac:dyDescent="0.3">
      <c r="A34" s="340"/>
      <c r="B34" s="340"/>
      <c r="C34" s="300">
        <f>D33+1</f>
        <v>41640</v>
      </c>
      <c r="D34" s="300">
        <f t="shared" ref="D34:D56" si="2">EOMONTH(D33,3)</f>
        <v>41729</v>
      </c>
      <c r="E34" s="301">
        <f>D34-C34+1</f>
        <v>90</v>
      </c>
      <c r="F34" s="302">
        <f>VLOOKUP(D34,'FERC Interest Rate'!$A:$B,2,TRUE)</f>
        <v>3.2500000000000001E-2</v>
      </c>
      <c r="G34" s="167">
        <f t="shared" ref="G34:G56" si="3">O33</f>
        <v>5592507.7945205476</v>
      </c>
      <c r="H34" s="167">
        <f>G34*F34*(E34/(DATE(YEAR(D34),12,31)-DATE(YEAR(D34),1,1)+1))</f>
        <v>44816.672051979731</v>
      </c>
      <c r="I34" s="303">
        <v>0</v>
      </c>
      <c r="J34" s="304">
        <v>0</v>
      </c>
      <c r="K34" s="305">
        <f t="shared" ref="K34:K56" si="4">+SUM(I34:J34)</f>
        <v>0</v>
      </c>
      <c r="L34" s="304">
        <v>0</v>
      </c>
      <c r="M34" s="306">
        <f t="shared" ref="M34:M56" si="5">+SUM(K34:L34)</f>
        <v>0</v>
      </c>
      <c r="N34" s="307">
        <f t="shared" ref="N34:N56" si="6">+G34+H34+J34</f>
        <v>5637324.4665725278</v>
      </c>
      <c r="O34" s="167">
        <f t="shared" si="1"/>
        <v>5637324.4665725278</v>
      </c>
    </row>
    <row r="35" spans="1:15" ht="13" x14ac:dyDescent="0.3">
      <c r="A35" s="340"/>
      <c r="B35" s="340"/>
      <c r="C35" s="300">
        <f>D34+1</f>
        <v>41730</v>
      </c>
      <c r="D35" s="300">
        <f t="shared" si="2"/>
        <v>41820</v>
      </c>
      <c r="E35" s="301">
        <f>D35-C35+1</f>
        <v>91</v>
      </c>
      <c r="F35" s="302">
        <f>VLOOKUP(D35,'FERC Interest Rate'!$A:$B,2,TRUE)</f>
        <v>3.2500000000000001E-2</v>
      </c>
      <c r="G35" s="167">
        <f t="shared" si="3"/>
        <v>5637324.4665725278</v>
      </c>
      <c r="H35" s="167">
        <f>G35*F35*(E35/(DATE(YEAR(D35),12,31)-DATE(YEAR(D35),1,1)+1))</f>
        <v>45677.77290380343</v>
      </c>
      <c r="I35" s="303">
        <v>0</v>
      </c>
      <c r="J35" s="304">
        <v>0</v>
      </c>
      <c r="K35" s="305">
        <f t="shared" si="4"/>
        <v>0</v>
      </c>
      <c r="L35" s="304">
        <v>0</v>
      </c>
      <c r="M35" s="306">
        <f t="shared" si="5"/>
        <v>0</v>
      </c>
      <c r="N35" s="307">
        <f t="shared" si="6"/>
        <v>5683002.2394763315</v>
      </c>
      <c r="O35" s="167">
        <f t="shared" si="1"/>
        <v>5683002.2394763315</v>
      </c>
    </row>
    <row r="36" spans="1:15" ht="13" x14ac:dyDescent="0.3">
      <c r="A36" s="340"/>
      <c r="B36" s="340"/>
      <c r="C36" s="300">
        <f>D35+1</f>
        <v>41821</v>
      </c>
      <c r="D36" s="300">
        <f t="shared" si="2"/>
        <v>41912</v>
      </c>
      <c r="E36" s="301">
        <f>D36-C36+1</f>
        <v>92</v>
      </c>
      <c r="F36" s="302">
        <f>VLOOKUP(D36,'FERC Interest Rate'!$A:$B,2,TRUE)</f>
        <v>3.2500000000000001E-2</v>
      </c>
      <c r="G36" s="167">
        <f t="shared" si="3"/>
        <v>5683002.2394763315</v>
      </c>
      <c r="H36" s="167">
        <f>G36*F36*(E36/(DATE(YEAR(D36),12,31)-DATE(YEAR(D36),1,1)+1))</f>
        <v>46553.90875625817</v>
      </c>
      <c r="I36" s="303">
        <v>0</v>
      </c>
      <c r="J36" s="304">
        <v>0</v>
      </c>
      <c r="K36" s="305">
        <f t="shared" si="4"/>
        <v>0</v>
      </c>
      <c r="L36" s="304">
        <v>0</v>
      </c>
      <c r="M36" s="306">
        <f t="shared" si="5"/>
        <v>0</v>
      </c>
      <c r="N36" s="307">
        <f t="shared" si="6"/>
        <v>5729556.1482325895</v>
      </c>
      <c r="O36" s="167">
        <f t="shared" si="1"/>
        <v>5729556.1482325895</v>
      </c>
    </row>
    <row r="37" spans="1:15" ht="13" x14ac:dyDescent="0.3">
      <c r="A37" s="78" t="s">
        <v>52</v>
      </c>
      <c r="B37" s="72" t="str">
        <f t="shared" ref="B37:B56" si="7">+IF(MONTH(C37)&lt;4,"Q1",IF(MONTH(C37)&lt;7,"Q2",IF(MONTH(C37)&lt;10,"Q3","Q4")))&amp;"/"&amp;YEAR(C37)</f>
        <v>Q4/2014</v>
      </c>
      <c r="C37" s="73">
        <f>D36+1</f>
        <v>41913</v>
      </c>
      <c r="D37" s="73">
        <f t="shared" si="2"/>
        <v>42004</v>
      </c>
      <c r="E37" s="72">
        <f>D37-C37+1</f>
        <v>92</v>
      </c>
      <c r="F37" s="74">
        <f>VLOOKUP(D37,'FERC Interest Rate'!$A:$B,2,TRUE)</f>
        <v>3.2500000000000001E-2</v>
      </c>
      <c r="G37" s="75">
        <f t="shared" si="3"/>
        <v>5729556.1482325895</v>
      </c>
      <c r="H37" s="167">
        <f>G37*F37*(E37/(DATE(YEAR(D37),12,31)-DATE(YEAR(D37),1,1)+1))</f>
        <v>46935.268173192999</v>
      </c>
      <c r="I37" s="99">
        <f t="shared" ref="I37:I56" si="8">SUM($H$33:$H$57)/20</f>
        <v>10438.570820289115</v>
      </c>
      <c r="J37" s="304">
        <v>0</v>
      </c>
      <c r="K37" s="116">
        <f t="shared" si="4"/>
        <v>10438.570820289115</v>
      </c>
      <c r="L37" s="76">
        <f>$C$26/20</f>
        <v>278386</v>
      </c>
      <c r="M37" s="117">
        <f t="shared" si="5"/>
        <v>288824.57082028914</v>
      </c>
      <c r="N37" s="8">
        <f t="shared" si="6"/>
        <v>5776491.4164057821</v>
      </c>
      <c r="O37" s="75">
        <f t="shared" si="1"/>
        <v>5487666.8455854934</v>
      </c>
    </row>
    <row r="38" spans="1:15" x14ac:dyDescent="0.25">
      <c r="A38" s="78" t="s">
        <v>53</v>
      </c>
      <c r="B38" s="72" t="str">
        <f t="shared" si="7"/>
        <v>Q1/2015</v>
      </c>
      <c r="C38" s="73">
        <f t="shared" ref="C38:C52" si="9">D37+1</f>
        <v>42005</v>
      </c>
      <c r="D38" s="73">
        <f t="shared" si="2"/>
        <v>42094</v>
      </c>
      <c r="E38" s="72">
        <f t="shared" ref="E38:E52" si="10">D38-C38+1</f>
        <v>90</v>
      </c>
      <c r="F38" s="74">
        <f>VLOOKUP(D38,'FERC Interest Rate'!$A:$B,2,TRUE)</f>
        <v>3.2500000000000001E-2</v>
      </c>
      <c r="G38" s="75">
        <f t="shared" si="3"/>
        <v>5487666.8455854934</v>
      </c>
      <c r="H38" s="75">
        <v>0</v>
      </c>
      <c r="I38" s="99">
        <f t="shared" si="8"/>
        <v>10438.570820289115</v>
      </c>
      <c r="J38" s="76">
        <f t="shared" ref="J38:J56" si="11">G38*F38*(E38/(DATE(YEAR(D38),12,31)-DATE(YEAR(D38),1,1)+1))</f>
        <v>43976.508283116622</v>
      </c>
      <c r="K38" s="116">
        <f t="shared" si="4"/>
        <v>54415.079103405733</v>
      </c>
      <c r="L38" s="76">
        <f>$C$26/20</f>
        <v>278386</v>
      </c>
      <c r="M38" s="117">
        <f t="shared" si="5"/>
        <v>332801.0791034057</v>
      </c>
      <c r="N38" s="8">
        <f t="shared" si="6"/>
        <v>5531643.3538686102</v>
      </c>
      <c r="O38" s="75">
        <f t="shared" si="1"/>
        <v>5198842.2747652046</v>
      </c>
    </row>
    <row r="39" spans="1:15" x14ac:dyDescent="0.25">
      <c r="A39" s="78" t="s">
        <v>54</v>
      </c>
      <c r="B39" s="72" t="str">
        <f t="shared" si="7"/>
        <v>Q2/2015</v>
      </c>
      <c r="C39" s="73">
        <f t="shared" si="9"/>
        <v>42095</v>
      </c>
      <c r="D39" s="73">
        <f t="shared" si="2"/>
        <v>42185</v>
      </c>
      <c r="E39" s="72">
        <f t="shared" si="10"/>
        <v>91</v>
      </c>
      <c r="F39" s="74">
        <f>VLOOKUP(D39,'FERC Interest Rate'!$A:$B,2,TRUE)</f>
        <v>3.2500000000000001E-2</v>
      </c>
      <c r="G39" s="75">
        <f t="shared" si="3"/>
        <v>5198842.2747652046</v>
      </c>
      <c r="H39" s="75">
        <v>0</v>
      </c>
      <c r="I39" s="99">
        <f t="shared" si="8"/>
        <v>10438.570820289115</v>
      </c>
      <c r="J39" s="76">
        <f t="shared" si="11"/>
        <v>42124.865829090668</v>
      </c>
      <c r="K39" s="116">
        <f t="shared" si="4"/>
        <v>52563.436649379786</v>
      </c>
      <c r="L39" s="76">
        <f>$C$26/20</f>
        <v>278386</v>
      </c>
      <c r="M39" s="117">
        <f t="shared" si="5"/>
        <v>330949.43664937979</v>
      </c>
      <c r="N39" s="8">
        <f t="shared" si="6"/>
        <v>5240967.1405942952</v>
      </c>
      <c r="O39" s="75">
        <f t="shared" si="1"/>
        <v>4910017.7039449159</v>
      </c>
    </row>
    <row r="40" spans="1:15" x14ac:dyDescent="0.25">
      <c r="A40" s="78" t="s">
        <v>55</v>
      </c>
      <c r="B40" s="72" t="str">
        <f t="shared" si="7"/>
        <v>Q3/2015</v>
      </c>
      <c r="C40" s="73">
        <f t="shared" si="9"/>
        <v>42186</v>
      </c>
      <c r="D40" s="73">
        <f t="shared" si="2"/>
        <v>42277</v>
      </c>
      <c r="E40" s="72">
        <f t="shared" si="10"/>
        <v>92</v>
      </c>
      <c r="F40" s="74">
        <f>VLOOKUP(D40,'FERC Interest Rate'!$A:$B,2,TRUE)</f>
        <v>3.2500000000000001E-2</v>
      </c>
      <c r="G40" s="75">
        <f t="shared" si="3"/>
        <v>4910017.7039449159</v>
      </c>
      <c r="H40" s="75">
        <v>0</v>
      </c>
      <c r="I40" s="99">
        <f t="shared" si="8"/>
        <v>10438.570820289115</v>
      </c>
      <c r="J40" s="76">
        <f t="shared" si="11"/>
        <v>40221.788862452871</v>
      </c>
      <c r="K40" s="116">
        <f t="shared" si="4"/>
        <v>50660.359682741982</v>
      </c>
      <c r="L40" s="76">
        <f t="shared" ref="L40:L56" si="12">$C$26/20</f>
        <v>278386</v>
      </c>
      <c r="M40" s="117">
        <f t="shared" si="5"/>
        <v>329046.35968274198</v>
      </c>
      <c r="N40" s="8">
        <f t="shared" si="6"/>
        <v>4950239.4928073687</v>
      </c>
      <c r="O40" s="75">
        <f t="shared" si="1"/>
        <v>4621193.1331246272</v>
      </c>
    </row>
    <row r="41" spans="1:15" x14ac:dyDescent="0.25">
      <c r="A41" s="78" t="s">
        <v>56</v>
      </c>
      <c r="B41" s="72" t="str">
        <f t="shared" si="7"/>
        <v>Q4/2015</v>
      </c>
      <c r="C41" s="73">
        <f t="shared" si="9"/>
        <v>42278</v>
      </c>
      <c r="D41" s="73">
        <f t="shared" si="2"/>
        <v>42369</v>
      </c>
      <c r="E41" s="72">
        <f t="shared" si="10"/>
        <v>92</v>
      </c>
      <c r="F41" s="74">
        <f>VLOOKUP(D41,'FERC Interest Rate'!$A:$B,2,TRUE)</f>
        <v>3.2500000000000001E-2</v>
      </c>
      <c r="G41" s="75">
        <f t="shared" si="3"/>
        <v>4621193.1331246272</v>
      </c>
      <c r="H41" s="75">
        <v>0</v>
      </c>
      <c r="I41" s="99">
        <f t="shared" si="8"/>
        <v>10438.570820289115</v>
      </c>
      <c r="J41" s="76">
        <f t="shared" si="11"/>
        <v>37855.801282308596</v>
      </c>
      <c r="K41" s="116">
        <f t="shared" si="4"/>
        <v>48294.372102597714</v>
      </c>
      <c r="L41" s="76">
        <f t="shared" si="12"/>
        <v>278386</v>
      </c>
      <c r="M41" s="117">
        <f t="shared" si="5"/>
        <v>326680.37210259773</v>
      </c>
      <c r="N41" s="8">
        <f t="shared" si="6"/>
        <v>4659048.9344069362</v>
      </c>
      <c r="O41" s="75">
        <f t="shared" si="1"/>
        <v>4332368.5623043384</v>
      </c>
    </row>
    <row r="42" spans="1:15" x14ac:dyDescent="0.25">
      <c r="A42" s="78" t="s">
        <v>57</v>
      </c>
      <c r="B42" s="72" t="str">
        <f t="shared" si="7"/>
        <v>Q1/2016</v>
      </c>
      <c r="C42" s="73">
        <f t="shared" si="9"/>
        <v>42370</v>
      </c>
      <c r="D42" s="73">
        <f t="shared" si="2"/>
        <v>42460</v>
      </c>
      <c r="E42" s="72">
        <f t="shared" si="10"/>
        <v>91</v>
      </c>
      <c r="F42" s="74">
        <f>VLOOKUP(D42,'FERC Interest Rate'!$A:$B,2,TRUE)</f>
        <v>3.2500000000000001E-2</v>
      </c>
      <c r="G42" s="75">
        <f t="shared" si="3"/>
        <v>4332368.5623043384</v>
      </c>
      <c r="H42" s="75">
        <v>0</v>
      </c>
      <c r="I42" s="99">
        <f t="shared" si="8"/>
        <v>10438.570820289115</v>
      </c>
      <c r="J42" s="76">
        <f t="shared" si="11"/>
        <v>35008.142139385469</v>
      </c>
      <c r="K42" s="116">
        <f t="shared" si="4"/>
        <v>45446.71295967458</v>
      </c>
      <c r="L42" s="76">
        <f t="shared" si="12"/>
        <v>278386</v>
      </c>
      <c r="M42" s="117">
        <f t="shared" si="5"/>
        <v>323832.71295967459</v>
      </c>
      <c r="N42" s="8">
        <f t="shared" si="6"/>
        <v>4367376.7044437239</v>
      </c>
      <c r="O42" s="75">
        <f t="shared" si="1"/>
        <v>4043543.9914840492</v>
      </c>
    </row>
    <row r="43" spans="1:15" x14ac:dyDescent="0.25">
      <c r="A43" s="78" t="s">
        <v>58</v>
      </c>
      <c r="B43" s="72" t="str">
        <f t="shared" si="7"/>
        <v>Q2/2016</v>
      </c>
      <c r="C43" s="73">
        <f t="shared" si="9"/>
        <v>42461</v>
      </c>
      <c r="D43" s="73">
        <f t="shared" si="2"/>
        <v>42551</v>
      </c>
      <c r="E43" s="72">
        <f t="shared" si="10"/>
        <v>91</v>
      </c>
      <c r="F43" s="74">
        <f>VLOOKUP(D43,'FERC Interest Rate'!$A:$B,2,TRUE)</f>
        <v>3.4599999999999999E-2</v>
      </c>
      <c r="G43" s="75">
        <f t="shared" si="3"/>
        <v>4043543.9914840492</v>
      </c>
      <c r="H43" s="75">
        <v>0</v>
      </c>
      <c r="I43" s="99">
        <f t="shared" si="8"/>
        <v>10438.570820289115</v>
      </c>
      <c r="J43" s="76">
        <f t="shared" si="11"/>
        <v>34785.526261165782</v>
      </c>
      <c r="K43" s="116">
        <f t="shared" si="4"/>
        <v>45224.097081454893</v>
      </c>
      <c r="L43" s="76">
        <f t="shared" si="12"/>
        <v>278386</v>
      </c>
      <c r="M43" s="117">
        <f t="shared" si="5"/>
        <v>323610.09708145488</v>
      </c>
      <c r="N43" s="8">
        <f t="shared" si="6"/>
        <v>4078329.517745215</v>
      </c>
      <c r="O43" s="75">
        <f t="shared" si="1"/>
        <v>3754719.42066376</v>
      </c>
    </row>
    <row r="44" spans="1:15" x14ac:dyDescent="0.25">
      <c r="A44" s="78" t="s">
        <v>59</v>
      </c>
      <c r="B44" s="72" t="str">
        <f t="shared" si="7"/>
        <v>Q3/2016</v>
      </c>
      <c r="C44" s="73">
        <f t="shared" si="9"/>
        <v>42552</v>
      </c>
      <c r="D44" s="73">
        <f t="shared" si="2"/>
        <v>42643</v>
      </c>
      <c r="E44" s="72">
        <f t="shared" si="10"/>
        <v>92</v>
      </c>
      <c r="F44" s="74">
        <f>VLOOKUP(D44,'FERC Interest Rate'!$A:$B,2,TRUE)</f>
        <v>3.5000000000000003E-2</v>
      </c>
      <c r="G44" s="75">
        <f t="shared" si="3"/>
        <v>3754719.42066376</v>
      </c>
      <c r="H44" s="75">
        <v>0</v>
      </c>
      <c r="I44" s="99">
        <f t="shared" si="8"/>
        <v>10438.570820289115</v>
      </c>
      <c r="J44" s="76">
        <f t="shared" si="11"/>
        <v>33033.323864856036</v>
      </c>
      <c r="K44" s="116">
        <f t="shared" si="4"/>
        <v>43471.894685145147</v>
      </c>
      <c r="L44" s="76">
        <f t="shared" si="12"/>
        <v>278386</v>
      </c>
      <c r="M44" s="117">
        <f t="shared" si="5"/>
        <v>321857.89468514512</v>
      </c>
      <c r="N44" s="8">
        <f t="shared" si="6"/>
        <v>3787752.7445286158</v>
      </c>
      <c r="O44" s="75">
        <f t="shared" si="1"/>
        <v>3465894.8498434708</v>
      </c>
    </row>
    <row r="45" spans="1:15" x14ac:dyDescent="0.25">
      <c r="A45" s="78" t="s">
        <v>60</v>
      </c>
      <c r="B45" s="72" t="str">
        <f t="shared" si="7"/>
        <v>Q4/2016</v>
      </c>
      <c r="C45" s="73">
        <f t="shared" si="9"/>
        <v>42644</v>
      </c>
      <c r="D45" s="73">
        <f t="shared" si="2"/>
        <v>42735</v>
      </c>
      <c r="E45" s="72">
        <f t="shared" si="10"/>
        <v>92</v>
      </c>
      <c r="F45" s="74">
        <f>VLOOKUP(D45,'FERC Interest Rate'!$A:$B,2,TRUE)</f>
        <v>3.5000000000000003E-2</v>
      </c>
      <c r="G45" s="75">
        <f t="shared" si="3"/>
        <v>3465894.8498434708</v>
      </c>
      <c r="H45" s="75">
        <v>0</v>
      </c>
      <c r="I45" s="99">
        <f t="shared" si="8"/>
        <v>10438.570820289115</v>
      </c>
      <c r="J45" s="76">
        <f t="shared" si="11"/>
        <v>30492.298952174802</v>
      </c>
      <c r="K45" s="116">
        <f t="shared" si="4"/>
        <v>40930.869772463921</v>
      </c>
      <c r="L45" s="76">
        <f t="shared" si="12"/>
        <v>278386</v>
      </c>
      <c r="M45" s="117">
        <f t="shared" si="5"/>
        <v>319316.86977246392</v>
      </c>
      <c r="N45" s="8">
        <f t="shared" si="6"/>
        <v>3496387.1487956457</v>
      </c>
      <c r="O45" s="75">
        <f t="shared" si="1"/>
        <v>3177070.2790231816</v>
      </c>
    </row>
    <row r="46" spans="1:15" x14ac:dyDescent="0.25">
      <c r="A46" s="78" t="s">
        <v>61</v>
      </c>
      <c r="B46" s="72" t="str">
        <f t="shared" si="7"/>
        <v>Q1/2017</v>
      </c>
      <c r="C46" s="73">
        <f t="shared" si="9"/>
        <v>42736</v>
      </c>
      <c r="D46" s="73">
        <f t="shared" si="2"/>
        <v>42825</v>
      </c>
      <c r="E46" s="72">
        <f t="shared" si="10"/>
        <v>90</v>
      </c>
      <c r="F46" s="74">
        <f>VLOOKUP(D46,'FERC Interest Rate'!$A:$B,2,TRUE)</f>
        <v>3.5000000000000003E-2</v>
      </c>
      <c r="G46" s="75">
        <f>O45</f>
        <v>3177070.2790231816</v>
      </c>
      <c r="H46" s="75">
        <v>0</v>
      </c>
      <c r="I46" s="99">
        <f>SUM($H$33:$H$57)/20</f>
        <v>10438.570820289115</v>
      </c>
      <c r="J46" s="76">
        <f t="shared" si="11"/>
        <v>27418.551723076773</v>
      </c>
      <c r="K46" s="116">
        <f t="shared" si="4"/>
        <v>37857.122543365884</v>
      </c>
      <c r="L46" s="76">
        <f t="shared" si="12"/>
        <v>278386</v>
      </c>
      <c r="M46" s="117">
        <f t="shared" si="5"/>
        <v>316243.12254336587</v>
      </c>
      <c r="N46" s="8">
        <f t="shared" si="6"/>
        <v>3204488.8307462586</v>
      </c>
      <c r="O46" s="75">
        <f t="shared" si="1"/>
        <v>2888245.7082028924</v>
      </c>
    </row>
    <row r="47" spans="1:15" x14ac:dyDescent="0.25">
      <c r="A47" s="78" t="s">
        <v>62</v>
      </c>
      <c r="B47" s="72" t="str">
        <f t="shared" si="7"/>
        <v>Q2/2017</v>
      </c>
      <c r="C47" s="73">
        <f t="shared" si="9"/>
        <v>42826</v>
      </c>
      <c r="D47" s="73">
        <f t="shared" si="2"/>
        <v>42916</v>
      </c>
      <c r="E47" s="72">
        <f t="shared" si="10"/>
        <v>91</v>
      </c>
      <c r="F47" s="74">
        <f>VLOOKUP(D47,'FERC Interest Rate'!$A:$B,2,TRUE)</f>
        <v>3.7100000000000001E-2</v>
      </c>
      <c r="G47" s="75">
        <f t="shared" si="3"/>
        <v>2888245.7082028924</v>
      </c>
      <c r="H47" s="75">
        <v>0</v>
      </c>
      <c r="I47" s="99">
        <f t="shared" si="8"/>
        <v>10438.570820289115</v>
      </c>
      <c r="J47" s="76">
        <f t="shared" si="11"/>
        <v>26715.085850585714</v>
      </c>
      <c r="K47" s="116">
        <f t="shared" si="4"/>
        <v>37153.656670874829</v>
      </c>
      <c r="L47" s="76">
        <f t="shared" si="12"/>
        <v>278386</v>
      </c>
      <c r="M47" s="117">
        <f t="shared" si="5"/>
        <v>315539.6566708748</v>
      </c>
      <c r="N47" s="8">
        <f t="shared" si="6"/>
        <v>2914960.7940534782</v>
      </c>
      <c r="O47" s="75">
        <f t="shared" si="1"/>
        <v>2599421.1373826033</v>
      </c>
    </row>
    <row r="48" spans="1:15" x14ac:dyDescent="0.25">
      <c r="A48" s="78" t="s">
        <v>63</v>
      </c>
      <c r="B48" s="72" t="str">
        <f t="shared" si="7"/>
        <v>Q3/2017</v>
      </c>
      <c r="C48" s="73">
        <f t="shared" si="9"/>
        <v>42917</v>
      </c>
      <c r="D48" s="73">
        <f t="shared" si="2"/>
        <v>43008</v>
      </c>
      <c r="E48" s="72">
        <f t="shared" si="10"/>
        <v>92</v>
      </c>
      <c r="F48" s="74">
        <f>VLOOKUP(D48,'FERC Interest Rate'!$A:$B,2,TRUE)</f>
        <v>3.9600000000000003E-2</v>
      </c>
      <c r="G48" s="75">
        <f t="shared" si="3"/>
        <v>2599421.1373826033</v>
      </c>
      <c r="H48" s="75">
        <v>0</v>
      </c>
      <c r="I48" s="99">
        <f t="shared" si="8"/>
        <v>10438.570820289115</v>
      </c>
      <c r="J48" s="76">
        <f t="shared" si="11"/>
        <v>25945.783801951511</v>
      </c>
      <c r="K48" s="116">
        <f t="shared" si="4"/>
        <v>36384.354622240629</v>
      </c>
      <c r="L48" s="76">
        <f t="shared" si="12"/>
        <v>278386</v>
      </c>
      <c r="M48" s="117">
        <f t="shared" si="5"/>
        <v>314770.35462224064</v>
      </c>
      <c r="N48" s="8">
        <f t="shared" si="6"/>
        <v>2625366.9211845547</v>
      </c>
      <c r="O48" s="75">
        <f t="shared" si="1"/>
        <v>2310596.5665623141</v>
      </c>
    </row>
    <row r="49" spans="1:16" x14ac:dyDescent="0.25">
      <c r="A49" s="78" t="s">
        <v>64</v>
      </c>
      <c r="B49" s="72" t="str">
        <f t="shared" si="7"/>
        <v>Q4/2017</v>
      </c>
      <c r="C49" s="73">
        <f t="shared" si="9"/>
        <v>43009</v>
      </c>
      <c r="D49" s="73">
        <f t="shared" si="2"/>
        <v>43100</v>
      </c>
      <c r="E49" s="72">
        <f t="shared" si="10"/>
        <v>92</v>
      </c>
      <c r="F49" s="74">
        <f>VLOOKUP(D49,'FERC Interest Rate'!$A:$B,2,TRUE)</f>
        <v>4.2099999999999999E-2</v>
      </c>
      <c r="G49" s="75">
        <f t="shared" si="3"/>
        <v>2310596.5665623141</v>
      </c>
      <c r="H49" s="75">
        <v>0</v>
      </c>
      <c r="I49" s="99">
        <f t="shared" si="8"/>
        <v>10438.570820289115</v>
      </c>
      <c r="J49" s="76">
        <f t="shared" si="11"/>
        <v>24518.911292079876</v>
      </c>
      <c r="K49" s="116">
        <f t="shared" si="4"/>
        <v>34957.482112368991</v>
      </c>
      <c r="L49" s="76">
        <f t="shared" si="12"/>
        <v>278386</v>
      </c>
      <c r="M49" s="117">
        <f t="shared" si="5"/>
        <v>313343.48211236898</v>
      </c>
      <c r="N49" s="8">
        <f t="shared" si="6"/>
        <v>2335115.4778543939</v>
      </c>
      <c r="O49" s="75">
        <f t="shared" si="1"/>
        <v>2021771.9957420249</v>
      </c>
    </row>
    <row r="50" spans="1:16" x14ac:dyDescent="0.25">
      <c r="A50" s="78" t="s">
        <v>65</v>
      </c>
      <c r="B50" s="72" t="str">
        <f t="shared" si="7"/>
        <v>Q1/2018</v>
      </c>
      <c r="C50" s="73">
        <f t="shared" si="9"/>
        <v>43101</v>
      </c>
      <c r="D50" s="73">
        <f t="shared" si="2"/>
        <v>43190</v>
      </c>
      <c r="E50" s="72">
        <f t="shared" si="10"/>
        <v>90</v>
      </c>
      <c r="F50" s="74">
        <f>VLOOKUP(D50,'FERC Interest Rate'!$A:$B,2,TRUE)</f>
        <v>4.2500000000000003E-2</v>
      </c>
      <c r="G50" s="75">
        <f t="shared" si="3"/>
        <v>2021771.9957420249</v>
      </c>
      <c r="H50" s="75">
        <v>0</v>
      </c>
      <c r="I50" s="99">
        <f t="shared" si="8"/>
        <v>10438.570820289115</v>
      </c>
      <c r="J50" s="76">
        <f t="shared" si="11"/>
        <v>21187.062695104782</v>
      </c>
      <c r="K50" s="116">
        <f t="shared" si="4"/>
        <v>31625.633515393896</v>
      </c>
      <c r="L50" s="76">
        <f t="shared" si="12"/>
        <v>278386</v>
      </c>
      <c r="M50" s="117">
        <f t="shared" si="5"/>
        <v>310011.63351539389</v>
      </c>
      <c r="N50" s="8">
        <f t="shared" si="6"/>
        <v>2042959.0584371297</v>
      </c>
      <c r="O50" s="75">
        <f t="shared" si="1"/>
        <v>1732947.4249217357</v>
      </c>
    </row>
    <row r="51" spans="1:16" x14ac:dyDescent="0.25">
      <c r="A51" s="78" t="s">
        <v>66</v>
      </c>
      <c r="B51" s="72" t="str">
        <f t="shared" si="7"/>
        <v>Q2/2018</v>
      </c>
      <c r="C51" s="73">
        <f t="shared" si="9"/>
        <v>43191</v>
      </c>
      <c r="D51" s="73">
        <f t="shared" si="2"/>
        <v>43281</v>
      </c>
      <c r="E51" s="72">
        <f t="shared" si="10"/>
        <v>91</v>
      </c>
      <c r="F51" s="74">
        <f>VLOOKUP(D51,'FERC Interest Rate'!$A:$B,2,TRUE)</f>
        <v>4.4699999999999997E-2</v>
      </c>
      <c r="G51" s="75">
        <f t="shared" si="3"/>
        <v>1732947.4249217357</v>
      </c>
      <c r="H51" s="75">
        <v>0</v>
      </c>
      <c r="I51" s="99">
        <f t="shared" si="8"/>
        <v>10438.570820289115</v>
      </c>
      <c r="J51" s="76">
        <f t="shared" si="11"/>
        <v>19312.630795490804</v>
      </c>
      <c r="K51" s="116">
        <f t="shared" si="4"/>
        <v>29751.201615779919</v>
      </c>
      <c r="L51" s="76">
        <f t="shared" si="12"/>
        <v>278386</v>
      </c>
      <c r="M51" s="117">
        <f t="shared" si="5"/>
        <v>308137.20161577989</v>
      </c>
      <c r="N51" s="8">
        <f t="shared" si="6"/>
        <v>1752260.0557172264</v>
      </c>
      <c r="O51" s="75">
        <f t="shared" si="1"/>
        <v>1444122.8541014465</v>
      </c>
    </row>
    <row r="52" spans="1:16" x14ac:dyDescent="0.25">
      <c r="A52" s="78" t="s">
        <v>67</v>
      </c>
      <c r="B52" s="72" t="str">
        <f t="shared" si="7"/>
        <v>Q3/2018</v>
      </c>
      <c r="C52" s="73">
        <f t="shared" si="9"/>
        <v>43282</v>
      </c>
      <c r="D52" s="73">
        <f t="shared" si="2"/>
        <v>43373</v>
      </c>
      <c r="E52" s="72">
        <f t="shared" si="10"/>
        <v>92</v>
      </c>
      <c r="F52" s="74">
        <f>VLOOKUP(D52,'FERC Interest Rate'!$A:$B,2,TRUE)</f>
        <v>4.6899999999999997E-2</v>
      </c>
      <c r="G52" s="75">
        <f t="shared" si="3"/>
        <v>1444122.8541014465</v>
      </c>
      <c r="H52" s="75">
        <v>0</v>
      </c>
      <c r="I52" s="99">
        <f t="shared" si="8"/>
        <v>10438.570820289115</v>
      </c>
      <c r="J52" s="76">
        <f t="shared" si="11"/>
        <v>17071.510385964168</v>
      </c>
      <c r="K52" s="116">
        <f t="shared" si="4"/>
        <v>27510.081206253282</v>
      </c>
      <c r="L52" s="76">
        <f t="shared" si="12"/>
        <v>278386</v>
      </c>
      <c r="M52" s="117">
        <f t="shared" si="5"/>
        <v>305896.08120625326</v>
      </c>
      <c r="N52" s="8">
        <f t="shared" si="6"/>
        <v>1461194.3644874105</v>
      </c>
      <c r="O52" s="75">
        <f t="shared" si="1"/>
        <v>1155298.2832811573</v>
      </c>
    </row>
    <row r="53" spans="1:16" x14ac:dyDescent="0.25">
      <c r="A53" s="78" t="s">
        <v>68</v>
      </c>
      <c r="B53" s="72" t="str">
        <f t="shared" si="7"/>
        <v>Q4/2018</v>
      </c>
      <c r="C53" s="73">
        <f>D52+1</f>
        <v>43374</v>
      </c>
      <c r="D53" s="73">
        <f t="shared" si="2"/>
        <v>43465</v>
      </c>
      <c r="E53" s="72">
        <f>D53-C53+1</f>
        <v>92</v>
      </c>
      <c r="F53" s="74">
        <f>VLOOKUP(D53,'FERC Interest Rate'!$A:$B,2,TRUE)</f>
        <v>4.9599999999999998E-2</v>
      </c>
      <c r="G53" s="75">
        <f t="shared" si="3"/>
        <v>1155298.2832811573</v>
      </c>
      <c r="H53" s="75">
        <v>0</v>
      </c>
      <c r="I53" s="99">
        <f t="shared" si="8"/>
        <v>10438.570820289115</v>
      </c>
      <c r="J53" s="76">
        <f t="shared" si="11"/>
        <v>14443.444181557745</v>
      </c>
      <c r="K53" s="116">
        <f t="shared" si="4"/>
        <v>24882.015001846859</v>
      </c>
      <c r="L53" s="76">
        <f t="shared" si="12"/>
        <v>278386</v>
      </c>
      <c r="M53" s="117">
        <f t="shared" si="5"/>
        <v>303268.01500184688</v>
      </c>
      <c r="N53" s="8">
        <f t="shared" si="6"/>
        <v>1169741.727462715</v>
      </c>
      <c r="O53" s="75">
        <f t="shared" si="1"/>
        <v>866473.71246086818</v>
      </c>
    </row>
    <row r="54" spans="1:16" x14ac:dyDescent="0.25">
      <c r="A54" s="78" t="s">
        <v>69</v>
      </c>
      <c r="B54" s="72" t="str">
        <f t="shared" si="7"/>
        <v>Q1/2019</v>
      </c>
      <c r="C54" s="73">
        <f>D53+1</f>
        <v>43466</v>
      </c>
      <c r="D54" s="73">
        <f t="shared" si="2"/>
        <v>43555</v>
      </c>
      <c r="E54" s="72">
        <f>D54-C54+1</f>
        <v>90</v>
      </c>
      <c r="F54" s="74">
        <f>VLOOKUP(D54,'FERC Interest Rate'!$A:$B,2,TRUE)</f>
        <v>5.1799999999999999E-2</v>
      </c>
      <c r="G54" s="75">
        <f t="shared" si="3"/>
        <v>866473.71246086818</v>
      </c>
      <c r="H54" s="75">
        <v>0</v>
      </c>
      <c r="I54" s="99">
        <f t="shared" si="8"/>
        <v>10438.570820289115</v>
      </c>
      <c r="J54" s="76">
        <f t="shared" si="11"/>
        <v>11067.124513678265</v>
      </c>
      <c r="K54" s="116">
        <f t="shared" si="4"/>
        <v>21505.695333967378</v>
      </c>
      <c r="L54" s="76">
        <f t="shared" si="12"/>
        <v>278386</v>
      </c>
      <c r="M54" s="117">
        <f t="shared" si="5"/>
        <v>299891.69533396739</v>
      </c>
      <c r="N54" s="8">
        <f t="shared" si="6"/>
        <v>877540.83697454643</v>
      </c>
      <c r="O54" s="75">
        <f t="shared" si="1"/>
        <v>577649.1416405791</v>
      </c>
    </row>
    <row r="55" spans="1:16" x14ac:dyDescent="0.25">
      <c r="A55" s="78" t="s">
        <v>70</v>
      </c>
      <c r="B55" s="72" t="str">
        <f t="shared" si="7"/>
        <v>Q2/2019</v>
      </c>
      <c r="C55" s="73">
        <f>D54+1</f>
        <v>43556</v>
      </c>
      <c r="D55" s="73">
        <f t="shared" si="2"/>
        <v>43646</v>
      </c>
      <c r="E55" s="72">
        <f>D55-C55+1</f>
        <v>91</v>
      </c>
      <c r="F55" s="74">
        <f>VLOOKUP(D55,'FERC Interest Rate'!$A:$B,2,TRUE)</f>
        <v>5.45E-2</v>
      </c>
      <c r="G55" s="75">
        <f t="shared" si="3"/>
        <v>577649.1416405791</v>
      </c>
      <c r="H55" s="75">
        <v>0</v>
      </c>
      <c r="I55" s="99">
        <f t="shared" si="8"/>
        <v>10438.570820289115</v>
      </c>
      <c r="J55" s="76">
        <f t="shared" si="11"/>
        <v>7848.9066245656213</v>
      </c>
      <c r="K55" s="116">
        <f t="shared" si="4"/>
        <v>18287.477444854736</v>
      </c>
      <c r="L55" s="76">
        <f t="shared" si="12"/>
        <v>278386</v>
      </c>
      <c r="M55" s="117">
        <f t="shared" si="5"/>
        <v>296673.47744485474</v>
      </c>
      <c r="N55" s="8">
        <f t="shared" si="6"/>
        <v>585498.04826514469</v>
      </c>
      <c r="O55" s="75">
        <f t="shared" si="1"/>
        <v>288824.57082028996</v>
      </c>
    </row>
    <row r="56" spans="1:16" x14ac:dyDescent="0.25">
      <c r="A56" s="78" t="s">
        <v>71</v>
      </c>
      <c r="B56" s="72" t="str">
        <f t="shared" si="7"/>
        <v>Q3/2019</v>
      </c>
      <c r="C56" s="73">
        <f>D55+1</f>
        <v>43647</v>
      </c>
      <c r="D56" s="73">
        <f t="shared" si="2"/>
        <v>43738</v>
      </c>
      <c r="E56" s="72">
        <f>D56-C56+1</f>
        <v>92</v>
      </c>
      <c r="F56" s="74">
        <f>VLOOKUP(D56,'FERC Interest Rate'!$A:$B,2,TRUE)</f>
        <v>5.5E-2</v>
      </c>
      <c r="G56" s="75">
        <f t="shared" si="3"/>
        <v>288824.57082028996</v>
      </c>
      <c r="H56" s="75">
        <v>0</v>
      </c>
      <c r="I56" s="99">
        <f t="shared" si="8"/>
        <v>10438.570820289115</v>
      </c>
      <c r="J56" s="76">
        <f t="shared" si="11"/>
        <v>4003.97898178265</v>
      </c>
      <c r="K56" s="116">
        <f t="shared" si="4"/>
        <v>14442.549802071764</v>
      </c>
      <c r="L56" s="76">
        <f t="shared" si="12"/>
        <v>278386</v>
      </c>
      <c r="M56" s="117">
        <f t="shared" si="5"/>
        <v>292828.54980207176</v>
      </c>
      <c r="N56" s="8">
        <f t="shared" si="6"/>
        <v>292828.54980207258</v>
      </c>
      <c r="O56" s="75">
        <f t="shared" si="1"/>
        <v>8.4037310443818569E-10</v>
      </c>
    </row>
    <row r="57" spans="1:16" x14ac:dyDescent="0.25">
      <c r="B57" s="11"/>
      <c r="C57" s="111"/>
      <c r="D57" s="111"/>
      <c r="E57" s="10"/>
      <c r="F57" s="11"/>
      <c r="G57" s="76"/>
      <c r="H57" s="12"/>
      <c r="I57" s="101"/>
      <c r="J57" s="76"/>
      <c r="K57" s="103"/>
      <c r="L57" s="58"/>
      <c r="M57" s="118"/>
      <c r="O57" s="76"/>
    </row>
    <row r="58" spans="1:16" ht="13.5" thickBot="1" x14ac:dyDescent="0.35">
      <c r="A58" s="142"/>
      <c r="B58" s="143"/>
      <c r="C58" s="146"/>
      <c r="D58" s="146"/>
      <c r="E58" s="145"/>
      <c r="F58" s="143"/>
      <c r="G58" s="127">
        <f>+SUM(G33:G57)</f>
        <v>83086779.10465695</v>
      </c>
      <c r="H58" s="127">
        <f t="shared" ref="H58:O58" si="13">+SUM(H33:H57)</f>
        <v>208771.41640578228</v>
      </c>
      <c r="I58" s="128">
        <f t="shared" si="13"/>
        <v>208771.41640578225</v>
      </c>
      <c r="J58" s="127">
        <f t="shared" si="13"/>
        <v>497031.24632038875</v>
      </c>
      <c r="K58" s="127">
        <f t="shared" si="13"/>
        <v>705802.66272617097</v>
      </c>
      <c r="L58" s="127">
        <f t="shared" si="13"/>
        <v>5567720</v>
      </c>
      <c r="M58" s="129">
        <f t="shared" si="13"/>
        <v>6273522.6627261695</v>
      </c>
      <c r="N58" s="127">
        <f t="shared" si="13"/>
        <v>83792581.767383128</v>
      </c>
      <c r="O58" s="127">
        <f t="shared" si="13"/>
        <v>77519059.10465695</v>
      </c>
    </row>
    <row r="59" spans="1:16" ht="13" thickTop="1" x14ac:dyDescent="0.25">
      <c r="B59" s="103"/>
      <c r="C59" s="103"/>
      <c r="D59" s="103"/>
      <c r="E59" s="103"/>
      <c r="F59" s="103"/>
      <c r="G59" s="103"/>
      <c r="H59" s="103"/>
      <c r="I59" s="102"/>
      <c r="J59" s="103"/>
      <c r="K59" s="103"/>
      <c r="L59" s="103"/>
      <c r="M59" s="118"/>
      <c r="O59" s="103"/>
    </row>
    <row r="60" spans="1:16" ht="39" x14ac:dyDescent="0.3">
      <c r="A60" s="77" t="s">
        <v>51</v>
      </c>
      <c r="B60" s="77" t="s">
        <v>3</v>
      </c>
      <c r="C60" s="77" t="s">
        <v>4</v>
      </c>
      <c r="D60" s="77" t="s">
        <v>5</v>
      </c>
      <c r="E60" s="77" t="s">
        <v>6</v>
      </c>
      <c r="F60" s="77" t="s">
        <v>7</v>
      </c>
      <c r="G60" s="77" t="s">
        <v>92</v>
      </c>
      <c r="H60" s="77" t="s">
        <v>93</v>
      </c>
      <c r="I60" s="94" t="s">
        <v>94</v>
      </c>
      <c r="J60" s="95" t="s">
        <v>95</v>
      </c>
      <c r="K60" s="95" t="s">
        <v>96</v>
      </c>
      <c r="L60" s="95" t="s">
        <v>97</v>
      </c>
      <c r="M60" s="96" t="s">
        <v>98</v>
      </c>
      <c r="N60" s="77" t="s">
        <v>99</v>
      </c>
      <c r="O60" s="77" t="s">
        <v>100</v>
      </c>
      <c r="P60" s="277"/>
    </row>
    <row r="61" spans="1:16" ht="13" x14ac:dyDescent="0.3">
      <c r="B61" s="72"/>
      <c r="C61" s="300">
        <f>$J$27</f>
        <v>41590</v>
      </c>
      <c r="D61" s="73">
        <f>DATE(YEAR(C61),IF(MONTH(C61)&lt;=3,3,IF(MONTH(C61)&lt;=6,6,IF(MONTH(C61)&lt;=9,9,12))),IF(OR(MONTH(C61)&lt;=3,MONTH(C61)&gt;=10),31,30))</f>
        <v>41639</v>
      </c>
      <c r="E61" s="72">
        <f>D61-C61+1</f>
        <v>50</v>
      </c>
      <c r="F61" s="74">
        <f>VLOOKUP(D61,'FERC Interest Rate'!$A:$B,2,TRUE)</f>
        <v>3.2500000000000001E-2</v>
      </c>
      <c r="G61" s="75">
        <f>$C$27</f>
        <v>2469500</v>
      </c>
      <c r="H61" s="75">
        <f>G61*F61*(E61/(DATE(YEAR(D61),12,31)-DATE(YEAR(D61),1,1)+1))</f>
        <v>10994.349315068492</v>
      </c>
      <c r="I61" s="99">
        <v>0</v>
      </c>
      <c r="J61" s="76">
        <v>0</v>
      </c>
      <c r="K61" s="116">
        <f t="shared" ref="K61:K84" si="14">+SUM(I61:J61)</f>
        <v>0</v>
      </c>
      <c r="L61" s="76">
        <v>0</v>
      </c>
      <c r="M61" s="117">
        <f t="shared" ref="M61:M84" si="15">+SUM(K61:L61)</f>
        <v>0</v>
      </c>
      <c r="N61" s="8">
        <f t="shared" ref="N61:N84" si="16">+G61+H61+J61</f>
        <v>2480494.3493150687</v>
      </c>
      <c r="O61" s="75">
        <f t="shared" ref="O61:O84" si="17">G61+H61-L61-I61</f>
        <v>2480494.3493150687</v>
      </c>
    </row>
    <row r="62" spans="1:16" x14ac:dyDescent="0.25">
      <c r="B62" s="72"/>
      <c r="C62" s="73">
        <f>D61+1</f>
        <v>41640</v>
      </c>
      <c r="D62" s="73">
        <f>EOMONTH(D61,3)</f>
        <v>41729</v>
      </c>
      <c r="E62" s="72">
        <f t="shared" ref="E62:E84" si="18">D62-C62+1</f>
        <v>90</v>
      </c>
      <c r="F62" s="74">
        <f>VLOOKUP(D62,'FERC Interest Rate'!$A:$B,2,TRUE)</f>
        <v>3.2500000000000001E-2</v>
      </c>
      <c r="G62" s="75">
        <f t="shared" ref="G62:G84" si="19">O61</f>
        <v>2480494.3493150687</v>
      </c>
      <c r="H62" s="75">
        <f>G62*F62*(E62/(DATE(YEAR(D62),12,31)-DATE(YEAR(D62),1,1)+1))</f>
        <v>19877.9341691687</v>
      </c>
      <c r="I62" s="99">
        <v>0</v>
      </c>
      <c r="J62" s="76">
        <v>0</v>
      </c>
      <c r="K62" s="116">
        <f t="shared" si="14"/>
        <v>0</v>
      </c>
      <c r="L62" s="76">
        <v>0</v>
      </c>
      <c r="M62" s="117">
        <f t="shared" si="15"/>
        <v>0</v>
      </c>
      <c r="N62" s="8">
        <f t="shared" si="16"/>
        <v>2500372.2834842373</v>
      </c>
      <c r="O62" s="75">
        <f t="shared" si="17"/>
        <v>2500372.2834842373</v>
      </c>
    </row>
    <row r="63" spans="1:16" x14ac:dyDescent="0.25">
      <c r="B63" s="72"/>
      <c r="C63" s="73">
        <f t="shared" ref="C63:C84" si="20">D62+1</f>
        <v>41730</v>
      </c>
      <c r="D63" s="73">
        <f t="shared" ref="D63:D84" si="21">EOMONTH(D62,3)</f>
        <v>41820</v>
      </c>
      <c r="E63" s="72">
        <f t="shared" si="18"/>
        <v>91</v>
      </c>
      <c r="F63" s="74">
        <f>VLOOKUP(D63,'FERC Interest Rate'!$A:$B,2,TRUE)</f>
        <v>3.2500000000000001E-2</v>
      </c>
      <c r="G63" s="75">
        <f t="shared" si="19"/>
        <v>2500372.2834842373</v>
      </c>
      <c r="H63" s="75">
        <f>G63*F63*(E63/(DATE(YEAR(D63),12,31)-DATE(YEAR(D63),1,1)+1))</f>
        <v>20259.865831245566</v>
      </c>
      <c r="I63" s="99">
        <v>0</v>
      </c>
      <c r="J63" s="76">
        <v>0</v>
      </c>
      <c r="K63" s="116">
        <f t="shared" si="14"/>
        <v>0</v>
      </c>
      <c r="L63" s="76">
        <v>0</v>
      </c>
      <c r="M63" s="117">
        <f t="shared" si="15"/>
        <v>0</v>
      </c>
      <c r="N63" s="8">
        <f t="shared" si="16"/>
        <v>2520632.1493154829</v>
      </c>
      <c r="O63" s="75">
        <f t="shared" si="17"/>
        <v>2520632.1493154829</v>
      </c>
    </row>
    <row r="64" spans="1:16" x14ac:dyDescent="0.25">
      <c r="B64" s="72"/>
      <c r="C64" s="73">
        <f t="shared" si="20"/>
        <v>41821</v>
      </c>
      <c r="D64" s="73">
        <f t="shared" si="21"/>
        <v>41912</v>
      </c>
      <c r="E64" s="72">
        <f t="shared" si="18"/>
        <v>92</v>
      </c>
      <c r="F64" s="74">
        <f>VLOOKUP(D64,'FERC Interest Rate'!$A:$B,2,TRUE)</f>
        <v>3.2500000000000001E-2</v>
      </c>
      <c r="G64" s="75">
        <f t="shared" si="19"/>
        <v>2520632.1493154829</v>
      </c>
      <c r="H64" s="75">
        <f>G64*F64*(E64/(DATE(YEAR(D64),12,31)-DATE(YEAR(D64),1,1)+1))</f>
        <v>20648.466099872039</v>
      </c>
      <c r="I64" s="99">
        <v>0</v>
      </c>
      <c r="J64" s="76">
        <v>0</v>
      </c>
      <c r="K64" s="116">
        <f t="shared" ref="K64:K70" si="22">+SUM(I64:J64)</f>
        <v>0</v>
      </c>
      <c r="L64" s="76">
        <v>0</v>
      </c>
      <c r="M64" s="117">
        <f t="shared" si="15"/>
        <v>0</v>
      </c>
      <c r="N64" s="8">
        <f t="shared" si="16"/>
        <v>2541280.6154153552</v>
      </c>
      <c r="O64" s="75">
        <f t="shared" si="17"/>
        <v>2541280.6154153552</v>
      </c>
    </row>
    <row r="65" spans="1:15" x14ac:dyDescent="0.25">
      <c r="A65" s="78" t="s">
        <v>52</v>
      </c>
      <c r="B65" s="72" t="str">
        <f t="shared" ref="B65:B84" si="23">+IF(MONTH(C65)&lt;4,"Q1",IF(MONTH(C65)&lt;7,"Q2",IF(MONTH(C65)&lt;10,"Q3","Q4")))&amp;"/"&amp;YEAR(C65)</f>
        <v>Q4/2014</v>
      </c>
      <c r="C65" s="73">
        <f t="shared" si="20"/>
        <v>41913</v>
      </c>
      <c r="D65" s="73">
        <f t="shared" si="21"/>
        <v>42004</v>
      </c>
      <c r="E65" s="72">
        <f t="shared" si="18"/>
        <v>92</v>
      </c>
      <c r="F65" s="74">
        <f>VLOOKUP(D65,'FERC Interest Rate'!$A:$B,2,TRUE)</f>
        <v>3.2500000000000001E-2</v>
      </c>
      <c r="G65" s="75">
        <f t="shared" si="19"/>
        <v>2541280.6154153552</v>
      </c>
      <c r="H65" s="75">
        <f>G65*F65*(E65/(DATE(YEAR(D65),12,31)-DATE(YEAR(D65),1,1)+1))</f>
        <v>20817.613808470993</v>
      </c>
      <c r="I65" s="99">
        <v>0</v>
      </c>
      <c r="J65" s="76">
        <v>0</v>
      </c>
      <c r="K65" s="116">
        <f t="shared" si="22"/>
        <v>0</v>
      </c>
      <c r="L65" s="76">
        <v>0</v>
      </c>
      <c r="M65" s="117">
        <f t="shared" si="15"/>
        <v>0</v>
      </c>
      <c r="N65" s="8">
        <f t="shared" si="16"/>
        <v>2562098.229223826</v>
      </c>
      <c r="O65" s="75">
        <f t="shared" si="17"/>
        <v>2562098.229223826</v>
      </c>
    </row>
    <row r="66" spans="1:15" x14ac:dyDescent="0.25">
      <c r="A66" s="78" t="s">
        <v>53</v>
      </c>
      <c r="B66" s="72" t="str">
        <f t="shared" si="23"/>
        <v>Q1/2015</v>
      </c>
      <c r="C66" s="73">
        <f t="shared" si="20"/>
        <v>42005</v>
      </c>
      <c r="D66" s="73">
        <f t="shared" si="21"/>
        <v>42094</v>
      </c>
      <c r="E66" s="72">
        <f t="shared" si="18"/>
        <v>90</v>
      </c>
      <c r="F66" s="74">
        <f>VLOOKUP(D66,'FERC Interest Rate'!$A:$B,2,TRUE)</f>
        <v>3.2500000000000001E-2</v>
      </c>
      <c r="G66" s="75">
        <f t="shared" si="19"/>
        <v>2562098.229223826</v>
      </c>
      <c r="H66" s="75">
        <v>0</v>
      </c>
      <c r="I66" s="99">
        <v>0</v>
      </c>
      <c r="J66" s="76">
        <f t="shared" ref="J66:J74" si="24">G66*F66*(E66/(DATE(YEAR(D66),12,31)-DATE(YEAR(D66),1,1)+1))</f>
        <v>20531.883069807373</v>
      </c>
      <c r="K66" s="116">
        <f t="shared" si="22"/>
        <v>20531.883069807373</v>
      </c>
      <c r="L66" s="76">
        <v>0</v>
      </c>
      <c r="M66" s="117">
        <f t="shared" si="15"/>
        <v>20531.883069807373</v>
      </c>
      <c r="N66" s="8">
        <f t="shared" si="16"/>
        <v>2582630.1122936332</v>
      </c>
      <c r="O66" s="75">
        <f t="shared" si="17"/>
        <v>2562098.229223826</v>
      </c>
    </row>
    <row r="67" spans="1:15" x14ac:dyDescent="0.25">
      <c r="A67" s="78" t="s">
        <v>54</v>
      </c>
      <c r="B67" s="72" t="str">
        <f t="shared" si="23"/>
        <v>Q2/2015</v>
      </c>
      <c r="C67" s="73">
        <f t="shared" si="20"/>
        <v>42095</v>
      </c>
      <c r="D67" s="73">
        <f t="shared" si="21"/>
        <v>42185</v>
      </c>
      <c r="E67" s="72">
        <f t="shared" si="18"/>
        <v>91</v>
      </c>
      <c r="F67" s="74">
        <f>VLOOKUP(D67,'FERC Interest Rate'!$A:$B,2,TRUE)</f>
        <v>3.2500000000000001E-2</v>
      </c>
      <c r="G67" s="75">
        <f t="shared" si="19"/>
        <v>2562098.229223826</v>
      </c>
      <c r="H67" s="75">
        <v>0</v>
      </c>
      <c r="I67" s="99">
        <v>0</v>
      </c>
      <c r="J67" s="76">
        <f t="shared" si="24"/>
        <v>20760.015103916343</v>
      </c>
      <c r="K67" s="116">
        <f t="shared" si="22"/>
        <v>20760.015103916343</v>
      </c>
      <c r="L67" s="76">
        <v>0</v>
      </c>
      <c r="M67" s="117">
        <f t="shared" si="15"/>
        <v>20760.015103916343</v>
      </c>
      <c r="N67" s="8">
        <f t="shared" si="16"/>
        <v>2582858.2443277421</v>
      </c>
      <c r="O67" s="75">
        <f t="shared" si="17"/>
        <v>2562098.229223826</v>
      </c>
    </row>
    <row r="68" spans="1:15" x14ac:dyDescent="0.25">
      <c r="A68" s="78" t="s">
        <v>55</v>
      </c>
      <c r="B68" s="72" t="str">
        <f t="shared" si="23"/>
        <v>Q3/2015</v>
      </c>
      <c r="C68" s="73">
        <f t="shared" si="20"/>
        <v>42186</v>
      </c>
      <c r="D68" s="73">
        <f t="shared" si="21"/>
        <v>42277</v>
      </c>
      <c r="E68" s="72">
        <f t="shared" si="18"/>
        <v>92</v>
      </c>
      <c r="F68" s="74">
        <f>VLOOKUP(D68,'FERC Interest Rate'!$A:$B,2,TRUE)</f>
        <v>3.2500000000000001E-2</v>
      </c>
      <c r="G68" s="75">
        <f t="shared" si="19"/>
        <v>2562098.229223826</v>
      </c>
      <c r="H68" s="75">
        <v>0</v>
      </c>
      <c r="I68" s="99">
        <v>0</v>
      </c>
      <c r="J68" s="76">
        <f t="shared" si="24"/>
        <v>20988.147138025317</v>
      </c>
      <c r="K68" s="116">
        <f t="shared" si="22"/>
        <v>20988.147138025317</v>
      </c>
      <c r="L68" s="76">
        <v>0</v>
      </c>
      <c r="M68" s="117">
        <f t="shared" si="15"/>
        <v>20988.147138025317</v>
      </c>
      <c r="N68" s="8">
        <f t="shared" si="16"/>
        <v>2583086.3763618511</v>
      </c>
      <c r="O68" s="75">
        <f t="shared" si="17"/>
        <v>2562098.229223826</v>
      </c>
    </row>
    <row r="69" spans="1:15" x14ac:dyDescent="0.25">
      <c r="A69" s="78" t="s">
        <v>56</v>
      </c>
      <c r="B69" s="72" t="str">
        <f t="shared" si="23"/>
        <v>Q4/2015</v>
      </c>
      <c r="C69" s="73">
        <f t="shared" si="20"/>
        <v>42278</v>
      </c>
      <c r="D69" s="73">
        <f t="shared" si="21"/>
        <v>42369</v>
      </c>
      <c r="E69" s="72">
        <f t="shared" si="18"/>
        <v>92</v>
      </c>
      <c r="F69" s="74">
        <f>VLOOKUP(D69,'FERC Interest Rate'!$A:$B,2,TRUE)</f>
        <v>3.2500000000000001E-2</v>
      </c>
      <c r="G69" s="75">
        <f t="shared" si="19"/>
        <v>2562098.229223826</v>
      </c>
      <c r="H69" s="75">
        <v>0</v>
      </c>
      <c r="I69" s="99">
        <v>0</v>
      </c>
      <c r="J69" s="76">
        <f t="shared" si="24"/>
        <v>20988.147138025317</v>
      </c>
      <c r="K69" s="116">
        <f t="shared" si="22"/>
        <v>20988.147138025317</v>
      </c>
      <c r="L69" s="76">
        <v>0</v>
      </c>
      <c r="M69" s="117">
        <f t="shared" si="15"/>
        <v>20988.147138025317</v>
      </c>
      <c r="N69" s="8">
        <f t="shared" si="16"/>
        <v>2583086.3763618511</v>
      </c>
      <c r="O69" s="75">
        <f t="shared" si="17"/>
        <v>2562098.229223826</v>
      </c>
    </row>
    <row r="70" spans="1:15" x14ac:dyDescent="0.25">
      <c r="A70" s="78" t="s">
        <v>57</v>
      </c>
      <c r="B70" s="72" t="str">
        <f t="shared" si="23"/>
        <v>Q1/2016</v>
      </c>
      <c r="C70" s="73">
        <f t="shared" si="20"/>
        <v>42370</v>
      </c>
      <c r="D70" s="73">
        <f t="shared" si="21"/>
        <v>42460</v>
      </c>
      <c r="E70" s="72">
        <f t="shared" si="18"/>
        <v>91</v>
      </c>
      <c r="F70" s="74">
        <f>VLOOKUP(D70,'FERC Interest Rate'!$A:$B,2,TRUE)</f>
        <v>3.2500000000000001E-2</v>
      </c>
      <c r="G70" s="75">
        <f t="shared" si="19"/>
        <v>2562098.229223826</v>
      </c>
      <c r="H70" s="75">
        <v>0</v>
      </c>
      <c r="I70" s="99">
        <v>0</v>
      </c>
      <c r="J70" s="76">
        <f t="shared" si="24"/>
        <v>20703.293751173402</v>
      </c>
      <c r="K70" s="116">
        <f t="shared" si="22"/>
        <v>20703.293751173402</v>
      </c>
      <c r="L70" s="76">
        <v>0</v>
      </c>
      <c r="M70" s="117">
        <f t="shared" si="15"/>
        <v>20703.293751173402</v>
      </c>
      <c r="N70" s="8">
        <f t="shared" si="16"/>
        <v>2582801.5229749992</v>
      </c>
      <c r="O70" s="75">
        <f t="shared" si="17"/>
        <v>2562098.229223826</v>
      </c>
    </row>
    <row r="71" spans="1:15" x14ac:dyDescent="0.25">
      <c r="A71" s="78" t="s">
        <v>58</v>
      </c>
      <c r="B71" s="72" t="str">
        <f t="shared" si="23"/>
        <v>Q2/2016</v>
      </c>
      <c r="C71" s="73">
        <f t="shared" si="20"/>
        <v>42461</v>
      </c>
      <c r="D71" s="73">
        <f t="shared" si="21"/>
        <v>42551</v>
      </c>
      <c r="E71" s="72">
        <f t="shared" si="18"/>
        <v>91</v>
      </c>
      <c r="F71" s="74">
        <f>VLOOKUP(D71,'FERC Interest Rate'!$A:$B,2,TRUE)</f>
        <v>3.4599999999999999E-2</v>
      </c>
      <c r="G71" s="75">
        <f t="shared" si="19"/>
        <v>2562098.229223826</v>
      </c>
      <c r="H71" s="75">
        <v>0</v>
      </c>
      <c r="I71" s="99">
        <v>0</v>
      </c>
      <c r="J71" s="76">
        <f t="shared" si="24"/>
        <v>22041.04503971076</v>
      </c>
      <c r="K71" s="116">
        <f t="shared" si="14"/>
        <v>22041.04503971076</v>
      </c>
      <c r="L71" s="76">
        <v>0</v>
      </c>
      <c r="M71" s="117">
        <f t="shared" si="15"/>
        <v>22041.04503971076</v>
      </c>
      <c r="N71" s="8">
        <f t="shared" si="16"/>
        <v>2584139.2742635366</v>
      </c>
      <c r="O71" s="75">
        <f t="shared" si="17"/>
        <v>2562098.229223826</v>
      </c>
    </row>
    <row r="72" spans="1:15" x14ac:dyDescent="0.25">
      <c r="A72" s="78" t="s">
        <v>59</v>
      </c>
      <c r="B72" s="72" t="str">
        <f t="shared" si="23"/>
        <v>Q3/2016</v>
      </c>
      <c r="C72" s="73">
        <f t="shared" si="20"/>
        <v>42552</v>
      </c>
      <c r="D72" s="73">
        <f t="shared" si="21"/>
        <v>42643</v>
      </c>
      <c r="E72" s="72">
        <f t="shared" si="18"/>
        <v>92</v>
      </c>
      <c r="F72" s="74">
        <f>VLOOKUP(D72,'FERC Interest Rate'!$A:$B,2,TRUE)</f>
        <v>3.5000000000000003E-2</v>
      </c>
      <c r="G72" s="75">
        <f t="shared" si="19"/>
        <v>2562098.229223826</v>
      </c>
      <c r="H72" s="75">
        <v>0</v>
      </c>
      <c r="I72" s="99">
        <v>0</v>
      </c>
      <c r="J72" s="76">
        <f t="shared" si="24"/>
        <v>22540.864202460984</v>
      </c>
      <c r="K72" s="116">
        <f t="shared" si="14"/>
        <v>22540.864202460984</v>
      </c>
      <c r="L72" s="76">
        <v>0</v>
      </c>
      <c r="M72" s="117">
        <f t="shared" si="15"/>
        <v>22540.864202460984</v>
      </c>
      <c r="N72" s="8">
        <f t="shared" si="16"/>
        <v>2584639.0934262872</v>
      </c>
      <c r="O72" s="75">
        <f t="shared" si="17"/>
        <v>2562098.229223826</v>
      </c>
    </row>
    <row r="73" spans="1:15" x14ac:dyDescent="0.25">
      <c r="A73" s="78" t="s">
        <v>60</v>
      </c>
      <c r="B73" s="72" t="str">
        <f t="shared" si="23"/>
        <v>Q4/2016</v>
      </c>
      <c r="C73" s="73">
        <f t="shared" si="20"/>
        <v>42644</v>
      </c>
      <c r="D73" s="73">
        <f t="shared" si="21"/>
        <v>42735</v>
      </c>
      <c r="E73" s="72">
        <f t="shared" si="18"/>
        <v>92</v>
      </c>
      <c r="F73" s="74">
        <f>VLOOKUP(D73,'FERC Interest Rate'!$A:$B,2,TRUE)</f>
        <v>3.5000000000000003E-2</v>
      </c>
      <c r="G73" s="75">
        <f t="shared" si="19"/>
        <v>2562098.229223826</v>
      </c>
      <c r="H73" s="75">
        <v>0</v>
      </c>
      <c r="I73" s="99">
        <v>0</v>
      </c>
      <c r="J73" s="76">
        <f t="shared" si="24"/>
        <v>22540.864202460984</v>
      </c>
      <c r="K73" s="116">
        <f t="shared" si="14"/>
        <v>22540.864202460984</v>
      </c>
      <c r="L73" s="76">
        <v>0</v>
      </c>
      <c r="M73" s="117">
        <f t="shared" si="15"/>
        <v>22540.864202460984</v>
      </c>
      <c r="N73" s="8">
        <f t="shared" si="16"/>
        <v>2584639.0934262872</v>
      </c>
      <c r="O73" s="75">
        <f t="shared" si="17"/>
        <v>2562098.229223826</v>
      </c>
    </row>
    <row r="74" spans="1:15" x14ac:dyDescent="0.25">
      <c r="A74" s="78" t="s">
        <v>61</v>
      </c>
      <c r="B74" s="72" t="str">
        <f t="shared" si="23"/>
        <v>Q1/2017</v>
      </c>
      <c r="C74" s="73">
        <f t="shared" si="20"/>
        <v>42736</v>
      </c>
      <c r="D74" s="73">
        <f t="shared" si="21"/>
        <v>42825</v>
      </c>
      <c r="E74" s="72">
        <f t="shared" si="18"/>
        <v>90</v>
      </c>
      <c r="F74" s="74">
        <f>VLOOKUP(D74,'FERC Interest Rate'!$A:$B,2,TRUE)</f>
        <v>3.5000000000000003E-2</v>
      </c>
      <c r="G74" s="75">
        <f t="shared" si="19"/>
        <v>2562098.229223826</v>
      </c>
      <c r="H74" s="75">
        <v>0</v>
      </c>
      <c r="I74" s="99">
        <f>SUM($H$61:$H$85)/20*10</f>
        <v>46299.114611912897</v>
      </c>
      <c r="J74" s="76">
        <f t="shared" si="24"/>
        <v>22111.258690561786</v>
      </c>
      <c r="K74" s="116">
        <f t="shared" si="14"/>
        <v>68410.373302474676</v>
      </c>
      <c r="L74" s="76">
        <f>$G$61/20*10</f>
        <v>1234750</v>
      </c>
      <c r="M74" s="117">
        <f t="shared" si="15"/>
        <v>1303160.3733024746</v>
      </c>
      <c r="N74" s="8">
        <f t="shared" si="16"/>
        <v>2584209.4879143876</v>
      </c>
      <c r="O74" s="75">
        <f t="shared" si="17"/>
        <v>1281049.114611913</v>
      </c>
    </row>
    <row r="75" spans="1:15" x14ac:dyDescent="0.25">
      <c r="A75" s="78" t="s">
        <v>62</v>
      </c>
      <c r="B75" s="72" t="str">
        <f t="shared" si="23"/>
        <v>Q2/2017</v>
      </c>
      <c r="C75" s="73">
        <f t="shared" si="20"/>
        <v>42826</v>
      </c>
      <c r="D75" s="73">
        <f t="shared" si="21"/>
        <v>42916</v>
      </c>
      <c r="E75" s="72">
        <f t="shared" si="18"/>
        <v>91</v>
      </c>
      <c r="F75" s="74">
        <f>VLOOKUP(D75,'FERC Interest Rate'!$A:$B,2,TRUE)</f>
        <v>3.7100000000000001E-2</v>
      </c>
      <c r="G75" s="75">
        <f t="shared" si="19"/>
        <v>1281049.114611913</v>
      </c>
      <c r="H75" s="75">
        <v>0</v>
      </c>
      <c r="I75" s="99">
        <f t="shared" ref="I75:I84" si="25">SUM($H$61:$H$85)/20</f>
        <v>4629.9114611912901</v>
      </c>
      <c r="J75" s="76">
        <f t="shared" ref="J75:J84" si="26">G75*F75*(E75/(DATE(YEAR(D75),12,31)-DATE(YEAR(D75),1,1)+1))</f>
        <v>11849.177851619943</v>
      </c>
      <c r="K75" s="116">
        <f t="shared" si="14"/>
        <v>16479.089312811233</v>
      </c>
      <c r="L75" s="76">
        <f t="shared" ref="L75:L84" si="27">$G$61/20</f>
        <v>123475</v>
      </c>
      <c r="M75" s="117">
        <f t="shared" si="15"/>
        <v>139954.08931281124</v>
      </c>
      <c r="N75" s="8">
        <f t="shared" si="16"/>
        <v>1292898.2924635329</v>
      </c>
      <c r="O75" s="75">
        <f t="shared" si="17"/>
        <v>1152944.2031507217</v>
      </c>
    </row>
    <row r="76" spans="1:15" x14ac:dyDescent="0.25">
      <c r="A76" s="78" t="s">
        <v>63</v>
      </c>
      <c r="B76" s="72" t="str">
        <f t="shared" si="23"/>
        <v>Q3/2017</v>
      </c>
      <c r="C76" s="73">
        <f t="shared" si="20"/>
        <v>42917</v>
      </c>
      <c r="D76" s="73">
        <f t="shared" si="21"/>
        <v>43008</v>
      </c>
      <c r="E76" s="72">
        <f t="shared" si="18"/>
        <v>92</v>
      </c>
      <c r="F76" s="74">
        <f>VLOOKUP(D76,'FERC Interest Rate'!$A:$B,2,TRUE)</f>
        <v>3.9600000000000003E-2</v>
      </c>
      <c r="G76" s="75">
        <f t="shared" si="19"/>
        <v>1152944.2031507217</v>
      </c>
      <c r="H76" s="75">
        <v>0</v>
      </c>
      <c r="I76" s="99">
        <f t="shared" si="25"/>
        <v>4629.9114611912901</v>
      </c>
      <c r="J76" s="76">
        <f t="shared" si="26"/>
        <v>11507.962523064958</v>
      </c>
      <c r="K76" s="116">
        <f t="shared" si="14"/>
        <v>16137.873984256248</v>
      </c>
      <c r="L76" s="76">
        <f t="shared" si="27"/>
        <v>123475</v>
      </c>
      <c r="M76" s="117">
        <f t="shared" si="15"/>
        <v>139612.87398425624</v>
      </c>
      <c r="N76" s="8">
        <f t="shared" si="16"/>
        <v>1164452.1656737868</v>
      </c>
      <c r="O76" s="75">
        <f t="shared" si="17"/>
        <v>1024839.2916895305</v>
      </c>
    </row>
    <row r="77" spans="1:15" x14ac:dyDescent="0.25">
      <c r="A77" s="78" t="s">
        <v>64</v>
      </c>
      <c r="B77" s="72" t="str">
        <f t="shared" si="23"/>
        <v>Q4/2017</v>
      </c>
      <c r="C77" s="73">
        <f t="shared" si="20"/>
        <v>43009</v>
      </c>
      <c r="D77" s="73">
        <f t="shared" si="21"/>
        <v>43100</v>
      </c>
      <c r="E77" s="72">
        <f t="shared" si="18"/>
        <v>92</v>
      </c>
      <c r="F77" s="74">
        <f>VLOOKUP(D77,'FERC Interest Rate'!$A:$B,2,TRUE)</f>
        <v>4.2099999999999999E-2</v>
      </c>
      <c r="G77" s="75">
        <f t="shared" si="19"/>
        <v>1024839.2916895305</v>
      </c>
      <c r="H77" s="75">
        <v>0</v>
      </c>
      <c r="I77" s="99">
        <f t="shared" si="25"/>
        <v>4629.9114611912901</v>
      </c>
      <c r="J77" s="76">
        <f t="shared" si="26"/>
        <v>10875.089163210658</v>
      </c>
      <c r="K77" s="116">
        <f t="shared" si="14"/>
        <v>15505.000624401948</v>
      </c>
      <c r="L77" s="76">
        <f t="shared" si="27"/>
        <v>123475</v>
      </c>
      <c r="M77" s="117">
        <f t="shared" si="15"/>
        <v>138980.00062440196</v>
      </c>
      <c r="N77" s="8">
        <f t="shared" si="16"/>
        <v>1035714.3808527412</v>
      </c>
      <c r="O77" s="75">
        <f t="shared" si="17"/>
        <v>896734.38022833923</v>
      </c>
    </row>
    <row r="78" spans="1:15" x14ac:dyDescent="0.25">
      <c r="A78" s="78" t="s">
        <v>65</v>
      </c>
      <c r="B78" s="72" t="str">
        <f t="shared" si="23"/>
        <v>Q1/2018</v>
      </c>
      <c r="C78" s="73">
        <f t="shared" si="20"/>
        <v>43101</v>
      </c>
      <c r="D78" s="73">
        <f t="shared" si="21"/>
        <v>43190</v>
      </c>
      <c r="E78" s="72">
        <f t="shared" si="18"/>
        <v>90</v>
      </c>
      <c r="F78" s="74">
        <f>VLOOKUP(D78,'FERC Interest Rate'!$A:$B,2,TRUE)</f>
        <v>4.2500000000000003E-2</v>
      </c>
      <c r="G78" s="75">
        <f t="shared" si="19"/>
        <v>896734.38022833923</v>
      </c>
      <c r="H78" s="75">
        <v>0</v>
      </c>
      <c r="I78" s="99">
        <f t="shared" si="25"/>
        <v>4629.9114611912901</v>
      </c>
      <c r="J78" s="76">
        <f t="shared" si="26"/>
        <v>9397.2849434887612</v>
      </c>
      <c r="K78" s="116">
        <f t="shared" si="14"/>
        <v>14027.196404680051</v>
      </c>
      <c r="L78" s="76">
        <f t="shared" si="27"/>
        <v>123475</v>
      </c>
      <c r="M78" s="117">
        <f t="shared" si="15"/>
        <v>137502.19640468006</v>
      </c>
      <c r="N78" s="8">
        <f t="shared" si="16"/>
        <v>906131.665171828</v>
      </c>
      <c r="O78" s="75">
        <f t="shared" si="17"/>
        <v>768629.46876714798</v>
      </c>
    </row>
    <row r="79" spans="1:15" x14ac:dyDescent="0.25">
      <c r="A79" s="78" t="s">
        <v>66</v>
      </c>
      <c r="B79" s="72" t="str">
        <f t="shared" si="23"/>
        <v>Q2/2018</v>
      </c>
      <c r="C79" s="73">
        <f t="shared" si="20"/>
        <v>43191</v>
      </c>
      <c r="D79" s="73">
        <f t="shared" si="21"/>
        <v>43281</v>
      </c>
      <c r="E79" s="72">
        <f t="shared" si="18"/>
        <v>91</v>
      </c>
      <c r="F79" s="74">
        <f>VLOOKUP(D79,'FERC Interest Rate'!$A:$B,2,TRUE)</f>
        <v>4.4699999999999997E-2</v>
      </c>
      <c r="G79" s="75">
        <f t="shared" si="19"/>
        <v>768629.46876714798</v>
      </c>
      <c r="H79" s="75">
        <v>0</v>
      </c>
      <c r="I79" s="99">
        <f t="shared" si="25"/>
        <v>4629.9114611912901</v>
      </c>
      <c r="J79" s="76">
        <f t="shared" si="26"/>
        <v>8565.9016167236387</v>
      </c>
      <c r="K79" s="116">
        <f t="shared" si="14"/>
        <v>13195.813077914929</v>
      </c>
      <c r="L79" s="76">
        <f t="shared" si="27"/>
        <v>123475</v>
      </c>
      <c r="M79" s="117">
        <f t="shared" si="15"/>
        <v>136670.81307791494</v>
      </c>
      <c r="N79" s="8">
        <f t="shared" si="16"/>
        <v>777195.3703838716</v>
      </c>
      <c r="O79" s="75">
        <f t="shared" si="17"/>
        <v>640524.55730595673</v>
      </c>
    </row>
    <row r="80" spans="1:15" x14ac:dyDescent="0.25">
      <c r="A80" s="78" t="s">
        <v>67</v>
      </c>
      <c r="B80" s="72" t="str">
        <f t="shared" si="23"/>
        <v>Q3/2018</v>
      </c>
      <c r="C80" s="73">
        <f t="shared" si="20"/>
        <v>43282</v>
      </c>
      <c r="D80" s="73">
        <f t="shared" si="21"/>
        <v>43373</v>
      </c>
      <c r="E80" s="72">
        <f t="shared" si="18"/>
        <v>92</v>
      </c>
      <c r="F80" s="74">
        <f>VLOOKUP(D80,'FERC Interest Rate'!$A:$B,2,TRUE)</f>
        <v>4.6899999999999997E-2</v>
      </c>
      <c r="G80" s="75">
        <f t="shared" si="19"/>
        <v>640524.55730595673</v>
      </c>
      <c r="H80" s="75">
        <v>0</v>
      </c>
      <c r="I80" s="99">
        <f t="shared" si="25"/>
        <v>4629.9114611912901</v>
      </c>
      <c r="J80" s="76">
        <f t="shared" si="26"/>
        <v>7571.8776982568279</v>
      </c>
      <c r="K80" s="116">
        <f t="shared" si="14"/>
        <v>12201.789159448119</v>
      </c>
      <c r="L80" s="76">
        <f t="shared" si="27"/>
        <v>123475</v>
      </c>
      <c r="M80" s="117">
        <f t="shared" si="15"/>
        <v>135676.78915944812</v>
      </c>
      <c r="N80" s="8">
        <f t="shared" si="16"/>
        <v>648096.43500421359</v>
      </c>
      <c r="O80" s="75">
        <f t="shared" si="17"/>
        <v>512419.64584476541</v>
      </c>
    </row>
    <row r="81" spans="1:15" x14ac:dyDescent="0.25">
      <c r="A81" s="78" t="s">
        <v>68</v>
      </c>
      <c r="B81" s="72" t="str">
        <f t="shared" si="23"/>
        <v>Q4/2018</v>
      </c>
      <c r="C81" s="73">
        <f t="shared" si="20"/>
        <v>43374</v>
      </c>
      <c r="D81" s="73">
        <f t="shared" si="21"/>
        <v>43465</v>
      </c>
      <c r="E81" s="72">
        <f t="shared" si="18"/>
        <v>92</v>
      </c>
      <c r="F81" s="74">
        <f>VLOOKUP(D81,'FERC Interest Rate'!$A:$B,2,TRUE)</f>
        <v>4.9599999999999998E-2</v>
      </c>
      <c r="G81" s="75">
        <f t="shared" si="19"/>
        <v>512419.64584476541</v>
      </c>
      <c r="H81" s="75">
        <v>0</v>
      </c>
      <c r="I81" s="99">
        <f t="shared" si="25"/>
        <v>4629.9114611912901</v>
      </c>
      <c r="J81" s="76">
        <f t="shared" si="26"/>
        <v>6406.2282956680374</v>
      </c>
      <c r="K81" s="116">
        <f t="shared" si="14"/>
        <v>11036.139756859327</v>
      </c>
      <c r="L81" s="76">
        <f t="shared" si="27"/>
        <v>123475</v>
      </c>
      <c r="M81" s="117">
        <f t="shared" si="15"/>
        <v>134511.13975685934</v>
      </c>
      <c r="N81" s="8">
        <f t="shared" si="16"/>
        <v>518825.87414043344</v>
      </c>
      <c r="O81" s="75">
        <f t="shared" si="17"/>
        <v>384314.7343835741</v>
      </c>
    </row>
    <row r="82" spans="1:15" x14ac:dyDescent="0.25">
      <c r="A82" s="78" t="s">
        <v>69</v>
      </c>
      <c r="B82" s="72" t="str">
        <f t="shared" si="23"/>
        <v>Q1/2019</v>
      </c>
      <c r="C82" s="73">
        <f t="shared" si="20"/>
        <v>43466</v>
      </c>
      <c r="D82" s="73">
        <f t="shared" si="21"/>
        <v>43555</v>
      </c>
      <c r="E82" s="72">
        <f t="shared" si="18"/>
        <v>90</v>
      </c>
      <c r="F82" s="74">
        <f>VLOOKUP(D82,'FERC Interest Rate'!$A:$B,2,TRUE)</f>
        <v>5.1799999999999999E-2</v>
      </c>
      <c r="G82" s="75">
        <f t="shared" si="19"/>
        <v>384314.7343835741</v>
      </c>
      <c r="H82" s="75">
        <v>0</v>
      </c>
      <c r="I82" s="99">
        <f t="shared" si="25"/>
        <v>4629.9114611912901</v>
      </c>
      <c r="J82" s="76">
        <f t="shared" si="26"/>
        <v>4908.6994293047192</v>
      </c>
      <c r="K82" s="116">
        <f t="shared" si="14"/>
        <v>9538.6108904960092</v>
      </c>
      <c r="L82" s="76">
        <f t="shared" si="27"/>
        <v>123475</v>
      </c>
      <c r="M82" s="117">
        <f t="shared" si="15"/>
        <v>133013.610890496</v>
      </c>
      <c r="N82" s="8">
        <f t="shared" si="16"/>
        <v>389223.43381287885</v>
      </c>
      <c r="O82" s="75">
        <f t="shared" si="17"/>
        <v>256209.82292238282</v>
      </c>
    </row>
    <row r="83" spans="1:15" x14ac:dyDescent="0.25">
      <c r="A83" s="78" t="s">
        <v>70</v>
      </c>
      <c r="B83" s="72" t="str">
        <f t="shared" si="23"/>
        <v>Q2/2019</v>
      </c>
      <c r="C83" s="73">
        <f t="shared" si="20"/>
        <v>43556</v>
      </c>
      <c r="D83" s="73">
        <f t="shared" si="21"/>
        <v>43646</v>
      </c>
      <c r="E83" s="72">
        <f t="shared" si="18"/>
        <v>91</v>
      </c>
      <c r="F83" s="74">
        <f>VLOOKUP(D83,'FERC Interest Rate'!$A:$B,2,TRUE)</f>
        <v>5.45E-2</v>
      </c>
      <c r="G83" s="75">
        <f t="shared" si="19"/>
        <v>256209.82292238282</v>
      </c>
      <c r="H83" s="75">
        <v>0</v>
      </c>
      <c r="I83" s="99">
        <f t="shared" si="25"/>
        <v>4629.9114611912901</v>
      </c>
      <c r="J83" s="76">
        <f t="shared" si="26"/>
        <v>3481.2948405028978</v>
      </c>
      <c r="K83" s="116">
        <f t="shared" si="14"/>
        <v>8111.2063016941884</v>
      </c>
      <c r="L83" s="76">
        <f t="shared" si="27"/>
        <v>123475</v>
      </c>
      <c r="M83" s="117">
        <f t="shared" si="15"/>
        <v>131586.20630169418</v>
      </c>
      <c r="N83" s="8">
        <f t="shared" si="16"/>
        <v>259691.11776288573</v>
      </c>
      <c r="O83" s="75">
        <f t="shared" si="17"/>
        <v>128104.91146119153</v>
      </c>
    </row>
    <row r="84" spans="1:15" x14ac:dyDescent="0.25">
      <c r="A84" s="78" t="s">
        <v>71</v>
      </c>
      <c r="B84" s="72" t="str">
        <f t="shared" si="23"/>
        <v>Q3/2019</v>
      </c>
      <c r="C84" s="73">
        <f t="shared" si="20"/>
        <v>43647</v>
      </c>
      <c r="D84" s="73">
        <f t="shared" si="21"/>
        <v>43738</v>
      </c>
      <c r="E84" s="72">
        <f t="shared" si="18"/>
        <v>92</v>
      </c>
      <c r="F84" s="74">
        <f>VLOOKUP(D84,'FERC Interest Rate'!$A:$B,2,TRUE)</f>
        <v>5.5E-2</v>
      </c>
      <c r="G84" s="75">
        <f t="shared" si="19"/>
        <v>128104.91146119153</v>
      </c>
      <c r="H84" s="75">
        <v>0</v>
      </c>
      <c r="I84" s="99">
        <f t="shared" si="25"/>
        <v>4629.9114611912901</v>
      </c>
      <c r="J84" s="76">
        <f t="shared" si="26"/>
        <v>1775.9201424482992</v>
      </c>
      <c r="K84" s="116">
        <f t="shared" si="14"/>
        <v>6405.831603639589</v>
      </c>
      <c r="L84" s="76">
        <f t="shared" si="27"/>
        <v>123475</v>
      </c>
      <c r="M84" s="117">
        <f t="shared" si="15"/>
        <v>129880.83160363958</v>
      </c>
      <c r="N84" s="8">
        <f t="shared" si="16"/>
        <v>129880.83160363983</v>
      </c>
      <c r="O84" s="75">
        <f t="shared" si="17"/>
        <v>2.382876118645072E-10</v>
      </c>
    </row>
    <row r="85" spans="1:15" x14ac:dyDescent="0.25">
      <c r="A85" s="11"/>
      <c r="B85" s="79"/>
      <c r="C85" s="79"/>
      <c r="D85" s="10"/>
      <c r="E85" s="11"/>
      <c r="F85" s="76"/>
      <c r="G85" s="76"/>
      <c r="H85" s="58"/>
      <c r="I85" s="101"/>
      <c r="J85" s="12"/>
      <c r="K85" s="76"/>
      <c r="L85" s="103"/>
      <c r="M85" s="118"/>
    </row>
    <row r="86" spans="1:15" ht="13.5" thickBot="1" x14ac:dyDescent="0.35">
      <c r="A86" s="142"/>
      <c r="B86" s="142"/>
      <c r="C86" s="142"/>
      <c r="D86" s="142"/>
      <c r="E86" s="142"/>
      <c r="F86" s="142"/>
      <c r="G86" s="65">
        <f t="shared" ref="G86:O86" si="28">+SUM(G61:G85)</f>
        <v>42616933.590910099</v>
      </c>
      <c r="H86" s="65">
        <f t="shared" si="28"/>
        <v>92598.229223825794</v>
      </c>
      <c r="I86" s="104">
        <f t="shared" si="28"/>
        <v>92598.229223825823</v>
      </c>
      <c r="J86" s="65">
        <f t="shared" si="28"/>
        <v>269544.95484043099</v>
      </c>
      <c r="K86" s="65">
        <f t="shared" si="28"/>
        <v>362143.18406425684</v>
      </c>
      <c r="L86" s="65">
        <f t="shared" si="28"/>
        <v>2469500</v>
      </c>
      <c r="M86" s="105">
        <f t="shared" si="28"/>
        <v>2831643.184064257</v>
      </c>
      <c r="N86" s="65">
        <f t="shared" si="28"/>
        <v>42979076.774974354</v>
      </c>
      <c r="O86" s="65">
        <f t="shared" si="28"/>
        <v>40147433.590910099</v>
      </c>
    </row>
    <row r="87" spans="1:15" ht="13" thickTop="1" x14ac:dyDescent="0.25">
      <c r="I87" s="102"/>
      <c r="J87" s="103"/>
      <c r="K87" s="103"/>
      <c r="L87" s="103"/>
      <c r="M87" s="118"/>
    </row>
    <row r="88" spans="1:15" ht="39" x14ac:dyDescent="0.3">
      <c r="A88" s="77" t="s">
        <v>51</v>
      </c>
      <c r="B88" s="77" t="s">
        <v>3</v>
      </c>
      <c r="C88" s="77" t="s">
        <v>4</v>
      </c>
      <c r="D88" s="77" t="s">
        <v>5</v>
      </c>
      <c r="E88" s="77" t="s">
        <v>6</v>
      </c>
      <c r="F88" s="77" t="s">
        <v>7</v>
      </c>
      <c r="G88" s="77" t="s">
        <v>92</v>
      </c>
      <c r="H88" s="77" t="s">
        <v>93</v>
      </c>
      <c r="I88" s="94" t="s">
        <v>94</v>
      </c>
      <c r="J88" s="95" t="s">
        <v>95</v>
      </c>
      <c r="K88" s="95" t="s">
        <v>96</v>
      </c>
      <c r="L88" s="95" t="s">
        <v>97</v>
      </c>
      <c r="M88" s="96" t="s">
        <v>98</v>
      </c>
      <c r="N88" s="77" t="s">
        <v>99</v>
      </c>
      <c r="O88" s="77" t="s">
        <v>100</v>
      </c>
    </row>
    <row r="89" spans="1:15" ht="13" x14ac:dyDescent="0.3">
      <c r="B89" s="72"/>
      <c r="C89" s="300">
        <v>42500</v>
      </c>
      <c r="D89" s="73">
        <f>DATE(YEAR(C89),IF(MONTH(C89)&lt;=3,3,IF(MONTH(C89)&lt;=6,6,IF(MONTH(C89)&lt;=9,9,12))),IF(OR(MONTH(C89)&lt;=3,MONTH(C89)&gt;=10),31,30))</f>
        <v>42551</v>
      </c>
      <c r="E89" s="72">
        <f>D89-C89+1</f>
        <v>52</v>
      </c>
      <c r="F89" s="74">
        <f>VLOOKUP(D89,'FERC Interest Rate'!$A:$B,2,TRUE)</f>
        <v>3.4599999999999999E-2</v>
      </c>
      <c r="G89" s="75">
        <f>+F28</f>
        <v>4565056.84</v>
      </c>
      <c r="H89" s="75">
        <f t="shared" ref="H89:H96" si="29">G89*F89*(E89/(DATE(YEAR(D89),12,31)-DATE(YEAR(D89),1,1)+1))</f>
        <v>22441.120946797808</v>
      </c>
      <c r="I89" s="99">
        <v>0</v>
      </c>
      <c r="J89" s="76">
        <v>0</v>
      </c>
      <c r="K89" s="116">
        <f>+SUM(I89:J89)</f>
        <v>0</v>
      </c>
      <c r="L89" s="76">
        <v>0</v>
      </c>
      <c r="M89" s="117">
        <f t="shared" ref="M89:M102" si="30">+SUM(K89:L89)</f>
        <v>0</v>
      </c>
      <c r="N89" s="8">
        <f t="shared" ref="N89:N102" si="31">+G89+H89+J89</f>
        <v>4587497.9609467974</v>
      </c>
      <c r="O89" s="75">
        <f t="shared" ref="O89:O102" si="32">G89+H89-L89-I89</f>
        <v>4587497.9609467974</v>
      </c>
    </row>
    <row r="90" spans="1:15" x14ac:dyDescent="0.25">
      <c r="B90" s="72"/>
      <c r="C90" s="73">
        <f>D89+1</f>
        <v>42552</v>
      </c>
      <c r="D90" s="73">
        <f>EOMONTH(D89,3)</f>
        <v>42643</v>
      </c>
      <c r="E90" s="72">
        <f t="shared" ref="E90:E102" si="33">D90-C90+1</f>
        <v>92</v>
      </c>
      <c r="F90" s="74">
        <f>VLOOKUP(D90,'FERC Interest Rate'!$A:$B,2,TRUE)</f>
        <v>3.5000000000000003E-2</v>
      </c>
      <c r="G90" s="75">
        <f t="shared" ref="G90:G102" si="34">O89</f>
        <v>4587497.9609467974</v>
      </c>
      <c r="H90" s="75">
        <f t="shared" si="29"/>
        <v>40359.954738384396</v>
      </c>
      <c r="I90" s="99">
        <v>0</v>
      </c>
      <c r="J90" s="76">
        <v>0</v>
      </c>
      <c r="K90" s="116">
        <f>+SUM(I90:J90)</f>
        <v>0</v>
      </c>
      <c r="L90" s="76">
        <v>0</v>
      </c>
      <c r="M90" s="117">
        <f t="shared" si="30"/>
        <v>0</v>
      </c>
      <c r="N90" s="8">
        <f t="shared" si="31"/>
        <v>4627857.9156851815</v>
      </c>
      <c r="O90" s="75">
        <f t="shared" si="32"/>
        <v>4627857.9156851815</v>
      </c>
    </row>
    <row r="91" spans="1:15" x14ac:dyDescent="0.25">
      <c r="B91" s="72"/>
      <c r="C91" s="73">
        <f t="shared" ref="C91:C102" si="35">D90+1</f>
        <v>42644</v>
      </c>
      <c r="D91" s="73">
        <f t="shared" ref="D91:D102" si="36">EOMONTH(D90,3)</f>
        <v>42735</v>
      </c>
      <c r="E91" s="72">
        <f t="shared" si="33"/>
        <v>92</v>
      </c>
      <c r="F91" s="74">
        <f>VLOOKUP(D91,'FERC Interest Rate'!$A:$B,2,TRUE)</f>
        <v>3.5000000000000003E-2</v>
      </c>
      <c r="G91" s="75">
        <f t="shared" si="34"/>
        <v>4627857.9156851815</v>
      </c>
      <c r="H91" s="75">
        <f t="shared" si="29"/>
        <v>40715.034121601871</v>
      </c>
      <c r="I91" s="99">
        <v>0</v>
      </c>
      <c r="J91" s="76">
        <v>0</v>
      </c>
      <c r="K91" s="116">
        <f>+SUM(I91:J91)</f>
        <v>0</v>
      </c>
      <c r="L91" s="76">
        <v>0</v>
      </c>
      <c r="M91" s="117">
        <f t="shared" si="30"/>
        <v>0</v>
      </c>
      <c r="N91" s="8">
        <f t="shared" si="31"/>
        <v>4668572.9498067833</v>
      </c>
      <c r="O91" s="75">
        <f t="shared" si="32"/>
        <v>4668572.9498067833</v>
      </c>
    </row>
    <row r="92" spans="1:15" x14ac:dyDescent="0.25">
      <c r="B92" s="72"/>
      <c r="C92" s="73">
        <f t="shared" si="35"/>
        <v>42736</v>
      </c>
      <c r="D92" s="73">
        <f t="shared" si="36"/>
        <v>42825</v>
      </c>
      <c r="E92" s="72">
        <f t="shared" si="33"/>
        <v>90</v>
      </c>
      <c r="F92" s="74">
        <f>VLOOKUP(D92,'FERC Interest Rate'!$A:$B,2,TRUE)</f>
        <v>3.5000000000000003E-2</v>
      </c>
      <c r="G92" s="75">
        <f t="shared" si="34"/>
        <v>4668572.9498067833</v>
      </c>
      <c r="H92" s="75">
        <f t="shared" si="29"/>
        <v>40290.424087373613</v>
      </c>
      <c r="I92" s="99">
        <v>0</v>
      </c>
      <c r="J92" s="76">
        <v>0</v>
      </c>
      <c r="K92" s="116">
        <f t="shared" ref="K92:K98" si="37">+SUM(I92:J92)</f>
        <v>0</v>
      </c>
      <c r="L92" s="76">
        <v>0</v>
      </c>
      <c r="M92" s="117">
        <f t="shared" si="30"/>
        <v>0</v>
      </c>
      <c r="N92" s="8">
        <f t="shared" si="31"/>
        <v>4708863.3738941569</v>
      </c>
      <c r="O92" s="75">
        <f t="shared" si="32"/>
        <v>4708863.3738941569</v>
      </c>
    </row>
    <row r="93" spans="1:15" x14ac:dyDescent="0.25">
      <c r="C93" s="73">
        <f t="shared" si="35"/>
        <v>42826</v>
      </c>
      <c r="D93" s="73">
        <f t="shared" si="36"/>
        <v>42916</v>
      </c>
      <c r="E93" s="72">
        <f t="shared" si="33"/>
        <v>91</v>
      </c>
      <c r="F93" s="74">
        <f>VLOOKUP(D93,'FERC Interest Rate'!$A:$B,2,TRUE)</f>
        <v>3.7100000000000001E-2</v>
      </c>
      <c r="G93" s="75">
        <f t="shared" si="34"/>
        <v>4708863.3738941569</v>
      </c>
      <c r="H93" s="75">
        <f t="shared" si="29"/>
        <v>43555.051059189216</v>
      </c>
      <c r="I93" s="99">
        <v>0</v>
      </c>
      <c r="J93" s="76">
        <v>0</v>
      </c>
      <c r="K93" s="116">
        <f t="shared" si="37"/>
        <v>0</v>
      </c>
      <c r="L93" s="76">
        <v>0</v>
      </c>
      <c r="M93" s="117">
        <f t="shared" si="30"/>
        <v>0</v>
      </c>
      <c r="N93" s="8">
        <f t="shared" si="31"/>
        <v>4752418.4249533461</v>
      </c>
      <c r="O93" s="75">
        <f t="shared" si="32"/>
        <v>4752418.4249533461</v>
      </c>
    </row>
    <row r="94" spans="1:15" x14ac:dyDescent="0.25">
      <c r="C94" s="73">
        <f t="shared" si="35"/>
        <v>42917</v>
      </c>
      <c r="D94" s="73">
        <f t="shared" si="36"/>
        <v>43008</v>
      </c>
      <c r="E94" s="72">
        <f t="shared" si="33"/>
        <v>92</v>
      </c>
      <c r="F94" s="74">
        <f>VLOOKUP(D94,'FERC Interest Rate'!$A:$B,2,TRUE)</f>
        <v>3.9600000000000003E-2</v>
      </c>
      <c r="G94" s="75">
        <f t="shared" si="34"/>
        <v>4752418.4249533461</v>
      </c>
      <c r="H94" s="75">
        <f t="shared" si="29"/>
        <v>47435.646043260364</v>
      </c>
      <c r="I94" s="99">
        <v>0</v>
      </c>
      <c r="J94" s="76">
        <v>0</v>
      </c>
      <c r="K94" s="116">
        <f t="shared" si="37"/>
        <v>0</v>
      </c>
      <c r="L94" s="76">
        <v>0</v>
      </c>
      <c r="M94" s="117">
        <f t="shared" si="30"/>
        <v>0</v>
      </c>
      <c r="N94" s="8">
        <f t="shared" si="31"/>
        <v>4799854.0709966067</v>
      </c>
      <c r="O94" s="75">
        <f t="shared" si="32"/>
        <v>4799854.0709966067</v>
      </c>
    </row>
    <row r="95" spans="1:15" x14ac:dyDescent="0.25">
      <c r="C95" s="73">
        <f t="shared" si="35"/>
        <v>43009</v>
      </c>
      <c r="D95" s="73">
        <f t="shared" si="36"/>
        <v>43100</v>
      </c>
      <c r="E95" s="72">
        <f t="shared" si="33"/>
        <v>92</v>
      </c>
      <c r="F95" s="74">
        <f>VLOOKUP(D95,'FERC Interest Rate'!$A:$B,2,TRUE)</f>
        <v>4.2099999999999999E-2</v>
      </c>
      <c r="G95" s="75">
        <f t="shared" si="34"/>
        <v>4799854.0709966067</v>
      </c>
      <c r="H95" s="75">
        <f t="shared" si="29"/>
        <v>50933.684350093303</v>
      </c>
      <c r="I95" s="99">
        <v>0</v>
      </c>
      <c r="J95" s="76">
        <v>0</v>
      </c>
      <c r="K95" s="116">
        <f>+SUM(I95:J95)</f>
        <v>0</v>
      </c>
      <c r="L95" s="76">
        <v>0</v>
      </c>
      <c r="M95" s="117">
        <f t="shared" si="30"/>
        <v>0</v>
      </c>
      <c r="N95" s="8">
        <f t="shared" si="31"/>
        <v>4850787.7553466996</v>
      </c>
      <c r="O95" s="75">
        <f t="shared" si="32"/>
        <v>4850787.7553466996</v>
      </c>
    </row>
    <row r="96" spans="1:15" x14ac:dyDescent="0.25">
      <c r="A96" s="78" t="s">
        <v>65</v>
      </c>
      <c r="B96" s="72" t="str">
        <f t="shared" ref="B96:B102" si="38">+IF(MONTH(C96)&lt;4,"Q1",IF(MONTH(C96)&lt;7,"Q2",IF(MONTH(C96)&lt;10,"Q3","Q4")))&amp;"/"&amp;YEAR(C96)</f>
        <v>Q1/2018</v>
      </c>
      <c r="C96" s="73">
        <f t="shared" si="35"/>
        <v>43101</v>
      </c>
      <c r="D96" s="73">
        <f t="shared" si="36"/>
        <v>43190</v>
      </c>
      <c r="E96" s="72">
        <f t="shared" si="33"/>
        <v>90</v>
      </c>
      <c r="F96" s="74">
        <f>VLOOKUP(D96,'FERC Interest Rate'!$A:$B,2,TRUE)</f>
        <v>4.2500000000000003E-2</v>
      </c>
      <c r="G96" s="75">
        <f t="shared" si="34"/>
        <v>4850787.7553466996</v>
      </c>
      <c r="H96" s="75">
        <f t="shared" si="29"/>
        <v>50833.597710140071</v>
      </c>
      <c r="I96" s="99">
        <v>0</v>
      </c>
      <c r="J96" s="76">
        <v>0</v>
      </c>
      <c r="K96" s="116">
        <f>+SUM(I96:J96)</f>
        <v>0</v>
      </c>
      <c r="L96" s="76">
        <v>0</v>
      </c>
      <c r="M96" s="117">
        <f t="shared" si="30"/>
        <v>0</v>
      </c>
      <c r="N96" s="8">
        <f t="shared" si="31"/>
        <v>4901621.3530568397</v>
      </c>
      <c r="O96" s="75">
        <f t="shared" si="32"/>
        <v>4901621.3530568397</v>
      </c>
    </row>
    <row r="97" spans="1:15" x14ac:dyDescent="0.25">
      <c r="A97" s="78" t="s">
        <v>66</v>
      </c>
      <c r="B97" s="72" t="str">
        <f t="shared" si="38"/>
        <v>Q2/2018</v>
      </c>
      <c r="C97" s="73">
        <f t="shared" si="35"/>
        <v>43191</v>
      </c>
      <c r="D97" s="73">
        <f t="shared" si="36"/>
        <v>43281</v>
      </c>
      <c r="E97" s="72">
        <f t="shared" si="33"/>
        <v>91</v>
      </c>
      <c r="F97" s="74">
        <f>VLOOKUP(D97,'FERC Interest Rate'!$A:$B,2,TRUE)</f>
        <v>4.4699999999999997E-2</v>
      </c>
      <c r="G97" s="75">
        <f t="shared" si="34"/>
        <v>4901621.3530568397</v>
      </c>
      <c r="H97" s="75">
        <v>0</v>
      </c>
      <c r="I97" s="99">
        <f>SUM($H$89:$H$103)/20*15</f>
        <v>252423.3847926305</v>
      </c>
      <c r="J97" s="76">
        <f t="shared" ref="J97:J102" si="39">G97*F97*(E97/(DATE(YEAR(D97),12,31)-DATE(YEAR(D97),1,1)+1))</f>
        <v>54625.54843240905</v>
      </c>
      <c r="K97" s="116">
        <f t="shared" si="37"/>
        <v>307048.93322503957</v>
      </c>
      <c r="L97" s="76">
        <f>$G$89/20*15</f>
        <v>3423792.63</v>
      </c>
      <c r="M97" s="117">
        <f t="shared" si="30"/>
        <v>3730841.5632250393</v>
      </c>
      <c r="N97" s="8">
        <f t="shared" si="31"/>
        <v>4956246.9014892485</v>
      </c>
      <c r="O97" s="75">
        <f t="shared" si="32"/>
        <v>1225405.3382642092</v>
      </c>
    </row>
    <row r="98" spans="1:15" x14ac:dyDescent="0.25">
      <c r="A98" s="78" t="s">
        <v>67</v>
      </c>
      <c r="B98" s="72" t="str">
        <f t="shared" si="38"/>
        <v>Q3/2018</v>
      </c>
      <c r="C98" s="73">
        <f t="shared" si="35"/>
        <v>43282</v>
      </c>
      <c r="D98" s="73">
        <f t="shared" si="36"/>
        <v>43373</v>
      </c>
      <c r="E98" s="72">
        <f t="shared" si="33"/>
        <v>92</v>
      </c>
      <c r="F98" s="74">
        <f>VLOOKUP(D98,'FERC Interest Rate'!$A:$B,2,TRUE)</f>
        <v>4.6899999999999997E-2</v>
      </c>
      <c r="G98" s="75">
        <f t="shared" si="34"/>
        <v>1225405.3382642092</v>
      </c>
      <c r="H98" s="75">
        <v>0</v>
      </c>
      <c r="I98" s="99">
        <f>SUM($H$89:$H$103)/20</f>
        <v>16828.225652842033</v>
      </c>
      <c r="J98" s="76">
        <f t="shared" si="39"/>
        <v>14485.969735732629</v>
      </c>
      <c r="K98" s="116">
        <f t="shared" si="37"/>
        <v>31314.195388574663</v>
      </c>
      <c r="L98" s="76">
        <f>$G$89/20</f>
        <v>228252.842</v>
      </c>
      <c r="M98" s="117">
        <f t="shared" si="30"/>
        <v>259567.03738857468</v>
      </c>
      <c r="N98" s="8">
        <f t="shared" si="31"/>
        <v>1239891.3079999418</v>
      </c>
      <c r="O98" s="75">
        <f t="shared" si="32"/>
        <v>980324.27061136719</v>
      </c>
    </row>
    <row r="99" spans="1:15" x14ac:dyDescent="0.25">
      <c r="A99" s="78" t="s">
        <v>68</v>
      </c>
      <c r="B99" s="72" t="str">
        <f t="shared" si="38"/>
        <v>Q4/2018</v>
      </c>
      <c r="C99" s="73">
        <f t="shared" si="35"/>
        <v>43374</v>
      </c>
      <c r="D99" s="73">
        <f t="shared" si="36"/>
        <v>43465</v>
      </c>
      <c r="E99" s="72">
        <f t="shared" si="33"/>
        <v>92</v>
      </c>
      <c r="F99" s="74">
        <f>VLOOKUP(D99,'FERC Interest Rate'!$A:$B,2,TRUE)</f>
        <v>4.9599999999999998E-2</v>
      </c>
      <c r="G99" s="75">
        <f t="shared" si="34"/>
        <v>980324.27061136719</v>
      </c>
      <c r="H99" s="75">
        <v>0</v>
      </c>
      <c r="I99" s="99">
        <f>SUM($H$89:$H$103)/20</f>
        <v>16828.225652842033</v>
      </c>
      <c r="J99" s="76">
        <f t="shared" si="39"/>
        <v>12255.933456585728</v>
      </c>
      <c r="K99" s="116">
        <f>+SUM(I99:J99)</f>
        <v>29084.159109427761</v>
      </c>
      <c r="L99" s="76">
        <f>$G$89/20</f>
        <v>228252.842</v>
      </c>
      <c r="M99" s="117">
        <f t="shared" si="30"/>
        <v>257337.00110942777</v>
      </c>
      <c r="N99" s="8">
        <f t="shared" si="31"/>
        <v>992580.20406795293</v>
      </c>
      <c r="O99" s="75">
        <f t="shared" si="32"/>
        <v>735243.20295852516</v>
      </c>
    </row>
    <row r="100" spans="1:15" x14ac:dyDescent="0.25">
      <c r="A100" s="78" t="s">
        <v>69</v>
      </c>
      <c r="B100" s="72" t="str">
        <f t="shared" si="38"/>
        <v>Q1/2019</v>
      </c>
      <c r="C100" s="73">
        <f t="shared" si="35"/>
        <v>43466</v>
      </c>
      <c r="D100" s="73">
        <f t="shared" si="36"/>
        <v>43555</v>
      </c>
      <c r="E100" s="72">
        <f t="shared" si="33"/>
        <v>90</v>
      </c>
      <c r="F100" s="74">
        <f>VLOOKUP(D100,'FERC Interest Rate'!$A:$B,2,TRUE)</f>
        <v>5.1799999999999999E-2</v>
      </c>
      <c r="G100" s="75">
        <f t="shared" si="34"/>
        <v>735243.20295852516</v>
      </c>
      <c r="H100" s="75">
        <v>0</v>
      </c>
      <c r="I100" s="99">
        <f>SUM($H$89:$H$103)/20</f>
        <v>16828.225652842033</v>
      </c>
      <c r="J100" s="76">
        <f t="shared" si="39"/>
        <v>9390.969348472996</v>
      </c>
      <c r="K100" s="116">
        <f>+SUM(I100:J100)</f>
        <v>26219.195001315027</v>
      </c>
      <c r="L100" s="76">
        <f>$G$89/20</f>
        <v>228252.842</v>
      </c>
      <c r="M100" s="117">
        <f t="shared" si="30"/>
        <v>254472.03700131504</v>
      </c>
      <c r="N100" s="8">
        <f t="shared" si="31"/>
        <v>744634.17230699817</v>
      </c>
      <c r="O100" s="75">
        <f t="shared" si="32"/>
        <v>490162.13530568313</v>
      </c>
    </row>
    <row r="101" spans="1:15" x14ac:dyDescent="0.25">
      <c r="A101" s="78" t="s">
        <v>70</v>
      </c>
      <c r="B101" s="72" t="str">
        <f t="shared" si="38"/>
        <v>Q2/2019</v>
      </c>
      <c r="C101" s="73">
        <f t="shared" si="35"/>
        <v>43556</v>
      </c>
      <c r="D101" s="73">
        <f t="shared" si="36"/>
        <v>43646</v>
      </c>
      <c r="E101" s="72">
        <f t="shared" si="33"/>
        <v>91</v>
      </c>
      <c r="F101" s="74">
        <f>VLOOKUP(D101,'FERC Interest Rate'!$A:$B,2,TRUE)</f>
        <v>5.45E-2</v>
      </c>
      <c r="G101" s="75">
        <f t="shared" si="34"/>
        <v>490162.13530568313</v>
      </c>
      <c r="H101" s="75">
        <v>0</v>
      </c>
      <c r="I101" s="99">
        <f>SUM($H$89:$H$103)/20</f>
        <v>16828.225652842033</v>
      </c>
      <c r="J101" s="76">
        <f t="shared" si="39"/>
        <v>6660.1619453384537</v>
      </c>
      <c r="K101" s="116">
        <f>+SUM(I101:J101)</f>
        <v>23488.387598180489</v>
      </c>
      <c r="L101" s="76">
        <f>$G$89/20</f>
        <v>228252.842</v>
      </c>
      <c r="M101" s="117">
        <f t="shared" si="30"/>
        <v>251741.22959818051</v>
      </c>
      <c r="N101" s="8">
        <f t="shared" si="31"/>
        <v>496822.29725102161</v>
      </c>
      <c r="O101" s="75">
        <f t="shared" si="32"/>
        <v>245081.0676528411</v>
      </c>
    </row>
    <row r="102" spans="1:15" x14ac:dyDescent="0.25">
      <c r="A102" s="78" t="s">
        <v>71</v>
      </c>
      <c r="B102" s="72" t="str">
        <f t="shared" si="38"/>
        <v>Q3/2019</v>
      </c>
      <c r="C102" s="73">
        <f t="shared" si="35"/>
        <v>43647</v>
      </c>
      <c r="D102" s="73">
        <f t="shared" si="36"/>
        <v>43738</v>
      </c>
      <c r="E102" s="72">
        <f t="shared" si="33"/>
        <v>92</v>
      </c>
      <c r="F102" s="74">
        <f>VLOOKUP(D102,'FERC Interest Rate'!$A:$B,2,TRUE)</f>
        <v>5.5E-2</v>
      </c>
      <c r="G102" s="75">
        <f t="shared" si="34"/>
        <v>245081.0676528411</v>
      </c>
      <c r="H102" s="75">
        <v>0</v>
      </c>
      <c r="I102" s="99">
        <f>SUM($H$89:$H$103)/20</f>
        <v>16828.225652842033</v>
      </c>
      <c r="J102" s="76">
        <f t="shared" si="39"/>
        <v>3397.5621981462359</v>
      </c>
      <c r="K102" s="116">
        <f>+SUM(I102:J102)</f>
        <v>20225.787850988268</v>
      </c>
      <c r="L102" s="76">
        <f>$G$89/20</f>
        <v>228252.842</v>
      </c>
      <c r="M102" s="117">
        <f t="shared" si="30"/>
        <v>248478.62985098828</v>
      </c>
      <c r="N102" s="8">
        <f t="shared" si="31"/>
        <v>248478.62985098734</v>
      </c>
      <c r="O102" s="75">
        <f t="shared" si="32"/>
        <v>-9.3859853222966194E-10</v>
      </c>
    </row>
    <row r="103" spans="1:15" x14ac:dyDescent="0.25">
      <c r="A103" s="11"/>
      <c r="B103" s="79"/>
      <c r="C103" s="79"/>
      <c r="D103" s="10"/>
      <c r="E103" s="11"/>
      <c r="F103" s="76"/>
      <c r="G103" s="76"/>
      <c r="H103" s="58"/>
      <c r="I103" s="101"/>
      <c r="J103" s="12"/>
      <c r="K103" s="76"/>
      <c r="L103" s="103"/>
      <c r="M103" s="118"/>
    </row>
    <row r="104" spans="1:15" ht="13.5" thickBot="1" x14ac:dyDescent="0.35">
      <c r="A104" s="142"/>
      <c r="B104" s="142"/>
      <c r="C104" s="142"/>
      <c r="D104" s="142"/>
      <c r="E104" s="142"/>
      <c r="F104" s="142"/>
      <c r="G104" s="65">
        <f t="shared" ref="G104:O104" si="40">+SUM(G89:G103)</f>
        <v>46138746.659479044</v>
      </c>
      <c r="H104" s="65">
        <f t="shared" si="40"/>
        <v>336564.51305684063</v>
      </c>
      <c r="I104" s="104">
        <f t="shared" si="40"/>
        <v>336564.51305684063</v>
      </c>
      <c r="J104" s="65">
        <f t="shared" si="40"/>
        <v>100816.14511668509</v>
      </c>
      <c r="K104" s="65">
        <f t="shared" si="40"/>
        <v>437380.65817352582</v>
      </c>
      <c r="L104" s="65">
        <f t="shared" si="40"/>
        <v>4565056.8400000008</v>
      </c>
      <c r="M104" s="105">
        <f t="shared" si="40"/>
        <v>5002437.4981735256</v>
      </c>
      <c r="N104" s="65">
        <f t="shared" si="40"/>
        <v>46576127.317652568</v>
      </c>
      <c r="O104" s="65">
        <f t="shared" si="40"/>
        <v>41573689.819479041</v>
      </c>
    </row>
    <row r="105" spans="1:15" ht="13" thickTop="1" x14ac:dyDescent="0.25">
      <c r="I105" s="102"/>
      <c r="J105" s="103"/>
      <c r="K105" s="103"/>
      <c r="L105" s="103"/>
      <c r="M105" s="118"/>
    </row>
    <row r="106" spans="1:15" ht="39" x14ac:dyDescent="0.3">
      <c r="A106" s="77" t="s">
        <v>51</v>
      </c>
      <c r="B106" s="77" t="s">
        <v>3</v>
      </c>
      <c r="C106" s="77" t="s">
        <v>4</v>
      </c>
      <c r="D106" s="77" t="s">
        <v>5</v>
      </c>
      <c r="E106" s="77" t="s">
        <v>6</v>
      </c>
      <c r="F106" s="77" t="s">
        <v>7</v>
      </c>
      <c r="G106" s="77" t="s">
        <v>92</v>
      </c>
      <c r="H106" s="77" t="s">
        <v>93</v>
      </c>
      <c r="I106" s="94" t="s">
        <v>94</v>
      </c>
      <c r="J106" s="95" t="s">
        <v>95</v>
      </c>
      <c r="K106" s="95" t="s">
        <v>96</v>
      </c>
      <c r="L106" s="95" t="s">
        <v>97</v>
      </c>
      <c r="M106" s="96" t="s">
        <v>98</v>
      </c>
      <c r="N106" s="77" t="s">
        <v>99</v>
      </c>
      <c r="O106" s="77" t="s">
        <v>100</v>
      </c>
    </row>
    <row r="107" spans="1:15" x14ac:dyDescent="0.25">
      <c r="A107" s="78" t="s">
        <v>52</v>
      </c>
      <c r="B107" s="72" t="str">
        <f t="shared" ref="B107:B126" si="41">+IF(MONTH(C107)&lt;4,"Q1",IF(MONTH(C107)&lt;7,"Q2",IF(MONTH(C107)&lt;10,"Q3","Q4")))&amp;"/"&amp;YEAR(C107)</f>
        <v>Q4/2014</v>
      </c>
      <c r="C107" s="73">
        <f t="shared" ref="C107:F126" si="42">+C37</f>
        <v>41913</v>
      </c>
      <c r="D107" s="73">
        <f t="shared" si="42"/>
        <v>42004</v>
      </c>
      <c r="E107" s="72">
        <f t="shared" si="42"/>
        <v>92</v>
      </c>
      <c r="F107" s="74">
        <f t="shared" si="42"/>
        <v>3.2500000000000001E-2</v>
      </c>
      <c r="G107" s="75">
        <f>+G37+G65</f>
        <v>8270836.7636479447</v>
      </c>
      <c r="H107" s="75">
        <f>+H58+H86</f>
        <v>301369.64562960807</v>
      </c>
      <c r="I107" s="99">
        <f>+I37+I65</f>
        <v>10438.570820289115</v>
      </c>
      <c r="J107" s="76">
        <f>+J37+J65</f>
        <v>0</v>
      </c>
      <c r="K107" s="116">
        <f t="shared" ref="K107:K126" si="43">+SUM(I107:J107)</f>
        <v>10438.570820289115</v>
      </c>
      <c r="L107" s="76">
        <f t="shared" ref="L107:L119" si="44">+L37+L65</f>
        <v>278386</v>
      </c>
      <c r="M107" s="117">
        <f t="shared" ref="M107:M126" si="45">+SUM(K107:L107)</f>
        <v>288824.57082028914</v>
      </c>
      <c r="N107" s="8">
        <f t="shared" ref="N107:N119" si="46">+G107+H107+J107</f>
        <v>8572206.4092775527</v>
      </c>
      <c r="O107" s="75">
        <f t="shared" ref="O107:O119" si="47">G107+H107-L107-I107</f>
        <v>8283381.838457264</v>
      </c>
    </row>
    <row r="108" spans="1:15" x14ac:dyDescent="0.25">
      <c r="A108" s="78" t="s">
        <v>53</v>
      </c>
      <c r="B108" s="72" t="str">
        <f t="shared" si="41"/>
        <v>Q1/2015</v>
      </c>
      <c r="C108" s="73">
        <f t="shared" si="42"/>
        <v>42005</v>
      </c>
      <c r="D108" s="73">
        <f t="shared" si="42"/>
        <v>42094</v>
      </c>
      <c r="E108" s="72">
        <f t="shared" si="42"/>
        <v>90</v>
      </c>
      <c r="F108" s="74">
        <f t="shared" si="42"/>
        <v>3.2500000000000001E-2</v>
      </c>
      <c r="G108" s="75">
        <f t="shared" ref="G108:G126" si="48">+G38+G66</f>
        <v>8049765.0748093193</v>
      </c>
      <c r="H108" s="75">
        <f t="shared" ref="H108:I119" si="49">+H38+H66</f>
        <v>0</v>
      </c>
      <c r="I108" s="99">
        <f t="shared" si="49"/>
        <v>10438.570820289115</v>
      </c>
      <c r="J108" s="76">
        <f t="shared" ref="J108:J115" si="50">+J38</f>
        <v>43976.508283116622</v>
      </c>
      <c r="K108" s="116">
        <f t="shared" si="43"/>
        <v>54415.079103405733</v>
      </c>
      <c r="L108" s="76">
        <f t="shared" si="44"/>
        <v>278386</v>
      </c>
      <c r="M108" s="117">
        <f t="shared" si="45"/>
        <v>332801.0791034057</v>
      </c>
      <c r="N108" s="8">
        <f t="shared" si="46"/>
        <v>8093741.5830924362</v>
      </c>
      <c r="O108" s="75">
        <f t="shared" si="47"/>
        <v>7760940.5039890306</v>
      </c>
    </row>
    <row r="109" spans="1:15" x14ac:dyDescent="0.25">
      <c r="A109" s="78" t="s">
        <v>54</v>
      </c>
      <c r="B109" s="72" t="str">
        <f t="shared" si="41"/>
        <v>Q2/2015</v>
      </c>
      <c r="C109" s="73">
        <f t="shared" si="42"/>
        <v>42095</v>
      </c>
      <c r="D109" s="73">
        <f t="shared" si="42"/>
        <v>42185</v>
      </c>
      <c r="E109" s="72">
        <f t="shared" si="42"/>
        <v>91</v>
      </c>
      <c r="F109" s="74">
        <f t="shared" si="42"/>
        <v>3.2500000000000001E-2</v>
      </c>
      <c r="G109" s="75">
        <f t="shared" si="48"/>
        <v>7760940.5039890306</v>
      </c>
      <c r="H109" s="75">
        <f t="shared" si="49"/>
        <v>0</v>
      </c>
      <c r="I109" s="99">
        <f t="shared" si="49"/>
        <v>10438.570820289115</v>
      </c>
      <c r="J109" s="76">
        <f t="shared" si="50"/>
        <v>42124.865829090668</v>
      </c>
      <c r="K109" s="116">
        <f t="shared" si="43"/>
        <v>52563.436649379786</v>
      </c>
      <c r="L109" s="76">
        <f t="shared" si="44"/>
        <v>278386</v>
      </c>
      <c r="M109" s="117">
        <f t="shared" si="45"/>
        <v>330949.43664937979</v>
      </c>
      <c r="N109" s="8">
        <f t="shared" si="46"/>
        <v>7803065.3698181212</v>
      </c>
      <c r="O109" s="75">
        <f t="shared" si="47"/>
        <v>7472115.9331687419</v>
      </c>
    </row>
    <row r="110" spans="1:15" x14ac:dyDescent="0.25">
      <c r="A110" s="78" t="s">
        <v>55</v>
      </c>
      <c r="B110" s="72" t="str">
        <f t="shared" si="41"/>
        <v>Q3/2015</v>
      </c>
      <c r="C110" s="73">
        <f t="shared" si="42"/>
        <v>42186</v>
      </c>
      <c r="D110" s="73">
        <f t="shared" si="42"/>
        <v>42277</v>
      </c>
      <c r="E110" s="72">
        <f t="shared" si="42"/>
        <v>92</v>
      </c>
      <c r="F110" s="74">
        <f t="shared" si="42"/>
        <v>3.2500000000000001E-2</v>
      </c>
      <c r="G110" s="75">
        <f t="shared" si="48"/>
        <v>7472115.9331687419</v>
      </c>
      <c r="H110" s="75">
        <f t="shared" si="49"/>
        <v>0</v>
      </c>
      <c r="I110" s="99">
        <f t="shared" si="49"/>
        <v>10438.570820289115</v>
      </c>
      <c r="J110" s="76">
        <f t="shared" si="50"/>
        <v>40221.788862452871</v>
      </c>
      <c r="K110" s="116">
        <f t="shared" si="43"/>
        <v>50660.359682741982</v>
      </c>
      <c r="L110" s="76">
        <f t="shared" si="44"/>
        <v>278386</v>
      </c>
      <c r="M110" s="117">
        <f t="shared" si="45"/>
        <v>329046.35968274198</v>
      </c>
      <c r="N110" s="8">
        <f t="shared" si="46"/>
        <v>7512337.7220311947</v>
      </c>
      <c r="O110" s="75">
        <f t="shared" si="47"/>
        <v>7183291.3623484531</v>
      </c>
    </row>
    <row r="111" spans="1:15" x14ac:dyDescent="0.25">
      <c r="A111" s="78" t="s">
        <v>56</v>
      </c>
      <c r="B111" s="72" t="str">
        <f t="shared" si="41"/>
        <v>Q4/2015</v>
      </c>
      <c r="C111" s="73">
        <f t="shared" si="42"/>
        <v>42278</v>
      </c>
      <c r="D111" s="73">
        <f t="shared" si="42"/>
        <v>42369</v>
      </c>
      <c r="E111" s="72">
        <f t="shared" si="42"/>
        <v>92</v>
      </c>
      <c r="F111" s="74">
        <f t="shared" si="42"/>
        <v>3.2500000000000001E-2</v>
      </c>
      <c r="G111" s="75">
        <f t="shared" si="48"/>
        <v>7183291.3623484531</v>
      </c>
      <c r="H111" s="75">
        <f t="shared" si="49"/>
        <v>0</v>
      </c>
      <c r="I111" s="99">
        <f t="shared" si="49"/>
        <v>10438.570820289115</v>
      </c>
      <c r="J111" s="76">
        <f t="shared" si="50"/>
        <v>37855.801282308596</v>
      </c>
      <c r="K111" s="116">
        <f t="shared" si="43"/>
        <v>48294.372102597714</v>
      </c>
      <c r="L111" s="76">
        <f t="shared" si="44"/>
        <v>278386</v>
      </c>
      <c r="M111" s="117">
        <f t="shared" si="45"/>
        <v>326680.37210259773</v>
      </c>
      <c r="N111" s="8">
        <f t="shared" si="46"/>
        <v>7221147.1636307621</v>
      </c>
      <c r="O111" s="75">
        <f t="shared" si="47"/>
        <v>6894466.7915281644</v>
      </c>
    </row>
    <row r="112" spans="1:15" x14ac:dyDescent="0.25">
      <c r="A112" s="78" t="s">
        <v>57</v>
      </c>
      <c r="B112" s="72" t="str">
        <f t="shared" si="41"/>
        <v>Q1/2016</v>
      </c>
      <c r="C112" s="73">
        <f t="shared" si="42"/>
        <v>42370</v>
      </c>
      <c r="D112" s="73">
        <f t="shared" si="42"/>
        <v>42460</v>
      </c>
      <c r="E112" s="72">
        <f t="shared" si="42"/>
        <v>91</v>
      </c>
      <c r="F112" s="74">
        <f t="shared" si="42"/>
        <v>3.2500000000000001E-2</v>
      </c>
      <c r="G112" s="75">
        <f t="shared" si="48"/>
        <v>6894466.7915281644</v>
      </c>
      <c r="H112" s="75">
        <f t="shared" si="49"/>
        <v>0</v>
      </c>
      <c r="I112" s="99">
        <f t="shared" si="49"/>
        <v>10438.570820289115</v>
      </c>
      <c r="J112" s="76">
        <f t="shared" si="50"/>
        <v>35008.142139385469</v>
      </c>
      <c r="K112" s="116">
        <f t="shared" si="43"/>
        <v>45446.71295967458</v>
      </c>
      <c r="L112" s="76">
        <f t="shared" si="44"/>
        <v>278386</v>
      </c>
      <c r="M112" s="117">
        <f t="shared" si="45"/>
        <v>323832.71295967459</v>
      </c>
      <c r="N112" s="8">
        <f t="shared" si="46"/>
        <v>6929474.9336675499</v>
      </c>
      <c r="O112" s="75">
        <f t="shared" si="47"/>
        <v>6605642.2207078757</v>
      </c>
    </row>
    <row r="113" spans="1:15" x14ac:dyDescent="0.25">
      <c r="A113" s="78" t="s">
        <v>58</v>
      </c>
      <c r="B113" s="72" t="str">
        <f t="shared" si="41"/>
        <v>Q2/2016</v>
      </c>
      <c r="C113" s="73">
        <f t="shared" si="42"/>
        <v>42461</v>
      </c>
      <c r="D113" s="73">
        <f t="shared" si="42"/>
        <v>42551</v>
      </c>
      <c r="E113" s="72">
        <f t="shared" si="42"/>
        <v>91</v>
      </c>
      <c r="F113" s="74">
        <f t="shared" si="42"/>
        <v>3.4599999999999999E-2</v>
      </c>
      <c r="G113" s="75">
        <f t="shared" si="48"/>
        <v>6605642.2207078747</v>
      </c>
      <c r="H113" s="75">
        <f t="shared" si="49"/>
        <v>0</v>
      </c>
      <c r="I113" s="99">
        <f t="shared" si="49"/>
        <v>10438.570820289115</v>
      </c>
      <c r="J113" s="76">
        <f t="shared" si="50"/>
        <v>34785.526261165782</v>
      </c>
      <c r="K113" s="116">
        <f t="shared" si="43"/>
        <v>45224.097081454893</v>
      </c>
      <c r="L113" s="76">
        <f t="shared" si="44"/>
        <v>278386</v>
      </c>
      <c r="M113" s="117">
        <f t="shared" si="45"/>
        <v>323610.09708145488</v>
      </c>
      <c r="N113" s="8">
        <f t="shared" si="46"/>
        <v>6640427.7469690405</v>
      </c>
      <c r="O113" s="75">
        <f t="shared" si="47"/>
        <v>6316817.649887586</v>
      </c>
    </row>
    <row r="114" spans="1:15" x14ac:dyDescent="0.25">
      <c r="A114" s="78" t="s">
        <v>59</v>
      </c>
      <c r="B114" s="72" t="str">
        <f t="shared" si="41"/>
        <v>Q3/2016</v>
      </c>
      <c r="C114" s="73">
        <f t="shared" si="42"/>
        <v>42552</v>
      </c>
      <c r="D114" s="73">
        <f t="shared" si="42"/>
        <v>42643</v>
      </c>
      <c r="E114" s="72">
        <f t="shared" si="42"/>
        <v>92</v>
      </c>
      <c r="F114" s="74">
        <f t="shared" si="42"/>
        <v>3.5000000000000003E-2</v>
      </c>
      <c r="G114" s="75">
        <f t="shared" si="48"/>
        <v>6316817.649887586</v>
      </c>
      <c r="H114" s="75">
        <f t="shared" si="49"/>
        <v>0</v>
      </c>
      <c r="I114" s="99">
        <f t="shared" si="49"/>
        <v>10438.570820289115</v>
      </c>
      <c r="J114" s="76">
        <f t="shared" si="50"/>
        <v>33033.323864856036</v>
      </c>
      <c r="K114" s="116">
        <f t="shared" si="43"/>
        <v>43471.894685145147</v>
      </c>
      <c r="L114" s="76">
        <f t="shared" si="44"/>
        <v>278386</v>
      </c>
      <c r="M114" s="117">
        <f t="shared" si="45"/>
        <v>321857.89468514512</v>
      </c>
      <c r="N114" s="8">
        <f t="shared" si="46"/>
        <v>6349850.9737524418</v>
      </c>
      <c r="O114" s="75">
        <f t="shared" si="47"/>
        <v>6027993.0790672973</v>
      </c>
    </row>
    <row r="115" spans="1:15" x14ac:dyDescent="0.25">
      <c r="A115" s="78" t="s">
        <v>60</v>
      </c>
      <c r="B115" s="72" t="str">
        <f t="shared" si="41"/>
        <v>Q4/2016</v>
      </c>
      <c r="C115" s="73">
        <f t="shared" si="42"/>
        <v>42644</v>
      </c>
      <c r="D115" s="73">
        <f t="shared" si="42"/>
        <v>42735</v>
      </c>
      <c r="E115" s="72">
        <f t="shared" si="42"/>
        <v>92</v>
      </c>
      <c r="F115" s="74">
        <f t="shared" si="42"/>
        <v>3.5000000000000003E-2</v>
      </c>
      <c r="G115" s="75">
        <f t="shared" si="48"/>
        <v>6027993.0790672973</v>
      </c>
      <c r="H115" s="75">
        <f t="shared" si="49"/>
        <v>0</v>
      </c>
      <c r="I115" s="99">
        <f t="shared" si="49"/>
        <v>10438.570820289115</v>
      </c>
      <c r="J115" s="76">
        <f t="shared" si="50"/>
        <v>30492.298952174802</v>
      </c>
      <c r="K115" s="116">
        <f t="shared" si="43"/>
        <v>40930.869772463921</v>
      </c>
      <c r="L115" s="76">
        <f t="shared" si="44"/>
        <v>278386</v>
      </c>
      <c r="M115" s="117">
        <f t="shared" si="45"/>
        <v>319316.86977246392</v>
      </c>
      <c r="N115" s="8">
        <f t="shared" si="46"/>
        <v>6058485.3780194717</v>
      </c>
      <c r="O115" s="75">
        <f t="shared" si="47"/>
        <v>5739168.5082470085</v>
      </c>
    </row>
    <row r="116" spans="1:15" x14ac:dyDescent="0.25">
      <c r="A116" s="78" t="s">
        <v>61</v>
      </c>
      <c r="B116" s="72" t="str">
        <f t="shared" si="41"/>
        <v>Q1/2017</v>
      </c>
      <c r="C116" s="73">
        <f t="shared" si="42"/>
        <v>42736</v>
      </c>
      <c r="D116" s="73">
        <f t="shared" si="42"/>
        <v>42825</v>
      </c>
      <c r="E116" s="72">
        <f t="shared" si="42"/>
        <v>90</v>
      </c>
      <c r="F116" s="74">
        <f t="shared" si="42"/>
        <v>3.5000000000000003E-2</v>
      </c>
      <c r="G116" s="75">
        <f t="shared" si="48"/>
        <v>5739168.5082470076</v>
      </c>
      <c r="H116" s="75">
        <f t="shared" si="49"/>
        <v>0</v>
      </c>
      <c r="I116" s="99">
        <f t="shared" si="49"/>
        <v>56737.685432202008</v>
      </c>
      <c r="J116" s="76">
        <f>+J46+SUM(J66:J74)</f>
        <v>220624.07005921903</v>
      </c>
      <c r="K116" s="116">
        <f t="shared" si="43"/>
        <v>277361.75549142103</v>
      </c>
      <c r="L116" s="76">
        <f t="shared" si="44"/>
        <v>1513136</v>
      </c>
      <c r="M116" s="117">
        <f t="shared" si="45"/>
        <v>1790497.7554914211</v>
      </c>
      <c r="N116" s="8">
        <f t="shared" si="46"/>
        <v>5959792.578306227</v>
      </c>
      <c r="O116" s="75">
        <f t="shared" si="47"/>
        <v>4169294.8228148054</v>
      </c>
    </row>
    <row r="117" spans="1:15" x14ac:dyDescent="0.25">
      <c r="A117" s="78" t="s">
        <v>62</v>
      </c>
      <c r="B117" s="72" t="str">
        <f t="shared" si="41"/>
        <v>Q2/2017</v>
      </c>
      <c r="C117" s="73">
        <f t="shared" si="42"/>
        <v>42826</v>
      </c>
      <c r="D117" s="73">
        <f t="shared" si="42"/>
        <v>42916</v>
      </c>
      <c r="E117" s="72">
        <f t="shared" si="42"/>
        <v>91</v>
      </c>
      <c r="F117" s="74">
        <f t="shared" si="42"/>
        <v>3.7100000000000001E-2</v>
      </c>
      <c r="G117" s="75">
        <f t="shared" si="48"/>
        <v>4169294.8228148054</v>
      </c>
      <c r="H117" s="75">
        <f t="shared" si="49"/>
        <v>0</v>
      </c>
      <c r="I117" s="99">
        <f t="shared" si="49"/>
        <v>15068.482281480405</v>
      </c>
      <c r="J117" s="76">
        <f>+J47+J75</f>
        <v>38564.263702205659</v>
      </c>
      <c r="K117" s="116">
        <f t="shared" si="43"/>
        <v>53632.745983686065</v>
      </c>
      <c r="L117" s="76">
        <f t="shared" si="44"/>
        <v>401861</v>
      </c>
      <c r="M117" s="117">
        <f t="shared" si="45"/>
        <v>455493.74598368607</v>
      </c>
      <c r="N117" s="8">
        <f t="shared" si="46"/>
        <v>4207859.0865170108</v>
      </c>
      <c r="O117" s="75">
        <f t="shared" si="47"/>
        <v>3752365.340533325</v>
      </c>
    </row>
    <row r="118" spans="1:15" x14ac:dyDescent="0.25">
      <c r="A118" s="78" t="s">
        <v>63</v>
      </c>
      <c r="B118" s="72" t="str">
        <f t="shared" si="41"/>
        <v>Q3/2017</v>
      </c>
      <c r="C118" s="73">
        <f t="shared" si="42"/>
        <v>42917</v>
      </c>
      <c r="D118" s="73">
        <f t="shared" si="42"/>
        <v>43008</v>
      </c>
      <c r="E118" s="72">
        <f t="shared" si="42"/>
        <v>92</v>
      </c>
      <c r="F118" s="74">
        <f t="shared" si="42"/>
        <v>3.9600000000000003E-2</v>
      </c>
      <c r="G118" s="75">
        <f t="shared" si="48"/>
        <v>3752365.340533325</v>
      </c>
      <c r="H118" s="75">
        <f t="shared" si="49"/>
        <v>0</v>
      </c>
      <c r="I118" s="99">
        <f t="shared" si="49"/>
        <v>15068.482281480405</v>
      </c>
      <c r="J118" s="76">
        <f>+J48+J76</f>
        <v>37453.746325016473</v>
      </c>
      <c r="K118" s="116">
        <f t="shared" si="43"/>
        <v>52522.228606496879</v>
      </c>
      <c r="L118" s="76">
        <f t="shared" si="44"/>
        <v>401861</v>
      </c>
      <c r="M118" s="117">
        <f t="shared" si="45"/>
        <v>454383.22860649688</v>
      </c>
      <c r="N118" s="8">
        <f t="shared" si="46"/>
        <v>3789819.0868583415</v>
      </c>
      <c r="O118" s="75">
        <f t="shared" si="47"/>
        <v>3335435.8582518445</v>
      </c>
    </row>
    <row r="119" spans="1:15" x14ac:dyDescent="0.25">
      <c r="A119" s="78" t="s">
        <v>64</v>
      </c>
      <c r="B119" s="72" t="str">
        <f t="shared" si="41"/>
        <v>Q4/2017</v>
      </c>
      <c r="C119" s="73">
        <f t="shared" si="42"/>
        <v>43009</v>
      </c>
      <c r="D119" s="73">
        <f t="shared" si="42"/>
        <v>43100</v>
      </c>
      <c r="E119" s="72">
        <f t="shared" si="42"/>
        <v>92</v>
      </c>
      <c r="F119" s="74">
        <f t="shared" si="42"/>
        <v>4.2099999999999999E-2</v>
      </c>
      <c r="G119" s="75">
        <f t="shared" si="48"/>
        <v>3335435.8582518445</v>
      </c>
      <c r="H119" s="75">
        <f t="shared" si="49"/>
        <v>0</v>
      </c>
      <c r="I119" s="99">
        <f t="shared" si="49"/>
        <v>15068.482281480405</v>
      </c>
      <c r="J119" s="76">
        <f>+J49+J77</f>
        <v>35394.00045529053</v>
      </c>
      <c r="K119" s="116">
        <f t="shared" si="43"/>
        <v>50462.482736770937</v>
      </c>
      <c r="L119" s="76">
        <f t="shared" si="44"/>
        <v>401861</v>
      </c>
      <c r="M119" s="117">
        <f t="shared" si="45"/>
        <v>452323.48273677094</v>
      </c>
      <c r="N119" s="8">
        <f t="shared" si="46"/>
        <v>3370829.8587071351</v>
      </c>
      <c r="O119" s="75">
        <f t="shared" si="47"/>
        <v>2918506.3759703641</v>
      </c>
    </row>
    <row r="120" spans="1:15" x14ac:dyDescent="0.25">
      <c r="A120" s="78" t="s">
        <v>65</v>
      </c>
      <c r="B120" s="72" t="str">
        <f t="shared" si="41"/>
        <v>Q1/2018</v>
      </c>
      <c r="C120" s="73">
        <f t="shared" si="42"/>
        <v>43101</v>
      </c>
      <c r="D120" s="73">
        <f t="shared" si="42"/>
        <v>43190</v>
      </c>
      <c r="E120" s="72">
        <f t="shared" si="42"/>
        <v>90</v>
      </c>
      <c r="F120" s="74">
        <f t="shared" si="42"/>
        <v>4.2500000000000003E-2</v>
      </c>
      <c r="G120" s="75">
        <f t="shared" si="48"/>
        <v>2918506.3759703641</v>
      </c>
      <c r="H120" s="75">
        <f t="shared" ref="H120:H126" si="51">+H50+H78</f>
        <v>0</v>
      </c>
      <c r="I120" s="99">
        <f t="shared" ref="I120:I126" si="52">+I50+I78+I96</f>
        <v>15068.482281480405</v>
      </c>
      <c r="J120" s="76">
        <f t="shared" ref="J120:L126" si="53">+J50+J78+J96</f>
        <v>30584.347638593543</v>
      </c>
      <c r="K120" s="116">
        <f t="shared" si="43"/>
        <v>45652.829920073949</v>
      </c>
      <c r="L120" s="76">
        <f t="shared" si="53"/>
        <v>401861</v>
      </c>
      <c r="M120" s="117">
        <f t="shared" si="45"/>
        <v>447513.82992007397</v>
      </c>
      <c r="N120" s="8">
        <f t="shared" ref="N120:O126" si="54">+N50+N78+N96</f>
        <v>7850712.0766657973</v>
      </c>
      <c r="O120" s="75">
        <f t="shared" si="54"/>
        <v>7403198.2467457233</v>
      </c>
    </row>
    <row r="121" spans="1:15" x14ac:dyDescent="0.25">
      <c r="A121" s="78" t="s">
        <v>66</v>
      </c>
      <c r="B121" s="72" t="str">
        <f t="shared" si="41"/>
        <v>Q2/2018</v>
      </c>
      <c r="C121" s="73">
        <f t="shared" si="42"/>
        <v>43191</v>
      </c>
      <c r="D121" s="73">
        <f t="shared" si="42"/>
        <v>43281</v>
      </c>
      <c r="E121" s="72">
        <f t="shared" si="42"/>
        <v>91</v>
      </c>
      <c r="F121" s="74">
        <f t="shared" si="42"/>
        <v>4.4699999999999997E-2</v>
      </c>
      <c r="G121" s="75">
        <f t="shared" si="48"/>
        <v>2501576.8936888836</v>
      </c>
      <c r="H121" s="75">
        <f t="shared" si="51"/>
        <v>0</v>
      </c>
      <c r="I121" s="99">
        <f t="shared" si="52"/>
        <v>267491.86707411089</v>
      </c>
      <c r="J121" s="76">
        <f t="shared" si="53"/>
        <v>82504.080844623502</v>
      </c>
      <c r="K121" s="116">
        <f t="shared" si="43"/>
        <v>349995.9479187344</v>
      </c>
      <c r="L121" s="76">
        <f t="shared" si="53"/>
        <v>3825653.63</v>
      </c>
      <c r="M121" s="117">
        <f t="shared" si="45"/>
        <v>4175649.5779187344</v>
      </c>
      <c r="N121" s="8">
        <f t="shared" si="54"/>
        <v>7485702.3275903463</v>
      </c>
      <c r="O121" s="75">
        <f t="shared" si="54"/>
        <v>3310052.7496716124</v>
      </c>
    </row>
    <row r="122" spans="1:15" x14ac:dyDescent="0.25">
      <c r="A122" s="78" t="s">
        <v>67</v>
      </c>
      <c r="B122" s="72" t="str">
        <f t="shared" si="41"/>
        <v>Q3/2018</v>
      </c>
      <c r="C122" s="73">
        <f t="shared" si="42"/>
        <v>43282</v>
      </c>
      <c r="D122" s="73">
        <f t="shared" si="42"/>
        <v>43373</v>
      </c>
      <c r="E122" s="72">
        <f t="shared" si="42"/>
        <v>92</v>
      </c>
      <c r="F122" s="74">
        <f t="shared" si="42"/>
        <v>4.6899999999999997E-2</v>
      </c>
      <c r="G122" s="75">
        <f t="shared" si="48"/>
        <v>2084647.4114074032</v>
      </c>
      <c r="H122" s="75">
        <f t="shared" si="51"/>
        <v>0</v>
      </c>
      <c r="I122" s="99">
        <f t="shared" si="52"/>
        <v>31896.70793432244</v>
      </c>
      <c r="J122" s="76">
        <f t="shared" si="53"/>
        <v>39129.357819953628</v>
      </c>
      <c r="K122" s="116">
        <f t="shared" si="43"/>
        <v>71026.06575427606</v>
      </c>
      <c r="L122" s="76">
        <f t="shared" si="53"/>
        <v>630113.84199999995</v>
      </c>
      <c r="M122" s="117">
        <f t="shared" si="45"/>
        <v>701139.90775427595</v>
      </c>
      <c r="N122" s="8">
        <f t="shared" si="54"/>
        <v>3349182.1074915659</v>
      </c>
      <c r="O122" s="75">
        <f t="shared" si="54"/>
        <v>2648042.1997372899</v>
      </c>
    </row>
    <row r="123" spans="1:15" x14ac:dyDescent="0.25">
      <c r="A123" s="78" t="s">
        <v>68</v>
      </c>
      <c r="B123" s="72" t="str">
        <f t="shared" si="41"/>
        <v>Q4/2018</v>
      </c>
      <c r="C123" s="73">
        <f t="shared" si="42"/>
        <v>43374</v>
      </c>
      <c r="D123" s="73">
        <f t="shared" si="42"/>
        <v>43465</v>
      </c>
      <c r="E123" s="72">
        <f t="shared" si="42"/>
        <v>92</v>
      </c>
      <c r="F123" s="74">
        <f t="shared" si="42"/>
        <v>4.9599999999999998E-2</v>
      </c>
      <c r="G123" s="75">
        <f t="shared" si="48"/>
        <v>1667717.9291259227</v>
      </c>
      <c r="H123" s="75">
        <f t="shared" si="51"/>
        <v>0</v>
      </c>
      <c r="I123" s="99">
        <f t="shared" si="52"/>
        <v>31896.70793432244</v>
      </c>
      <c r="J123" s="76">
        <f t="shared" si="53"/>
        <v>33105.605933811508</v>
      </c>
      <c r="K123" s="116">
        <f t="shared" si="43"/>
        <v>65002.313868133948</v>
      </c>
      <c r="L123" s="76">
        <f t="shared" si="53"/>
        <v>630113.84199999995</v>
      </c>
      <c r="M123" s="117">
        <f t="shared" si="45"/>
        <v>695116.15586813388</v>
      </c>
      <c r="N123" s="8">
        <f t="shared" si="54"/>
        <v>2681147.8056711014</v>
      </c>
      <c r="O123" s="75">
        <f t="shared" si="54"/>
        <v>1986031.6498029674</v>
      </c>
    </row>
    <row r="124" spans="1:15" x14ac:dyDescent="0.25">
      <c r="A124" s="78" t="s">
        <v>69</v>
      </c>
      <c r="B124" s="72" t="str">
        <f t="shared" si="41"/>
        <v>Q1/2019</v>
      </c>
      <c r="C124" s="73">
        <f t="shared" si="42"/>
        <v>43466</v>
      </c>
      <c r="D124" s="73">
        <f t="shared" si="42"/>
        <v>43555</v>
      </c>
      <c r="E124" s="72">
        <f t="shared" si="42"/>
        <v>90</v>
      </c>
      <c r="F124" s="74">
        <f t="shared" si="42"/>
        <v>5.1799999999999999E-2</v>
      </c>
      <c r="G124" s="75">
        <f t="shared" si="48"/>
        <v>1250788.4468444423</v>
      </c>
      <c r="H124" s="75">
        <f t="shared" si="51"/>
        <v>0</v>
      </c>
      <c r="I124" s="99">
        <f t="shared" si="52"/>
        <v>31896.70793432244</v>
      </c>
      <c r="J124" s="76">
        <f t="shared" si="53"/>
        <v>25366.793291455979</v>
      </c>
      <c r="K124" s="116">
        <f t="shared" si="43"/>
        <v>57263.501225778418</v>
      </c>
      <c r="L124" s="76">
        <f t="shared" si="53"/>
        <v>630113.84199999995</v>
      </c>
      <c r="M124" s="117">
        <f t="shared" si="45"/>
        <v>687377.34322577831</v>
      </c>
      <c r="N124" s="8">
        <f t="shared" si="54"/>
        <v>2011398.4430944235</v>
      </c>
      <c r="O124" s="75">
        <f t="shared" si="54"/>
        <v>1324021.099868645</v>
      </c>
    </row>
    <row r="125" spans="1:15" x14ac:dyDescent="0.25">
      <c r="A125" s="78" t="s">
        <v>70</v>
      </c>
      <c r="B125" s="72" t="str">
        <f t="shared" si="41"/>
        <v>Q2/2019</v>
      </c>
      <c r="C125" s="73">
        <f t="shared" si="42"/>
        <v>43556</v>
      </c>
      <c r="D125" s="73">
        <f t="shared" si="42"/>
        <v>43646</v>
      </c>
      <c r="E125" s="72">
        <f t="shared" si="42"/>
        <v>91</v>
      </c>
      <c r="F125" s="74">
        <f t="shared" si="42"/>
        <v>5.45E-2</v>
      </c>
      <c r="G125" s="75">
        <f t="shared" si="48"/>
        <v>833858.96456296195</v>
      </c>
      <c r="H125" s="75">
        <f t="shared" si="51"/>
        <v>0</v>
      </c>
      <c r="I125" s="99">
        <f t="shared" si="52"/>
        <v>31896.70793432244</v>
      </c>
      <c r="J125" s="76">
        <f t="shared" si="53"/>
        <v>17990.363410406972</v>
      </c>
      <c r="K125" s="116">
        <f t="shared" si="43"/>
        <v>49887.071344729411</v>
      </c>
      <c r="L125" s="76">
        <f t="shared" si="53"/>
        <v>630113.84199999995</v>
      </c>
      <c r="M125" s="117">
        <f t="shared" si="45"/>
        <v>680000.91334472934</v>
      </c>
      <c r="N125" s="8">
        <f t="shared" si="54"/>
        <v>1342011.4632790522</v>
      </c>
      <c r="O125" s="75">
        <f t="shared" si="54"/>
        <v>662010.5499343226</v>
      </c>
    </row>
    <row r="126" spans="1:15" x14ac:dyDescent="0.25">
      <c r="A126" s="78" t="s">
        <v>71</v>
      </c>
      <c r="B126" s="72" t="str">
        <f t="shared" si="41"/>
        <v>Q3/2019</v>
      </c>
      <c r="C126" s="73">
        <f t="shared" si="42"/>
        <v>43647</v>
      </c>
      <c r="D126" s="73">
        <f t="shared" si="42"/>
        <v>43738</v>
      </c>
      <c r="E126" s="72">
        <f t="shared" si="42"/>
        <v>92</v>
      </c>
      <c r="F126" s="74">
        <f t="shared" si="42"/>
        <v>5.5E-2</v>
      </c>
      <c r="G126" s="75">
        <f t="shared" si="48"/>
        <v>416929.4822814815</v>
      </c>
      <c r="H126" s="75">
        <f t="shared" si="51"/>
        <v>0</v>
      </c>
      <c r="I126" s="99">
        <f t="shared" si="52"/>
        <v>31896.70793432244</v>
      </c>
      <c r="J126" s="76">
        <f t="shared" si="53"/>
        <v>9177.4613223771848</v>
      </c>
      <c r="K126" s="116">
        <f t="shared" si="43"/>
        <v>41074.169256699621</v>
      </c>
      <c r="L126" s="76">
        <f t="shared" si="53"/>
        <v>630113.84199999995</v>
      </c>
      <c r="M126" s="117">
        <f t="shared" si="45"/>
        <v>671188.01125669957</v>
      </c>
      <c r="N126" s="8">
        <f t="shared" si="54"/>
        <v>671188.01125669968</v>
      </c>
      <c r="O126" s="75">
        <f t="shared" si="54"/>
        <v>1.4006218407303095E-10</v>
      </c>
    </row>
    <row r="127" spans="1:15" x14ac:dyDescent="0.25">
      <c r="A127" s="11"/>
      <c r="B127" s="79"/>
      <c r="C127" s="79"/>
      <c r="D127" s="10"/>
      <c r="E127" s="11"/>
      <c r="F127" s="76"/>
      <c r="G127" s="76"/>
      <c r="H127" s="58"/>
      <c r="I127" s="101"/>
      <c r="J127" s="12"/>
      <c r="K127" s="76"/>
      <c r="L127" s="103"/>
      <c r="M127" s="118"/>
    </row>
    <row r="128" spans="1:15" ht="13.5" thickBot="1" x14ac:dyDescent="0.35">
      <c r="A128" s="142"/>
      <c r="B128" s="142"/>
      <c r="C128" s="142"/>
      <c r="D128" s="142"/>
      <c r="E128" s="142"/>
      <c r="F128" s="142"/>
      <c r="G128" s="65">
        <f t="shared" ref="G128:O128" si="55">+SUM(G107:G127)</f>
        <v>93252159.41288285</v>
      </c>
      <c r="H128" s="65">
        <f t="shared" si="55"/>
        <v>301369.64562960807</v>
      </c>
      <c r="I128" s="104">
        <f t="shared" si="55"/>
        <v>637934.15868644859</v>
      </c>
      <c r="J128" s="65">
        <f t="shared" si="55"/>
        <v>867392.34627750481</v>
      </c>
      <c r="K128" s="65">
        <f>+SUM(K107:K127)</f>
        <v>1505326.504963954</v>
      </c>
      <c r="L128" s="65">
        <f t="shared" si="55"/>
        <v>12602276.84</v>
      </c>
      <c r="M128" s="105">
        <f t="shared" si="55"/>
        <v>14107603.344963955</v>
      </c>
      <c r="N128" s="65">
        <f t="shared" si="55"/>
        <v>107900380.12569626</v>
      </c>
      <c r="O128" s="65">
        <f t="shared" si="55"/>
        <v>93792776.780732319</v>
      </c>
    </row>
    <row r="129" spans="7:15" ht="13" thickTop="1" x14ac:dyDescent="0.25">
      <c r="G129" s="8"/>
      <c r="H129" s="8"/>
      <c r="I129" s="8"/>
      <c r="J129" s="8"/>
      <c r="K129" s="8"/>
      <c r="L129" s="8"/>
      <c r="M129" s="8"/>
      <c r="N129" s="8"/>
      <c r="O129" s="8"/>
    </row>
    <row r="130" spans="7:15" x14ac:dyDescent="0.25">
      <c r="G130" s="8"/>
      <c r="H130" s="8"/>
      <c r="I130" s="8"/>
      <c r="J130" s="8"/>
      <c r="K130" s="8"/>
      <c r="L130" s="8"/>
      <c r="M130" s="8"/>
      <c r="N130" s="8"/>
      <c r="O130" s="8"/>
    </row>
    <row r="132" spans="7:15" x14ac:dyDescent="0.25">
      <c r="L132" s="8"/>
    </row>
  </sheetData>
  <mergeCells count="1">
    <mergeCell ref="A33:B36"/>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rowBreaks count="3" manualBreakCount="3">
    <brk id="58" max="14" man="1"/>
    <brk id="87" max="14" man="1"/>
    <brk id="127"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55"/>
  <sheetViews>
    <sheetView view="pageLayout" zoomScale="40" zoomScaleNormal="60" zoomScalePageLayoutView="40" workbookViewId="0"/>
  </sheetViews>
  <sheetFormatPr defaultColWidth="9.1796875" defaultRowHeight="12.5" outlineLevelRow="1" x14ac:dyDescent="0.25"/>
  <cols>
    <col min="1" max="1" width="10.26953125" style="47" customWidth="1"/>
    <col min="2" max="2" width="13.54296875" style="47" customWidth="1"/>
    <col min="3" max="3" width="15.81640625" style="47" customWidth="1"/>
    <col min="4" max="4" width="52.453125" style="47" bestFit="1" customWidth="1"/>
    <col min="5" max="5" width="12.453125" style="47" customWidth="1"/>
    <col min="6" max="6" width="15.453125" style="47" bestFit="1" customWidth="1"/>
    <col min="7" max="7" width="17" style="47" bestFit="1" customWidth="1"/>
    <col min="8"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bestFit="1"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139</v>
      </c>
      <c r="E1" s="211" t="s">
        <v>1</v>
      </c>
      <c r="F1" s="212" t="s">
        <v>72</v>
      </c>
      <c r="G1" s="212" t="s">
        <v>47</v>
      </c>
      <c r="H1"/>
      <c r="I1"/>
      <c r="J1"/>
      <c r="K1"/>
      <c r="L1"/>
      <c r="M1"/>
    </row>
    <row r="2" spans="1:13" ht="12.75" customHeight="1" outlineLevel="1" x14ac:dyDescent="0.25">
      <c r="A2" s="216" t="s">
        <v>52</v>
      </c>
      <c r="B2" s="49">
        <v>40817</v>
      </c>
      <c r="C2" s="43">
        <v>0</v>
      </c>
      <c r="D2" s="43">
        <v>0</v>
      </c>
      <c r="E2" s="43">
        <v>0</v>
      </c>
      <c r="F2" s="43">
        <v>0</v>
      </c>
      <c r="G2" s="7">
        <f t="shared" ref="G2:G21" si="0">SUM(C2:F2)</f>
        <v>0</v>
      </c>
      <c r="H2"/>
      <c r="I2"/>
      <c r="J2"/>
      <c r="K2"/>
      <c r="L2"/>
      <c r="M2"/>
    </row>
    <row r="3" spans="1:13" ht="12.75" customHeight="1" outlineLevel="1" x14ac:dyDescent="0.25">
      <c r="A3" s="216" t="s">
        <v>53</v>
      </c>
      <c r="B3" s="49">
        <v>40909</v>
      </c>
      <c r="C3" s="43">
        <v>0</v>
      </c>
      <c r="D3" s="43">
        <v>0</v>
      </c>
      <c r="E3" s="43">
        <v>0</v>
      </c>
      <c r="F3" s="43">
        <v>0</v>
      </c>
      <c r="G3" s="7">
        <f t="shared" si="0"/>
        <v>0</v>
      </c>
      <c r="H3"/>
      <c r="I3"/>
      <c r="J3"/>
      <c r="K3"/>
      <c r="L3"/>
      <c r="M3"/>
    </row>
    <row r="4" spans="1:13" outlineLevel="1" collapsed="1" x14ac:dyDescent="0.25">
      <c r="A4" s="216" t="s">
        <v>54</v>
      </c>
      <c r="B4" s="49">
        <v>41000</v>
      </c>
      <c r="C4" s="43">
        <v>0</v>
      </c>
      <c r="D4" s="43">
        <v>0</v>
      </c>
      <c r="E4" s="43">
        <v>0</v>
      </c>
      <c r="F4" s="43">
        <v>0</v>
      </c>
      <c r="G4" s="7">
        <f t="shared" si="0"/>
        <v>0</v>
      </c>
      <c r="H4"/>
      <c r="I4"/>
      <c r="J4"/>
      <c r="K4"/>
      <c r="L4"/>
      <c r="M4"/>
    </row>
    <row r="5" spans="1:13" outlineLevel="1" x14ac:dyDescent="0.25">
      <c r="A5" s="216" t="s">
        <v>55</v>
      </c>
      <c r="B5" s="49">
        <v>41091</v>
      </c>
      <c r="C5" s="43">
        <v>0</v>
      </c>
      <c r="D5" s="43">
        <v>0</v>
      </c>
      <c r="E5" s="43">
        <v>0</v>
      </c>
      <c r="F5" s="43">
        <v>0</v>
      </c>
      <c r="G5" s="7">
        <f t="shared" si="0"/>
        <v>0</v>
      </c>
      <c r="H5"/>
      <c r="I5"/>
      <c r="J5"/>
      <c r="K5"/>
      <c r="L5"/>
      <c r="M5"/>
    </row>
    <row r="6" spans="1:13" ht="12.75" customHeight="1" outlineLevel="1" x14ac:dyDescent="0.25">
      <c r="A6" s="216" t="s">
        <v>56</v>
      </c>
      <c r="B6" s="49">
        <v>41183</v>
      </c>
      <c r="C6" s="43">
        <v>306000</v>
      </c>
      <c r="D6" s="43">
        <v>24000</v>
      </c>
      <c r="E6" s="43">
        <v>0</v>
      </c>
      <c r="F6" s="43">
        <v>0</v>
      </c>
      <c r="G6" s="7">
        <f t="shared" si="0"/>
        <v>330000</v>
      </c>
      <c r="H6"/>
      <c r="I6"/>
      <c r="J6"/>
      <c r="K6"/>
      <c r="L6"/>
      <c r="M6"/>
    </row>
    <row r="7" spans="1:13" outlineLevel="1" x14ac:dyDescent="0.25">
      <c r="A7" s="216" t="s">
        <v>57</v>
      </c>
      <c r="B7" s="49">
        <v>41275</v>
      </c>
      <c r="C7" s="43">
        <v>312000</v>
      </c>
      <c r="D7" s="43">
        <v>24000</v>
      </c>
      <c r="E7" s="43">
        <v>0</v>
      </c>
      <c r="F7" s="43">
        <v>0</v>
      </c>
      <c r="G7" s="7">
        <f t="shared" si="0"/>
        <v>336000</v>
      </c>
      <c r="H7"/>
      <c r="I7"/>
      <c r="J7"/>
      <c r="K7"/>
      <c r="L7"/>
      <c r="M7"/>
    </row>
    <row r="8" spans="1:13" outlineLevel="1" x14ac:dyDescent="0.25">
      <c r="A8" s="216" t="s">
        <v>58</v>
      </c>
      <c r="B8" s="49">
        <v>41365</v>
      </c>
      <c r="C8" s="43">
        <v>315000</v>
      </c>
      <c r="D8" s="43">
        <v>24000</v>
      </c>
      <c r="E8" s="43">
        <v>0</v>
      </c>
      <c r="F8" s="43">
        <v>0</v>
      </c>
      <c r="G8" s="7">
        <f t="shared" si="0"/>
        <v>339000</v>
      </c>
      <c r="H8"/>
      <c r="I8"/>
      <c r="J8"/>
      <c r="K8"/>
      <c r="L8"/>
      <c r="M8"/>
    </row>
    <row r="9" spans="1:13" outlineLevel="1" x14ac:dyDescent="0.25">
      <c r="A9" s="216" t="s">
        <v>59</v>
      </c>
      <c r="B9" s="49">
        <v>41456</v>
      </c>
      <c r="C9" s="43">
        <v>315000</v>
      </c>
      <c r="D9" s="43">
        <v>24000</v>
      </c>
      <c r="E9" s="43">
        <v>0</v>
      </c>
      <c r="F9" s="43">
        <v>0</v>
      </c>
      <c r="G9" s="7">
        <f t="shared" si="0"/>
        <v>339000</v>
      </c>
      <c r="H9"/>
      <c r="I9"/>
      <c r="J9"/>
      <c r="K9"/>
      <c r="L9"/>
      <c r="M9"/>
    </row>
    <row r="10" spans="1:13" outlineLevel="1" x14ac:dyDescent="0.25">
      <c r="A10" s="216" t="s">
        <v>60</v>
      </c>
      <c r="B10" s="49">
        <v>41548</v>
      </c>
      <c r="C10" s="43">
        <v>431000</v>
      </c>
      <c r="D10" s="43">
        <v>34000</v>
      </c>
      <c r="E10" s="43">
        <v>0</v>
      </c>
      <c r="F10" s="43">
        <v>0</v>
      </c>
      <c r="G10" s="7">
        <f t="shared" si="0"/>
        <v>465000</v>
      </c>
      <c r="H10"/>
      <c r="I10"/>
      <c r="J10"/>
      <c r="K10"/>
      <c r="L10"/>
      <c r="M10"/>
    </row>
    <row r="11" spans="1:13" outlineLevel="1" x14ac:dyDescent="0.25">
      <c r="A11" s="216" t="s">
        <v>61</v>
      </c>
      <c r="B11" s="49">
        <v>41640</v>
      </c>
      <c r="C11" s="43">
        <v>1184000</v>
      </c>
      <c r="D11" s="43">
        <v>95000</v>
      </c>
      <c r="E11" s="43">
        <v>0</v>
      </c>
      <c r="F11" s="43">
        <v>0</v>
      </c>
      <c r="G11" s="7">
        <f t="shared" si="0"/>
        <v>1279000</v>
      </c>
      <c r="H11"/>
      <c r="I11"/>
      <c r="J11"/>
      <c r="K11"/>
      <c r="L11"/>
      <c r="M11"/>
    </row>
    <row r="12" spans="1:13" outlineLevel="1" collapsed="1" x14ac:dyDescent="0.25">
      <c r="A12" s="216" t="s">
        <v>62</v>
      </c>
      <c r="B12" s="49">
        <v>41730</v>
      </c>
      <c r="C12" s="43">
        <v>2040000</v>
      </c>
      <c r="D12" s="43">
        <v>166000</v>
      </c>
      <c r="E12" s="43">
        <v>0</v>
      </c>
      <c r="F12" s="43">
        <v>0</v>
      </c>
      <c r="G12" s="7">
        <f t="shared" si="0"/>
        <v>2206000</v>
      </c>
      <c r="H12"/>
      <c r="I12"/>
      <c r="J12"/>
      <c r="K12"/>
      <c r="L12"/>
      <c r="M12"/>
    </row>
    <row r="13" spans="1:13" outlineLevel="1" x14ac:dyDescent="0.25">
      <c r="A13" s="216" t="s">
        <v>63</v>
      </c>
      <c r="B13" s="49">
        <v>41821</v>
      </c>
      <c r="C13" s="43">
        <v>4643000</v>
      </c>
      <c r="D13" s="43">
        <v>378000</v>
      </c>
      <c r="E13" s="43">
        <v>0</v>
      </c>
      <c r="F13" s="43">
        <v>0</v>
      </c>
      <c r="G13" s="7">
        <f t="shared" si="0"/>
        <v>5021000</v>
      </c>
      <c r="H13"/>
      <c r="I13"/>
      <c r="J13"/>
      <c r="K13"/>
      <c r="L13"/>
      <c r="M13"/>
    </row>
    <row r="14" spans="1:13" outlineLevel="1" x14ac:dyDescent="0.25">
      <c r="A14" s="216" t="s">
        <v>64</v>
      </c>
      <c r="B14" s="49">
        <v>41913</v>
      </c>
      <c r="C14" s="43">
        <v>11247000</v>
      </c>
      <c r="D14" s="43">
        <v>914000</v>
      </c>
      <c r="E14" s="43">
        <v>0</v>
      </c>
      <c r="F14" s="43">
        <v>0</v>
      </c>
      <c r="G14" s="7">
        <f t="shared" si="0"/>
        <v>12161000</v>
      </c>
      <c r="H14"/>
      <c r="I14"/>
      <c r="J14"/>
      <c r="K14"/>
      <c r="L14"/>
      <c r="M14"/>
    </row>
    <row r="15" spans="1:13" outlineLevel="1" x14ac:dyDescent="0.25">
      <c r="A15" s="216" t="s">
        <v>65</v>
      </c>
      <c r="B15" s="49">
        <v>42005</v>
      </c>
      <c r="C15" s="43">
        <v>5149000</v>
      </c>
      <c r="D15" s="43">
        <v>417000</v>
      </c>
      <c r="E15" s="43">
        <v>0</v>
      </c>
      <c r="F15" s="43">
        <v>0</v>
      </c>
      <c r="G15" s="7">
        <f t="shared" si="0"/>
        <v>5566000</v>
      </c>
      <c r="H15"/>
      <c r="I15"/>
      <c r="J15"/>
      <c r="K15"/>
      <c r="L15"/>
      <c r="M15"/>
    </row>
    <row r="16" spans="1:13" outlineLevel="1" x14ac:dyDescent="0.25">
      <c r="A16" s="216" t="s">
        <v>66</v>
      </c>
      <c r="B16" s="49">
        <v>42095</v>
      </c>
      <c r="C16" s="43">
        <v>6718000</v>
      </c>
      <c r="D16" s="43">
        <v>547000</v>
      </c>
      <c r="E16" s="43">
        <v>0</v>
      </c>
      <c r="F16" s="43">
        <v>0</v>
      </c>
      <c r="G16" s="7">
        <f t="shared" si="0"/>
        <v>7265000</v>
      </c>
      <c r="H16"/>
      <c r="I16"/>
      <c r="J16"/>
      <c r="K16"/>
      <c r="L16"/>
      <c r="M16"/>
    </row>
    <row r="17" spans="1:18" outlineLevel="1" x14ac:dyDescent="0.25">
      <c r="A17" s="216" t="s">
        <v>67</v>
      </c>
      <c r="B17" s="49">
        <v>42186</v>
      </c>
      <c r="C17" s="43">
        <v>3082000</v>
      </c>
      <c r="D17" s="43">
        <v>253000</v>
      </c>
      <c r="E17" s="43">
        <v>0</v>
      </c>
      <c r="F17" s="43">
        <v>0</v>
      </c>
      <c r="G17" s="7">
        <f t="shared" si="0"/>
        <v>3335000</v>
      </c>
      <c r="H17"/>
      <c r="I17"/>
      <c r="J17"/>
      <c r="K17"/>
      <c r="L17"/>
      <c r="M17"/>
    </row>
    <row r="18" spans="1:18" outlineLevel="1" x14ac:dyDescent="0.25">
      <c r="A18" s="216" t="s">
        <v>68</v>
      </c>
      <c r="B18" s="49">
        <v>42233</v>
      </c>
      <c r="C18" s="43">
        <v>854000</v>
      </c>
      <c r="D18" s="43">
        <v>0</v>
      </c>
      <c r="E18" s="43">
        <v>0</v>
      </c>
      <c r="F18" s="43">
        <v>0</v>
      </c>
      <c r="G18" s="7">
        <f t="shared" si="0"/>
        <v>854000</v>
      </c>
      <c r="H18"/>
      <c r="I18"/>
      <c r="J18"/>
      <c r="K18"/>
      <c r="L18"/>
      <c r="M18"/>
    </row>
    <row r="19" spans="1:18" outlineLevel="1" x14ac:dyDescent="0.25">
      <c r="A19" s="216" t="s">
        <v>69</v>
      </c>
      <c r="B19" s="50" t="s">
        <v>21</v>
      </c>
      <c r="C19" s="43">
        <v>0</v>
      </c>
      <c r="D19" s="43">
        <v>0</v>
      </c>
      <c r="E19" s="43">
        <v>0</v>
      </c>
      <c r="F19" s="43">
        <v>0</v>
      </c>
      <c r="G19" s="7">
        <f t="shared" si="0"/>
        <v>0</v>
      </c>
      <c r="H19"/>
      <c r="I19"/>
      <c r="J19"/>
      <c r="K19"/>
      <c r="L19"/>
      <c r="M19"/>
    </row>
    <row r="20" spans="1:18" outlineLevel="1" x14ac:dyDescent="0.25">
      <c r="A20" s="216" t="s">
        <v>70</v>
      </c>
      <c r="B20" s="50" t="s">
        <v>21</v>
      </c>
      <c r="C20" s="43">
        <v>0</v>
      </c>
      <c r="D20" s="43">
        <v>0</v>
      </c>
      <c r="E20" s="43">
        <v>0</v>
      </c>
      <c r="F20" s="43">
        <v>0</v>
      </c>
      <c r="G20" s="7">
        <f t="shared" si="0"/>
        <v>0</v>
      </c>
      <c r="H20"/>
      <c r="I20"/>
      <c r="J20"/>
      <c r="K20"/>
      <c r="L20"/>
      <c r="M20"/>
    </row>
    <row r="21" spans="1:18" x14ac:dyDescent="0.25">
      <c r="A21" s="216" t="s">
        <v>71</v>
      </c>
      <c r="B21" s="50" t="s">
        <v>21</v>
      </c>
      <c r="C21" s="43">
        <v>0</v>
      </c>
      <c r="D21" s="43">
        <v>0</v>
      </c>
      <c r="E21" s="43">
        <v>0</v>
      </c>
      <c r="F21" s="43">
        <v>0</v>
      </c>
      <c r="G21" s="7">
        <f t="shared" si="0"/>
        <v>0</v>
      </c>
      <c r="H21"/>
      <c r="I21"/>
      <c r="J21"/>
      <c r="K21"/>
      <c r="L21"/>
      <c r="M21"/>
    </row>
    <row r="22" spans="1:18" ht="13.5" thickBot="1" x14ac:dyDescent="0.35">
      <c r="B22" s="46" t="s">
        <v>0</v>
      </c>
      <c r="C22" s="217">
        <f>SUM(C2:C21)</f>
        <v>36596000</v>
      </c>
      <c r="D22" s="217">
        <f>SUM(D2:D21)</f>
        <v>2900000</v>
      </c>
      <c r="E22" s="217">
        <f>SUM(E2:E21)</f>
        <v>0</v>
      </c>
      <c r="F22" s="217">
        <f>SUM(F2:F21)</f>
        <v>0</v>
      </c>
      <c r="G22" s="217">
        <f>SUM(G2:G21)</f>
        <v>39496000</v>
      </c>
      <c r="H22"/>
      <c r="I22"/>
      <c r="J22"/>
      <c r="K22"/>
      <c r="L22"/>
      <c r="M22"/>
    </row>
    <row r="23" spans="1:18" ht="13.5" thickTop="1" x14ac:dyDescent="0.3">
      <c r="A23" s="48" t="s">
        <v>18</v>
      </c>
      <c r="B23" s="50" t="s">
        <v>21</v>
      </c>
      <c r="C23" s="52">
        <v>0</v>
      </c>
      <c r="D23" s="52">
        <v>0</v>
      </c>
      <c r="E23" s="52">
        <v>0</v>
      </c>
      <c r="F23" s="52">
        <v>0</v>
      </c>
      <c r="G23" s="52">
        <f>SUM(C23:F23)</f>
        <v>0</v>
      </c>
      <c r="H23" s="219"/>
      <c r="I23" s="220" t="s">
        <v>13</v>
      </c>
      <c r="J23" s="220" t="s">
        <v>12</v>
      </c>
      <c r="K23" s="221" t="s">
        <v>20</v>
      </c>
      <c r="L23" s="222"/>
      <c r="M23" s="223"/>
      <c r="Q23" s="224"/>
    </row>
    <row r="24" spans="1:18" ht="29" customHeight="1" x14ac:dyDescent="0.3">
      <c r="A24" s="48" t="s">
        <v>19</v>
      </c>
      <c r="B24" s="50" t="s">
        <v>21</v>
      </c>
      <c r="C24" s="52">
        <v>0</v>
      </c>
      <c r="D24" s="52">
        <v>0</v>
      </c>
      <c r="E24" s="52">
        <v>0</v>
      </c>
      <c r="F24" s="52">
        <v>0</v>
      </c>
      <c r="G24" s="52">
        <f>SUM(C24:F24)</f>
        <v>0</v>
      </c>
      <c r="H24" s="316" t="s">
        <v>10</v>
      </c>
      <c r="I24" s="226">
        <v>42199</v>
      </c>
      <c r="J24" s="227">
        <f>I24</f>
        <v>42199</v>
      </c>
      <c r="K24" s="228"/>
      <c r="L24" s="229"/>
      <c r="M24" s="230"/>
    </row>
    <row r="25" spans="1:18" ht="13.5" thickBot="1" x14ac:dyDescent="0.35">
      <c r="B25" s="46" t="s">
        <v>50</v>
      </c>
      <c r="C25" s="217">
        <f>+SUM(C22:C24)</f>
        <v>36596000</v>
      </c>
      <c r="D25" s="217">
        <f>+SUM(D22:D24)</f>
        <v>2900000</v>
      </c>
      <c r="E25" s="217">
        <f>+SUM(E22:E24)</f>
        <v>0</v>
      </c>
      <c r="F25" s="217">
        <f>+SUM(F22:F24)</f>
        <v>0</v>
      </c>
      <c r="G25" s="217">
        <f>+SUM(G22:G24)</f>
        <v>39496000</v>
      </c>
      <c r="H25" s="231" t="s">
        <v>16</v>
      </c>
      <c r="I25" s="232">
        <v>42602</v>
      </c>
      <c r="J25" s="233">
        <v>42612</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57"/>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216" t="s">
        <v>21</v>
      </c>
      <c r="B29" s="241" t="str">
        <f t="shared" ref="B29:B51" si="1">+IF(MONTH(C29)&lt;4,"Q1",IF(MONTH(C29)&lt;7,"Q2",IF(MONTH(C29)&lt;10,"Q3","Q4")))&amp;"/"&amp;YEAR(C29)</f>
        <v>Q3/2015</v>
      </c>
      <c r="C29" s="242">
        <f>+J24</f>
        <v>42199</v>
      </c>
      <c r="D29" s="242">
        <f t="shared" ref="D29:D51" si="2">DATE(YEAR(C29),IF(MONTH(C29)&lt;=3,3,IF(MONTH(C29)&lt;=6,6,IF(MONTH(C29)&lt;=9,9,12))),IF(OR(MONTH(C29)&lt;=3,MONTH(C29)&gt;=10),31,30))</f>
        <v>42277</v>
      </c>
      <c r="E29" s="241">
        <f t="shared" ref="E29:E51" si="3">D29-C29+1</f>
        <v>79</v>
      </c>
      <c r="F29" s="74">
        <f>VLOOKUP(D29,'FERC Interest Rate'!$A:$B,2,TRUE)</f>
        <v>3.2500000000000001E-2</v>
      </c>
      <c r="G29" s="75">
        <f>+G25</f>
        <v>39496000</v>
      </c>
      <c r="H29" s="75">
        <f>G29*F29*(E29/(DATE(YEAR(D29),12,31)-DATE(YEAR(D29),1,1)+1))</f>
        <v>277824.60273972602</v>
      </c>
      <c r="I29" s="99">
        <v>0</v>
      </c>
      <c r="J29" s="57">
        <v>0</v>
      </c>
      <c r="K29" s="243">
        <f t="shared" ref="K29:K48" si="4">+SUM(I29:J29)</f>
        <v>0</v>
      </c>
      <c r="L29" s="57">
        <v>0</v>
      </c>
      <c r="M29" s="244">
        <v>0</v>
      </c>
      <c r="N29" s="52">
        <f t="shared" ref="N29:N51" si="5">+G29+H29+J29</f>
        <v>39773824.602739729</v>
      </c>
      <c r="O29" s="75">
        <f>+N29-M29</f>
        <v>39773824.602739729</v>
      </c>
    </row>
    <row r="30" spans="1:18" x14ac:dyDescent="0.25">
      <c r="A30" s="216" t="s">
        <v>21</v>
      </c>
      <c r="B30" s="241" t="str">
        <f t="shared" si="1"/>
        <v>Q4/2015</v>
      </c>
      <c r="C30" s="242">
        <f t="shared" ref="C30:C51" si="6">D29+1</f>
        <v>42278</v>
      </c>
      <c r="D30" s="242">
        <f t="shared" si="2"/>
        <v>42369</v>
      </c>
      <c r="E30" s="241">
        <f t="shared" si="3"/>
        <v>92</v>
      </c>
      <c r="F30" s="74">
        <f>VLOOKUP(D30,'FERC Interest Rate'!$A:$B,2,TRUE)</f>
        <v>3.2500000000000001E-2</v>
      </c>
      <c r="G30" s="75">
        <f>O29</f>
        <v>39773824.602739729</v>
      </c>
      <c r="H30" s="75">
        <f>G30*F30*(E30/(DATE(YEAR(D30),12,31)-DATE(YEAR(D30),1,1)+1))</f>
        <v>325818.45359504601</v>
      </c>
      <c r="I30" s="99">
        <v>0</v>
      </c>
      <c r="J30" s="57">
        <v>0</v>
      </c>
      <c r="K30" s="243">
        <f t="shared" si="4"/>
        <v>0</v>
      </c>
      <c r="L30" s="57">
        <v>0</v>
      </c>
      <c r="M30" s="244">
        <v>0</v>
      </c>
      <c r="N30" s="52">
        <f t="shared" si="5"/>
        <v>40099643.056334779</v>
      </c>
      <c r="O30" s="75">
        <f t="shared" ref="O30:O51" si="7">+N30-M30</f>
        <v>40099643.056334779</v>
      </c>
    </row>
    <row r="31" spans="1:18" x14ac:dyDescent="0.25">
      <c r="A31" s="216" t="s">
        <v>21</v>
      </c>
      <c r="B31" s="241" t="str">
        <f t="shared" si="1"/>
        <v>Q1/2016</v>
      </c>
      <c r="C31" s="242">
        <f t="shared" si="6"/>
        <v>42370</v>
      </c>
      <c r="D31" s="242">
        <f t="shared" si="2"/>
        <v>42460</v>
      </c>
      <c r="E31" s="241">
        <f t="shared" si="3"/>
        <v>91</v>
      </c>
      <c r="F31" s="74">
        <f>VLOOKUP(D31,'FERC Interest Rate'!$A:$B,2,TRUE)</f>
        <v>3.2500000000000001E-2</v>
      </c>
      <c r="G31" s="75">
        <f>O30</f>
        <v>40099643.056334779</v>
      </c>
      <c r="H31" s="75">
        <f>G31*F31*(E31/(DATE(YEAR(D31),12,31)-DATE(YEAR(D31),1,1)+1))</f>
        <v>324029.2195057653</v>
      </c>
      <c r="I31" s="99">
        <v>0</v>
      </c>
      <c r="J31" s="57">
        <v>0</v>
      </c>
      <c r="K31" s="243">
        <f t="shared" si="4"/>
        <v>0</v>
      </c>
      <c r="L31" s="57">
        <v>0</v>
      </c>
      <c r="M31" s="244">
        <v>0</v>
      </c>
      <c r="N31" s="52">
        <f t="shared" si="5"/>
        <v>40423672.275840543</v>
      </c>
      <c r="O31" s="75">
        <f t="shared" si="7"/>
        <v>40423672.275840543</v>
      </c>
    </row>
    <row r="32" spans="1:18" x14ac:dyDescent="0.25">
      <c r="A32" s="216" t="s">
        <v>21</v>
      </c>
      <c r="B32" s="241" t="str">
        <f t="shared" si="1"/>
        <v>Q2/2016</v>
      </c>
      <c r="C32" s="242">
        <f t="shared" si="6"/>
        <v>42461</v>
      </c>
      <c r="D32" s="242">
        <f t="shared" si="2"/>
        <v>42551</v>
      </c>
      <c r="E32" s="241">
        <f t="shared" si="3"/>
        <v>91</v>
      </c>
      <c r="F32" s="74">
        <f>VLOOKUP(D32,'FERC Interest Rate'!$A:$B,2,TRUE)</f>
        <v>3.4599999999999999E-2</v>
      </c>
      <c r="G32" s="75">
        <f>O31</f>
        <v>40423672.275840543</v>
      </c>
      <c r="H32" s="75">
        <f>G32*F32*(E32/(DATE(YEAR(D32),12,31)-DATE(YEAR(D32),1,1)+1))</f>
        <v>347754.02876423916</v>
      </c>
      <c r="I32" s="99">
        <v>0</v>
      </c>
      <c r="J32" s="57">
        <v>0</v>
      </c>
      <c r="K32" s="243">
        <f t="shared" si="4"/>
        <v>0</v>
      </c>
      <c r="L32" s="57">
        <f>+VLOOKUP($L$27,$A$1:$G$21,3,FALSE)/20</f>
        <v>0</v>
      </c>
      <c r="M32" s="244">
        <f t="shared" ref="M32:M48" si="8">+SUM(K32:L32)</f>
        <v>0</v>
      </c>
      <c r="N32" s="52">
        <f t="shared" si="5"/>
        <v>40771426.304604784</v>
      </c>
      <c r="O32" s="75">
        <f t="shared" si="7"/>
        <v>40771426.304604784</v>
      </c>
    </row>
    <row r="33" spans="1:15" x14ac:dyDescent="0.25">
      <c r="A33" s="48" t="s">
        <v>52</v>
      </c>
      <c r="B33" s="241" t="str">
        <f t="shared" si="1"/>
        <v>Q3/2016</v>
      </c>
      <c r="C33" s="242">
        <f t="shared" si="6"/>
        <v>42552</v>
      </c>
      <c r="D33" s="242">
        <f t="shared" si="2"/>
        <v>42643</v>
      </c>
      <c r="E33" s="241">
        <f t="shared" si="3"/>
        <v>92</v>
      </c>
      <c r="F33" s="74">
        <f>VLOOKUP(D33,'FERC Interest Rate'!$A:$B,2,TRUE)</f>
        <v>3.5000000000000003E-2</v>
      </c>
      <c r="G33" s="75">
        <f>O32</f>
        <v>40771426.304604784</v>
      </c>
      <c r="H33" s="75">
        <f>G33*F33*(E33/(DATE(YEAR(D33),12,31)-DATE(YEAR(D33),1,1)+1))</f>
        <v>358699.43360881804</v>
      </c>
      <c r="I33" s="99">
        <f t="shared" ref="I33:I52" si="9">(SUM($H$29:$H$53)/20)</f>
        <v>81706.286910679744</v>
      </c>
      <c r="J33" s="57">
        <v>0</v>
      </c>
      <c r="K33" s="243">
        <f t="shared" si="4"/>
        <v>81706.286910679744</v>
      </c>
      <c r="L33" s="57">
        <f>+$G$29/20</f>
        <v>1974800</v>
      </c>
      <c r="M33" s="244">
        <f t="shared" si="8"/>
        <v>2056506.2869106797</v>
      </c>
      <c r="N33" s="52">
        <f t="shared" si="5"/>
        <v>41130125.738213599</v>
      </c>
      <c r="O33" s="75">
        <f t="shared" si="7"/>
        <v>39073619.451302916</v>
      </c>
    </row>
    <row r="34" spans="1:15" x14ac:dyDescent="0.25">
      <c r="A34" s="48" t="s">
        <v>53</v>
      </c>
      <c r="B34" s="241" t="str">
        <f t="shared" si="1"/>
        <v>Q4/2016</v>
      </c>
      <c r="C34" s="242">
        <f t="shared" si="6"/>
        <v>42644</v>
      </c>
      <c r="D34" s="242">
        <f t="shared" si="2"/>
        <v>42735</v>
      </c>
      <c r="E34" s="241">
        <f t="shared" si="3"/>
        <v>92</v>
      </c>
      <c r="F34" s="74">
        <f>VLOOKUP(D34,'FERC Interest Rate'!$A:$B,2,TRUE)</f>
        <v>3.5000000000000003E-2</v>
      </c>
      <c r="G34" s="75">
        <f t="shared" ref="G34:G51" si="10">O33</f>
        <v>39073619.451302916</v>
      </c>
      <c r="H34" s="75">
        <v>0</v>
      </c>
      <c r="I34" s="99">
        <f t="shared" si="9"/>
        <v>81706.286910679744</v>
      </c>
      <c r="J34" s="57">
        <f t="shared" ref="J34:J51" si="11">G34*F34*(E34/(DATE(YEAR(D34),12,31)-DATE(YEAR(D34),1,1)+1))</f>
        <v>343762.44435299293</v>
      </c>
      <c r="K34" s="243">
        <f t="shared" si="4"/>
        <v>425468.7312636727</v>
      </c>
      <c r="L34" s="57">
        <f t="shared" ref="L34:L52" si="12">+$G$29/20</f>
        <v>1974800</v>
      </c>
      <c r="M34" s="244">
        <f t="shared" si="8"/>
        <v>2400268.7312636729</v>
      </c>
      <c r="N34" s="52">
        <f t="shared" si="5"/>
        <v>39417381.895655908</v>
      </c>
      <c r="O34" s="75">
        <f t="shared" si="7"/>
        <v>37017113.164392233</v>
      </c>
    </row>
    <row r="35" spans="1:15" x14ac:dyDescent="0.25">
      <c r="A35" s="48" t="s">
        <v>54</v>
      </c>
      <c r="B35" s="241" t="str">
        <f t="shared" si="1"/>
        <v>Q1/2017</v>
      </c>
      <c r="C35" s="242">
        <f t="shared" si="6"/>
        <v>42736</v>
      </c>
      <c r="D35" s="242">
        <f t="shared" si="2"/>
        <v>42825</v>
      </c>
      <c r="E35" s="241">
        <f t="shared" si="3"/>
        <v>90</v>
      </c>
      <c r="F35" s="74">
        <f>VLOOKUP(D35,'FERC Interest Rate'!$A:$B,2,TRUE)</f>
        <v>3.5000000000000003E-2</v>
      </c>
      <c r="G35" s="75">
        <f t="shared" si="10"/>
        <v>37017113.164392233</v>
      </c>
      <c r="H35" s="75">
        <v>0</v>
      </c>
      <c r="I35" s="99">
        <f t="shared" si="9"/>
        <v>81706.286910679744</v>
      </c>
      <c r="J35" s="57">
        <f t="shared" si="11"/>
        <v>319462.75744612474</v>
      </c>
      <c r="K35" s="243">
        <f t="shared" si="4"/>
        <v>401169.04435680446</v>
      </c>
      <c r="L35" s="57">
        <f t="shared" si="12"/>
        <v>1974800</v>
      </c>
      <c r="M35" s="244">
        <f t="shared" si="8"/>
        <v>2375969.0443568043</v>
      </c>
      <c r="N35" s="52">
        <f t="shared" si="5"/>
        <v>37336575.921838358</v>
      </c>
      <c r="O35" s="75">
        <f t="shared" si="7"/>
        <v>34960606.87748155</v>
      </c>
    </row>
    <row r="36" spans="1:15" x14ac:dyDescent="0.25">
      <c r="A36" s="48" t="s">
        <v>55</v>
      </c>
      <c r="B36" s="241" t="str">
        <f t="shared" si="1"/>
        <v>Q2/2017</v>
      </c>
      <c r="C36" s="242">
        <f t="shared" si="6"/>
        <v>42826</v>
      </c>
      <c r="D36" s="242">
        <f t="shared" si="2"/>
        <v>42916</v>
      </c>
      <c r="E36" s="241">
        <f t="shared" si="3"/>
        <v>91</v>
      </c>
      <c r="F36" s="74">
        <f>VLOOKUP(D36,'FERC Interest Rate'!$A:$B,2,TRUE)</f>
        <v>3.7100000000000001E-2</v>
      </c>
      <c r="G36" s="75">
        <f t="shared" si="10"/>
        <v>34960606.87748155</v>
      </c>
      <c r="H36" s="75">
        <v>0</v>
      </c>
      <c r="I36" s="99">
        <f t="shared" si="9"/>
        <v>81706.286910679744</v>
      </c>
      <c r="J36" s="57">
        <f t="shared" si="11"/>
        <v>323371.24624401494</v>
      </c>
      <c r="K36" s="243">
        <f t="shared" si="4"/>
        <v>405077.53315469471</v>
      </c>
      <c r="L36" s="57">
        <f t="shared" si="12"/>
        <v>1974800</v>
      </c>
      <c r="M36" s="244">
        <f t="shared" si="8"/>
        <v>2379877.5331546948</v>
      </c>
      <c r="N36" s="52">
        <f t="shared" si="5"/>
        <v>35283978.123725563</v>
      </c>
      <c r="O36" s="75">
        <f t="shared" si="7"/>
        <v>32904100.590570867</v>
      </c>
    </row>
    <row r="37" spans="1:15" x14ac:dyDescent="0.25">
      <c r="A37" s="48" t="s">
        <v>56</v>
      </c>
      <c r="B37" s="241" t="str">
        <f t="shared" si="1"/>
        <v>Q3/2017</v>
      </c>
      <c r="C37" s="242">
        <f t="shared" si="6"/>
        <v>42917</v>
      </c>
      <c r="D37" s="242">
        <f t="shared" si="2"/>
        <v>43008</v>
      </c>
      <c r="E37" s="241">
        <f t="shared" si="3"/>
        <v>92</v>
      </c>
      <c r="F37" s="74">
        <f>VLOOKUP(D37,'FERC Interest Rate'!$A:$B,2,TRUE)</f>
        <v>3.9600000000000003E-2</v>
      </c>
      <c r="G37" s="75">
        <f t="shared" si="10"/>
        <v>32904100.590570867</v>
      </c>
      <c r="H37" s="75">
        <v>0</v>
      </c>
      <c r="I37" s="99">
        <f t="shared" si="9"/>
        <v>81706.286910679744</v>
      </c>
      <c r="J37" s="57">
        <f t="shared" si="11"/>
        <v>328427.99800429534</v>
      </c>
      <c r="K37" s="243">
        <f t="shared" si="4"/>
        <v>410134.28491497505</v>
      </c>
      <c r="L37" s="57">
        <f t="shared" si="12"/>
        <v>1974800</v>
      </c>
      <c r="M37" s="244">
        <f t="shared" si="8"/>
        <v>2384934.2849149751</v>
      </c>
      <c r="N37" s="52">
        <f t="shared" si="5"/>
        <v>33232528.588575162</v>
      </c>
      <c r="O37" s="75">
        <f t="shared" si="7"/>
        <v>30847594.303660188</v>
      </c>
    </row>
    <row r="38" spans="1:15" x14ac:dyDescent="0.25">
      <c r="A38" s="48" t="s">
        <v>57</v>
      </c>
      <c r="B38" s="241" t="str">
        <f t="shared" si="1"/>
        <v>Q4/2017</v>
      </c>
      <c r="C38" s="242">
        <f t="shared" si="6"/>
        <v>43009</v>
      </c>
      <c r="D38" s="242">
        <f t="shared" si="2"/>
        <v>43100</v>
      </c>
      <c r="E38" s="241">
        <f t="shared" si="3"/>
        <v>92</v>
      </c>
      <c r="F38" s="74">
        <f>VLOOKUP(D38,'FERC Interest Rate'!$A:$B,2,TRUE)</f>
        <v>4.2099999999999999E-2</v>
      </c>
      <c r="G38" s="75">
        <f t="shared" si="10"/>
        <v>30847594.303660188</v>
      </c>
      <c r="H38" s="75">
        <v>0</v>
      </c>
      <c r="I38" s="99">
        <f t="shared" si="9"/>
        <v>81706.286910679744</v>
      </c>
      <c r="J38" s="57">
        <f t="shared" si="11"/>
        <v>327339.45823818259</v>
      </c>
      <c r="K38" s="243">
        <f t="shared" si="4"/>
        <v>409045.74514886236</v>
      </c>
      <c r="L38" s="57">
        <f t="shared" si="12"/>
        <v>1974800</v>
      </c>
      <c r="M38" s="244">
        <f t="shared" si="8"/>
        <v>2383845.7451488622</v>
      </c>
      <c r="N38" s="52">
        <f t="shared" si="5"/>
        <v>31174933.761898369</v>
      </c>
      <c r="O38" s="75">
        <f t="shared" si="7"/>
        <v>28791088.016749505</v>
      </c>
    </row>
    <row r="39" spans="1:15" x14ac:dyDescent="0.25">
      <c r="A39" s="48" t="s">
        <v>58</v>
      </c>
      <c r="B39" s="241" t="str">
        <f t="shared" si="1"/>
        <v>Q1/2018</v>
      </c>
      <c r="C39" s="242">
        <f t="shared" si="6"/>
        <v>43101</v>
      </c>
      <c r="D39" s="242">
        <f t="shared" si="2"/>
        <v>43190</v>
      </c>
      <c r="E39" s="241">
        <f t="shared" si="3"/>
        <v>90</v>
      </c>
      <c r="F39" s="74">
        <f>VLOOKUP(D39,'FERC Interest Rate'!$A:$B,2,TRUE)</f>
        <v>4.2500000000000003E-2</v>
      </c>
      <c r="G39" s="75">
        <f t="shared" si="10"/>
        <v>28791088.016749505</v>
      </c>
      <c r="H39" s="75">
        <v>0</v>
      </c>
      <c r="I39" s="99">
        <f t="shared" si="9"/>
        <v>81706.286910679744</v>
      </c>
      <c r="J39" s="57">
        <f t="shared" si="11"/>
        <v>301714.82647689548</v>
      </c>
      <c r="K39" s="243">
        <f t="shared" si="4"/>
        <v>383421.11338757526</v>
      </c>
      <c r="L39" s="57">
        <f t="shared" si="12"/>
        <v>1974800</v>
      </c>
      <c r="M39" s="244">
        <f t="shared" si="8"/>
        <v>2358221.1133875754</v>
      </c>
      <c r="N39" s="52">
        <f t="shared" si="5"/>
        <v>29092802.843226399</v>
      </c>
      <c r="O39" s="75">
        <f t="shared" si="7"/>
        <v>26734581.729838826</v>
      </c>
    </row>
    <row r="40" spans="1:15" x14ac:dyDescent="0.25">
      <c r="A40" s="48" t="s">
        <v>59</v>
      </c>
      <c r="B40" s="241" t="str">
        <f t="shared" si="1"/>
        <v>Q2/2018</v>
      </c>
      <c r="C40" s="242">
        <f t="shared" si="6"/>
        <v>43191</v>
      </c>
      <c r="D40" s="242">
        <f t="shared" si="2"/>
        <v>43281</v>
      </c>
      <c r="E40" s="241">
        <f t="shared" si="3"/>
        <v>91</v>
      </c>
      <c r="F40" s="74">
        <f>VLOOKUP(D40,'FERC Interest Rate'!$A:$B,2,TRUE)</f>
        <v>4.4699999999999997E-2</v>
      </c>
      <c r="G40" s="75">
        <f t="shared" si="10"/>
        <v>26734581.729838826</v>
      </c>
      <c r="H40" s="75">
        <v>0</v>
      </c>
      <c r="I40" s="99">
        <f t="shared" si="9"/>
        <v>81706.286910679744</v>
      </c>
      <c r="J40" s="57">
        <f t="shared" si="11"/>
        <v>297940.4331574394</v>
      </c>
      <c r="K40" s="243">
        <f t="shared" si="4"/>
        <v>379646.72006811912</v>
      </c>
      <c r="L40" s="57">
        <f t="shared" si="12"/>
        <v>1974800</v>
      </c>
      <c r="M40" s="244">
        <f t="shared" si="8"/>
        <v>2354446.720068119</v>
      </c>
      <c r="N40" s="52">
        <f t="shared" si="5"/>
        <v>27032522.162996266</v>
      </c>
      <c r="O40" s="75">
        <f t="shared" si="7"/>
        <v>24678075.442928147</v>
      </c>
    </row>
    <row r="41" spans="1:15" x14ac:dyDescent="0.25">
      <c r="A41" s="48" t="s">
        <v>60</v>
      </c>
      <c r="B41" s="241" t="str">
        <f t="shared" si="1"/>
        <v>Q3/2018</v>
      </c>
      <c r="C41" s="242">
        <f t="shared" si="6"/>
        <v>43282</v>
      </c>
      <c r="D41" s="242">
        <f t="shared" si="2"/>
        <v>43373</v>
      </c>
      <c r="E41" s="241">
        <f t="shared" si="3"/>
        <v>92</v>
      </c>
      <c r="F41" s="74">
        <f>VLOOKUP(D41,'FERC Interest Rate'!$A:$B,2,TRUE)</f>
        <v>4.6899999999999997E-2</v>
      </c>
      <c r="G41" s="75">
        <f t="shared" si="10"/>
        <v>24678075.442928147</v>
      </c>
      <c r="H41" s="75">
        <v>0</v>
      </c>
      <c r="I41" s="99">
        <f t="shared" si="9"/>
        <v>81706.286910679744</v>
      </c>
      <c r="J41" s="57">
        <f t="shared" si="11"/>
        <v>291728.65731820924</v>
      </c>
      <c r="K41" s="243">
        <f t="shared" si="4"/>
        <v>373434.94422888895</v>
      </c>
      <c r="L41" s="57">
        <f t="shared" si="12"/>
        <v>1974800</v>
      </c>
      <c r="M41" s="244">
        <f t="shared" si="8"/>
        <v>2348234.944228889</v>
      </c>
      <c r="N41" s="52">
        <f t="shared" si="5"/>
        <v>24969804.100246355</v>
      </c>
      <c r="O41" s="75">
        <f t="shared" si="7"/>
        <v>22621569.156017467</v>
      </c>
    </row>
    <row r="42" spans="1:15" x14ac:dyDescent="0.25">
      <c r="A42" s="48" t="s">
        <v>61</v>
      </c>
      <c r="B42" s="241" t="str">
        <f t="shared" si="1"/>
        <v>Q4/2018</v>
      </c>
      <c r="C42" s="242">
        <f t="shared" si="6"/>
        <v>43374</v>
      </c>
      <c r="D42" s="242">
        <f t="shared" si="2"/>
        <v>43465</v>
      </c>
      <c r="E42" s="241">
        <f t="shared" si="3"/>
        <v>92</v>
      </c>
      <c r="F42" s="74">
        <f>VLOOKUP(D42,'FERC Interest Rate'!$A:$B,2,TRUE)</f>
        <v>4.9599999999999998E-2</v>
      </c>
      <c r="G42" s="75">
        <f t="shared" si="10"/>
        <v>22621569.156017467</v>
      </c>
      <c r="H42" s="75">
        <v>0</v>
      </c>
      <c r="I42" s="99">
        <f t="shared" si="9"/>
        <v>81706.286910679744</v>
      </c>
      <c r="J42" s="57">
        <f t="shared" si="11"/>
        <v>282812.99828147644</v>
      </c>
      <c r="K42" s="243">
        <f t="shared" si="4"/>
        <v>364519.28519215621</v>
      </c>
      <c r="L42" s="57">
        <f t="shared" si="12"/>
        <v>1974800</v>
      </c>
      <c r="M42" s="244">
        <f t="shared" si="8"/>
        <v>2339319.2851921562</v>
      </c>
      <c r="N42" s="52">
        <f t="shared" si="5"/>
        <v>22904382.154298943</v>
      </c>
      <c r="O42" s="75">
        <f t="shared" si="7"/>
        <v>20565062.869106784</v>
      </c>
    </row>
    <row r="43" spans="1:15" x14ac:dyDescent="0.25">
      <c r="A43" s="48" t="s">
        <v>62</v>
      </c>
      <c r="B43" s="241" t="str">
        <f t="shared" si="1"/>
        <v>Q1/2019</v>
      </c>
      <c r="C43" s="242">
        <f t="shared" si="6"/>
        <v>43466</v>
      </c>
      <c r="D43" s="242">
        <f t="shared" si="2"/>
        <v>43555</v>
      </c>
      <c r="E43" s="241">
        <f t="shared" si="3"/>
        <v>90</v>
      </c>
      <c r="F43" s="74">
        <f>VLOOKUP(D43,'FERC Interest Rate'!$A:$B,2,TRUE)</f>
        <v>5.1799999999999999E-2</v>
      </c>
      <c r="G43" s="75">
        <f t="shared" si="10"/>
        <v>20565062.869106784</v>
      </c>
      <c r="H43" s="75">
        <v>0</v>
      </c>
      <c r="I43" s="99">
        <f t="shared" si="9"/>
        <v>81706.286910679744</v>
      </c>
      <c r="J43" s="57">
        <f t="shared" si="11"/>
        <v>262669.3783445913</v>
      </c>
      <c r="K43" s="243">
        <f t="shared" si="4"/>
        <v>344375.66525527101</v>
      </c>
      <c r="L43" s="57">
        <f t="shared" si="12"/>
        <v>1974800</v>
      </c>
      <c r="M43" s="244">
        <f t="shared" si="8"/>
        <v>2319175.6652552709</v>
      </c>
      <c r="N43" s="52">
        <f t="shared" si="5"/>
        <v>20827732.247451376</v>
      </c>
      <c r="O43" s="75">
        <f t="shared" si="7"/>
        <v>18508556.582196105</v>
      </c>
    </row>
    <row r="44" spans="1:15" x14ac:dyDescent="0.25">
      <c r="A44" s="48" t="s">
        <v>63</v>
      </c>
      <c r="B44" s="241" t="str">
        <f t="shared" si="1"/>
        <v>Q2/2019</v>
      </c>
      <c r="C44" s="242">
        <f t="shared" si="6"/>
        <v>43556</v>
      </c>
      <c r="D44" s="242">
        <f t="shared" si="2"/>
        <v>43646</v>
      </c>
      <c r="E44" s="241">
        <f t="shared" si="3"/>
        <v>91</v>
      </c>
      <c r="F44" s="74">
        <f>VLOOKUP(D44,'FERC Interest Rate'!$A:$B,2,TRUE)</f>
        <v>5.45E-2</v>
      </c>
      <c r="G44" s="75">
        <f t="shared" si="10"/>
        <v>18508556.582196105</v>
      </c>
      <c r="H44" s="75">
        <v>0</v>
      </c>
      <c r="I44" s="99">
        <f t="shared" si="9"/>
        <v>81706.286910679744</v>
      </c>
      <c r="J44" s="57">
        <f t="shared" si="11"/>
        <v>251488.18183397694</v>
      </c>
      <c r="K44" s="243">
        <f t="shared" si="4"/>
        <v>333194.46874465665</v>
      </c>
      <c r="L44" s="57">
        <f t="shared" si="12"/>
        <v>1974800</v>
      </c>
      <c r="M44" s="244">
        <f t="shared" si="8"/>
        <v>2307994.4687446565</v>
      </c>
      <c r="N44" s="52">
        <f t="shared" si="5"/>
        <v>18760044.764030084</v>
      </c>
      <c r="O44" s="75">
        <f t="shared" si="7"/>
        <v>16452050.295285428</v>
      </c>
    </row>
    <row r="45" spans="1:15" x14ac:dyDescent="0.25">
      <c r="A45" s="48" t="s">
        <v>64</v>
      </c>
      <c r="B45" s="241" t="str">
        <f t="shared" si="1"/>
        <v>Q3/2019</v>
      </c>
      <c r="C45" s="242">
        <f>D44+1</f>
        <v>43647</v>
      </c>
      <c r="D45" s="242">
        <f t="shared" si="2"/>
        <v>43738</v>
      </c>
      <c r="E45" s="241">
        <f t="shared" si="3"/>
        <v>92</v>
      </c>
      <c r="F45" s="74">
        <f>VLOOKUP(D45,'FERC Interest Rate'!$A:$B,2,TRUE)</f>
        <v>5.5E-2</v>
      </c>
      <c r="G45" s="75">
        <f>O44</f>
        <v>16452050.295285428</v>
      </c>
      <c r="H45" s="75">
        <v>0</v>
      </c>
      <c r="I45" s="99">
        <f t="shared" si="9"/>
        <v>81706.286910679744</v>
      </c>
      <c r="J45" s="57">
        <f t="shared" si="11"/>
        <v>228074.9986140939</v>
      </c>
      <c r="K45" s="243">
        <f t="shared" si="4"/>
        <v>309781.28552477364</v>
      </c>
      <c r="L45" s="57">
        <f t="shared" si="12"/>
        <v>1974800</v>
      </c>
      <c r="M45" s="244">
        <f t="shared" si="8"/>
        <v>2284581.2855247734</v>
      </c>
      <c r="N45" s="52">
        <f t="shared" si="5"/>
        <v>16680125.293899521</v>
      </c>
      <c r="O45" s="75">
        <f t="shared" si="7"/>
        <v>14395544.008374747</v>
      </c>
    </row>
    <row r="46" spans="1:15" x14ac:dyDescent="0.25">
      <c r="A46" s="48" t="s">
        <v>65</v>
      </c>
      <c r="B46" s="241" t="str">
        <f t="shared" si="1"/>
        <v>Q4/2019</v>
      </c>
      <c r="C46" s="242">
        <f t="shared" si="6"/>
        <v>43739</v>
      </c>
      <c r="D46" s="242">
        <f t="shared" si="2"/>
        <v>43830</v>
      </c>
      <c r="E46" s="241">
        <f t="shared" si="3"/>
        <v>92</v>
      </c>
      <c r="F46" s="74">
        <f>VLOOKUP(D46,'FERC Interest Rate'!$A:$B,2,TRUE)</f>
        <v>5.4199999999999998E-2</v>
      </c>
      <c r="G46" s="75">
        <f t="shared" si="10"/>
        <v>14395544.008374747</v>
      </c>
      <c r="H46" s="75">
        <v>0</v>
      </c>
      <c r="I46" s="99">
        <f t="shared" si="9"/>
        <v>81706.286910679744</v>
      </c>
      <c r="J46" s="57">
        <f t="shared" si="11"/>
        <v>196662.8510776982</v>
      </c>
      <c r="K46" s="243">
        <f t="shared" si="4"/>
        <v>278369.13798837794</v>
      </c>
      <c r="L46" s="57">
        <f t="shared" si="12"/>
        <v>1974800</v>
      </c>
      <c r="M46" s="244">
        <f t="shared" si="8"/>
        <v>2253169.1379883778</v>
      </c>
      <c r="N46" s="52">
        <f t="shared" si="5"/>
        <v>14592206.859452445</v>
      </c>
      <c r="O46" s="75">
        <f t="shared" si="7"/>
        <v>12339037.721464068</v>
      </c>
    </row>
    <row r="47" spans="1:15" x14ac:dyDescent="0.25">
      <c r="A47" s="48" t="s">
        <v>66</v>
      </c>
      <c r="B47" s="241" t="str">
        <f t="shared" si="1"/>
        <v>Q1/2020</v>
      </c>
      <c r="C47" s="242">
        <f t="shared" si="6"/>
        <v>43831</v>
      </c>
      <c r="D47" s="242">
        <f t="shared" si="2"/>
        <v>43921</v>
      </c>
      <c r="E47" s="241">
        <f t="shared" si="3"/>
        <v>91</v>
      </c>
      <c r="F47" s="74">
        <f>VLOOKUP(D47,'FERC Interest Rate'!$A:$B,2,TRUE)</f>
        <v>4.9599999999999998E-2</v>
      </c>
      <c r="G47" s="75">
        <f t="shared" si="10"/>
        <v>12339037.721464068</v>
      </c>
      <c r="H47" s="75">
        <v>0</v>
      </c>
      <c r="I47" s="99">
        <f t="shared" si="9"/>
        <v>81706.286910679744</v>
      </c>
      <c r="J47" s="57">
        <f t="shared" si="11"/>
        <v>152167.97994426289</v>
      </c>
      <c r="K47" s="243">
        <f t="shared" si="4"/>
        <v>233874.26685494263</v>
      </c>
      <c r="L47" s="57">
        <f t="shared" si="12"/>
        <v>1974800</v>
      </c>
      <c r="M47" s="244">
        <f t="shared" si="8"/>
        <v>2208674.2668549428</v>
      </c>
      <c r="N47" s="52">
        <f t="shared" si="5"/>
        <v>12491205.70140833</v>
      </c>
      <c r="O47" s="75">
        <f t="shared" si="7"/>
        <v>10282531.434553389</v>
      </c>
    </row>
    <row r="48" spans="1:15" x14ac:dyDescent="0.25">
      <c r="A48" s="48" t="s">
        <v>67</v>
      </c>
      <c r="B48" s="241" t="str">
        <f t="shared" si="1"/>
        <v>Q2/2020</v>
      </c>
      <c r="C48" s="242">
        <f t="shared" si="6"/>
        <v>43922</v>
      </c>
      <c r="D48" s="242">
        <f t="shared" si="2"/>
        <v>44012</v>
      </c>
      <c r="E48" s="241">
        <f t="shared" si="3"/>
        <v>91</v>
      </c>
      <c r="F48" s="74">
        <f>VLOOKUP(D48,'FERC Interest Rate'!$A:$B,2,TRUE)</f>
        <v>4.7503500000000004E-2</v>
      </c>
      <c r="G48" s="75">
        <f t="shared" si="10"/>
        <v>10282531.434553389</v>
      </c>
      <c r="H48" s="75">
        <v>0</v>
      </c>
      <c r="I48" s="99">
        <f t="shared" si="9"/>
        <v>81706.286910679744</v>
      </c>
      <c r="J48" s="57">
        <f t="shared" si="11"/>
        <v>121446.76806589872</v>
      </c>
      <c r="K48" s="243">
        <f t="shared" si="4"/>
        <v>203153.05497657845</v>
      </c>
      <c r="L48" s="57">
        <f t="shared" si="12"/>
        <v>1974800</v>
      </c>
      <c r="M48" s="244">
        <f t="shared" si="8"/>
        <v>2177953.0549765783</v>
      </c>
      <c r="N48" s="52">
        <f t="shared" si="5"/>
        <v>10403978.202619288</v>
      </c>
      <c r="O48" s="75">
        <f t="shared" si="7"/>
        <v>8226025.1476427093</v>
      </c>
    </row>
    <row r="49" spans="1:15" x14ac:dyDescent="0.25">
      <c r="A49" s="48" t="s">
        <v>68</v>
      </c>
      <c r="B49" s="241" t="str">
        <f t="shared" si="1"/>
        <v>Q3/2020</v>
      </c>
      <c r="C49" s="242">
        <f t="shared" si="6"/>
        <v>44013</v>
      </c>
      <c r="D49" s="242">
        <f t="shared" si="2"/>
        <v>44104</v>
      </c>
      <c r="E49" s="241">
        <f t="shared" si="3"/>
        <v>92</v>
      </c>
      <c r="F49" s="74">
        <f>VLOOKUP(D49,'FERC Interest Rate'!$A:$B,2,TRUE)</f>
        <v>4.7507929999999997E-2</v>
      </c>
      <c r="G49" s="75">
        <f t="shared" si="10"/>
        <v>8226025.1476427093</v>
      </c>
      <c r="H49" s="75">
        <v>0</v>
      </c>
      <c r="I49" s="99">
        <f t="shared" si="9"/>
        <v>81706.286910679744</v>
      </c>
      <c r="J49" s="57">
        <f t="shared" si="11"/>
        <v>98234.23845383976</v>
      </c>
      <c r="K49" s="243">
        <f>+SUM(I49:J49)</f>
        <v>179940.5253645195</v>
      </c>
      <c r="L49" s="57">
        <f t="shared" si="12"/>
        <v>1974800</v>
      </c>
      <c r="M49" s="244">
        <f>+SUM(K49:L49)</f>
        <v>2154740.5253645196</v>
      </c>
      <c r="N49" s="52">
        <f t="shared" si="5"/>
        <v>8324259.3860965492</v>
      </c>
      <c r="O49" s="75">
        <f t="shared" si="7"/>
        <v>6169518.8607320301</v>
      </c>
    </row>
    <row r="50" spans="1:15" x14ac:dyDescent="0.25">
      <c r="A50" s="48" t="s">
        <v>69</v>
      </c>
      <c r="B50" s="241" t="str">
        <f t="shared" si="1"/>
        <v>Q4/2020</v>
      </c>
      <c r="C50" s="242">
        <f t="shared" si="6"/>
        <v>44105</v>
      </c>
      <c r="D50" s="242">
        <f t="shared" si="2"/>
        <v>44196</v>
      </c>
      <c r="E50" s="241">
        <f t="shared" si="3"/>
        <v>92</v>
      </c>
      <c r="F50" s="74">
        <f>VLOOKUP(D50,'FERC Interest Rate'!$A:$B,2,TRUE)</f>
        <v>4.7922320000000004E-2</v>
      </c>
      <c r="G50" s="75">
        <f t="shared" si="10"/>
        <v>6169518.8607320301</v>
      </c>
      <c r="H50" s="75">
        <v>0</v>
      </c>
      <c r="I50" s="99">
        <f t="shared" si="9"/>
        <v>81706.286910679744</v>
      </c>
      <c r="J50" s="57">
        <f t="shared" si="11"/>
        <v>74318.318175637411</v>
      </c>
      <c r="K50" s="243">
        <f>+SUM(I50:J50)</f>
        <v>156024.60508631717</v>
      </c>
      <c r="L50" s="57">
        <f t="shared" si="12"/>
        <v>1974800</v>
      </c>
      <c r="M50" s="244">
        <f>+SUM(K50:L50)</f>
        <v>2130824.6050863173</v>
      </c>
      <c r="N50" s="52">
        <f t="shared" si="5"/>
        <v>6243837.1789076673</v>
      </c>
      <c r="O50" s="75">
        <f t="shared" si="7"/>
        <v>4113012.57382135</v>
      </c>
    </row>
    <row r="51" spans="1:15" x14ac:dyDescent="0.25">
      <c r="A51" s="48" t="s">
        <v>70</v>
      </c>
      <c r="B51" s="241" t="str">
        <f t="shared" si="1"/>
        <v>Q1/2021</v>
      </c>
      <c r="C51" s="242">
        <f t="shared" si="6"/>
        <v>44197</v>
      </c>
      <c r="D51" s="242">
        <f t="shared" si="2"/>
        <v>44286</v>
      </c>
      <c r="E51" s="241">
        <f t="shared" si="3"/>
        <v>90</v>
      </c>
      <c r="F51" s="74">
        <f>VLOOKUP(D51,'FERC Interest Rate'!$A:$B,2,TRUE)</f>
        <v>5.0023470000000007E-2</v>
      </c>
      <c r="G51" s="75">
        <f t="shared" si="10"/>
        <v>4113012.57382135</v>
      </c>
      <c r="H51" s="75">
        <v>0</v>
      </c>
      <c r="I51" s="99">
        <f t="shared" si="9"/>
        <v>81706.286910679744</v>
      </c>
      <c r="J51" s="57">
        <f t="shared" si="11"/>
        <v>50732.176708645915</v>
      </c>
      <c r="K51" s="243">
        <f>+SUM(I51:J51)</f>
        <v>132438.46361932566</v>
      </c>
      <c r="L51" s="57">
        <f t="shared" si="12"/>
        <v>1974800</v>
      </c>
      <c r="M51" s="244">
        <f>+SUM(K51:L51)</f>
        <v>2107238.4636193258</v>
      </c>
      <c r="N51" s="52">
        <f t="shared" si="5"/>
        <v>4163744.7505299961</v>
      </c>
      <c r="O51" s="75">
        <f t="shared" si="7"/>
        <v>2056506.2869106703</v>
      </c>
    </row>
    <row r="52" spans="1:15" x14ac:dyDescent="0.25">
      <c r="A52" s="48" t="s">
        <v>71</v>
      </c>
      <c r="B52" s="241" t="str">
        <f>+IF(MONTH(C52)&lt;4,"Q1",IF(MONTH(C52)&lt;7,"Q2",IF(MONTH(C52)&lt;10,"Q3","Q4")))&amp;"/"&amp;YEAR(C52)</f>
        <v>Q2/2021</v>
      </c>
      <c r="C52" s="242">
        <f>D51+1</f>
        <v>44287</v>
      </c>
      <c r="D52" s="242">
        <f>DATE(YEAR(C52),IF(MONTH(C52)&lt;=3,3,IF(MONTH(C52)&lt;=6,6,IF(MONTH(C52)&lt;=9,9,12))),IF(OR(MONTH(C52)&lt;=3,MONTH(C52)&gt;=10),31,30))</f>
        <v>44377</v>
      </c>
      <c r="E52" s="241">
        <f>D52-C52+1</f>
        <v>91</v>
      </c>
      <c r="F52" s="74">
        <f>VLOOKUP(D52,'FERC Interest Rate'!$A:$B,2,TRUE)</f>
        <v>5.0403730000000001E-2</v>
      </c>
      <c r="G52" s="75">
        <f>O51</f>
        <v>2056506.2869106703</v>
      </c>
      <c r="H52" s="75">
        <v>0</v>
      </c>
      <c r="I52" s="99">
        <f t="shared" si="9"/>
        <v>81706.286910679744</v>
      </c>
      <c r="J52" s="57">
        <f>G52*F52*(E52/(DATE(YEAR(D52),12,31)-DATE(YEAR(D52),1,1)+1))</f>
        <v>25842.899929359082</v>
      </c>
      <c r="K52" s="243">
        <f>+SUM(I52:J52)</f>
        <v>107549.18684003883</v>
      </c>
      <c r="L52" s="57">
        <f t="shared" si="12"/>
        <v>1974800</v>
      </c>
      <c r="M52" s="244">
        <f>+SUM(K52:L52)</f>
        <v>2082349.1868400387</v>
      </c>
      <c r="N52" s="52">
        <f>+G52+H52+J52</f>
        <v>2082349.1868400294</v>
      </c>
      <c r="O52" s="75">
        <f>+N52-M52</f>
        <v>-9.3132257461547852E-9</v>
      </c>
    </row>
    <row r="53" spans="1:15" x14ac:dyDescent="0.25">
      <c r="B53" s="54"/>
      <c r="C53" s="55"/>
      <c r="D53" s="55"/>
      <c r="E53" s="56"/>
      <c r="F53" s="54"/>
      <c r="G53" s="57"/>
      <c r="H53" s="59"/>
      <c r="I53" s="245"/>
      <c r="J53" s="57"/>
      <c r="K53" s="246"/>
      <c r="L53" s="58"/>
      <c r="M53" s="247"/>
      <c r="O53" s="57"/>
    </row>
    <row r="54" spans="1:15" ht="13.5" thickBot="1" x14ac:dyDescent="0.35">
      <c r="A54" s="218"/>
      <c r="B54" s="248"/>
      <c r="C54" s="249"/>
      <c r="D54" s="249"/>
      <c r="E54" s="250"/>
      <c r="F54" s="248"/>
      <c r="G54" s="251">
        <f t="shared" ref="G54:O54" si="13">+SUM(G29:G53)</f>
        <v>591300760.75254881</v>
      </c>
      <c r="H54" s="251">
        <f t="shared" si="13"/>
        <v>1634125.7382135948</v>
      </c>
      <c r="I54" s="252">
        <f t="shared" si="13"/>
        <v>1634125.7382135945</v>
      </c>
      <c r="J54" s="251">
        <f t="shared" si="13"/>
        <v>4278198.6106676348</v>
      </c>
      <c r="K54" s="251">
        <f t="shared" si="13"/>
        <v>5912324.3488812298</v>
      </c>
      <c r="L54" s="251">
        <f t="shared" si="13"/>
        <v>39496000</v>
      </c>
      <c r="M54" s="253">
        <f t="shared" si="13"/>
        <v>45408324.34888123</v>
      </c>
      <c r="N54" s="251">
        <f t="shared" si="13"/>
        <v>597213085.1014303</v>
      </c>
      <c r="O54" s="251">
        <f t="shared" si="13"/>
        <v>551804760.75254881</v>
      </c>
    </row>
    <row r="55" spans="1:15" ht="13.5" thickTop="1" thickBot="1" x14ac:dyDescent="0.3">
      <c r="H55" s="243"/>
      <c r="I55" s="254"/>
      <c r="J55" s="255"/>
      <c r="K55" s="255"/>
      <c r="L55" s="255"/>
      <c r="M55" s="256"/>
    </row>
  </sheetData>
  <mergeCells count="1">
    <mergeCell ref="J27:K27"/>
  </mergeCells>
  <pageMargins left="0.25" right="0.25" top="0.75" bottom="0.75" header="0.3" footer="0.3"/>
  <pageSetup scale="50" fitToHeight="0" orientation="landscape" r:id="rId1"/>
  <headerFooter alignWithMargins="0">
    <oddHeader>&amp;RTO2021 Annual Update
Attachment 4
WP- Schedule 22 NUCs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66"/>
  <sheetViews>
    <sheetView view="pageLayout" zoomScale="50" zoomScaleNormal="50" zoomScalePageLayoutView="50" workbookViewId="0"/>
  </sheetViews>
  <sheetFormatPr defaultColWidth="9.1796875" defaultRowHeight="12.5" outlineLevelRow="1" x14ac:dyDescent="0.25"/>
  <cols>
    <col min="1" max="1" width="10.26953125" style="6" bestFit="1" customWidth="1"/>
    <col min="2" max="2" width="13.26953125" style="6" customWidth="1"/>
    <col min="3" max="3" width="15.81640625" style="6" bestFit="1" customWidth="1"/>
    <col min="4" max="4" width="14.54296875" style="6" customWidth="1"/>
    <col min="5" max="5" width="11.7265625" style="6" bestFit="1" customWidth="1"/>
    <col min="6" max="6" width="18.7265625" style="6" bestFit="1" customWidth="1"/>
    <col min="7" max="7" width="18.08984375" style="6" customWidth="1"/>
    <col min="8" max="9" width="16.26953125" style="6" customWidth="1"/>
    <col min="10" max="10" width="17.453125" style="6" customWidth="1"/>
    <col min="11" max="11" width="16.26953125" style="6" customWidth="1"/>
    <col min="12" max="12" width="17.90625" style="6" customWidth="1"/>
    <col min="13" max="13" width="16.26953125" style="6" customWidth="1"/>
    <col min="14" max="14" width="17.36328125" style="6" customWidth="1"/>
    <col min="15" max="15" width="18.26953125" style="6" customWidth="1"/>
    <col min="16" max="16" width="14.26953125" style="6" bestFit="1" customWidth="1"/>
    <col min="17" max="16384" width="9.1796875" style="6"/>
  </cols>
  <sheetData>
    <row r="1" spans="1:11" ht="26" x14ac:dyDescent="0.3">
      <c r="A1" s="81" t="s">
        <v>8</v>
      </c>
      <c r="B1" s="82" t="s">
        <v>86</v>
      </c>
      <c r="C1" s="81" t="s">
        <v>2</v>
      </c>
      <c r="D1" s="81" t="s">
        <v>1</v>
      </c>
      <c r="E1" s="82" t="s">
        <v>72</v>
      </c>
      <c r="F1" s="82" t="s">
        <v>47</v>
      </c>
    </row>
    <row r="2" spans="1:11" x14ac:dyDescent="0.25">
      <c r="A2" s="78" t="s">
        <v>52</v>
      </c>
      <c r="B2" s="3">
        <v>40466</v>
      </c>
      <c r="C2" s="4">
        <v>380000</v>
      </c>
      <c r="D2" s="4">
        <v>0</v>
      </c>
      <c r="E2" s="4">
        <v>0</v>
      </c>
      <c r="F2" s="7">
        <v>380000</v>
      </c>
    </row>
    <row r="3" spans="1:11" outlineLevel="1" x14ac:dyDescent="0.25">
      <c r="A3" s="78" t="s">
        <v>53</v>
      </c>
      <c r="B3" s="3">
        <v>40554</v>
      </c>
      <c r="C3" s="4">
        <v>570000</v>
      </c>
      <c r="D3" s="4">
        <v>0</v>
      </c>
      <c r="E3" s="4">
        <v>0</v>
      </c>
      <c r="F3" s="7">
        <v>570000</v>
      </c>
      <c r="H3" s="45"/>
      <c r="I3" s="45"/>
      <c r="J3" s="45"/>
      <c r="K3" s="45"/>
    </row>
    <row r="4" spans="1:11" outlineLevel="1" x14ac:dyDescent="0.25">
      <c r="A4" s="78" t="s">
        <v>54</v>
      </c>
      <c r="B4" s="3">
        <v>40637</v>
      </c>
      <c r="C4" s="4">
        <v>570000</v>
      </c>
      <c r="D4" s="4">
        <v>0</v>
      </c>
      <c r="E4" s="4">
        <v>0</v>
      </c>
      <c r="F4" s="7">
        <v>570000</v>
      </c>
      <c r="H4" s="45"/>
      <c r="I4" s="45"/>
      <c r="J4" s="45"/>
      <c r="K4" s="45"/>
    </row>
    <row r="5" spans="1:11" outlineLevel="1" x14ac:dyDescent="0.25">
      <c r="A5" s="78" t="s">
        <v>55</v>
      </c>
      <c r="B5" s="3">
        <v>40725</v>
      </c>
      <c r="C5" s="4">
        <v>190000</v>
      </c>
      <c r="D5" s="4">
        <v>0</v>
      </c>
      <c r="E5" s="4">
        <v>0</v>
      </c>
      <c r="F5" s="7">
        <v>190000</v>
      </c>
    </row>
    <row r="6" spans="1:11" outlineLevel="1" x14ac:dyDescent="0.25">
      <c r="A6" s="78" t="s">
        <v>56</v>
      </c>
      <c r="B6" s="3">
        <v>40983</v>
      </c>
      <c r="C6" s="4">
        <v>82000</v>
      </c>
      <c r="D6" s="4">
        <v>0</v>
      </c>
      <c r="E6" s="4">
        <v>0</v>
      </c>
      <c r="F6" s="7">
        <v>82000</v>
      </c>
      <c r="H6" s="44"/>
      <c r="I6" s="44"/>
      <c r="J6" s="44"/>
      <c r="K6" s="44"/>
    </row>
    <row r="7" spans="1:11" outlineLevel="1" x14ac:dyDescent="0.25">
      <c r="A7" s="78" t="s">
        <v>57</v>
      </c>
      <c r="B7" s="3">
        <v>41424</v>
      </c>
      <c r="C7" s="4">
        <v>396000</v>
      </c>
      <c r="D7" s="4">
        <v>0</v>
      </c>
      <c r="E7" s="43">
        <v>0</v>
      </c>
      <c r="F7" s="7">
        <v>396000</v>
      </c>
      <c r="H7" s="44"/>
      <c r="I7" s="44"/>
      <c r="J7" s="44"/>
      <c r="K7" s="44"/>
    </row>
    <row r="8" spans="1:11" outlineLevel="1" x14ac:dyDescent="0.25">
      <c r="A8" s="78" t="s">
        <v>58</v>
      </c>
      <c r="B8" s="3">
        <v>41487</v>
      </c>
      <c r="C8" s="4">
        <v>24200</v>
      </c>
      <c r="D8" s="4">
        <v>0</v>
      </c>
      <c r="E8" s="4">
        <v>0</v>
      </c>
      <c r="F8" s="7">
        <v>24200</v>
      </c>
    </row>
    <row r="9" spans="1:11" outlineLevel="1" x14ac:dyDescent="0.25">
      <c r="A9" s="78" t="s">
        <v>59</v>
      </c>
      <c r="B9" s="3">
        <v>41518</v>
      </c>
      <c r="C9" s="4">
        <v>12200</v>
      </c>
      <c r="D9" s="4">
        <v>0</v>
      </c>
      <c r="E9" s="4">
        <v>0</v>
      </c>
      <c r="F9" s="7">
        <v>12200</v>
      </c>
    </row>
    <row r="10" spans="1:11" outlineLevel="1" x14ac:dyDescent="0.25">
      <c r="A10" s="78" t="s">
        <v>60</v>
      </c>
      <c r="B10" s="3">
        <v>41548</v>
      </c>
      <c r="C10" s="4">
        <v>13200</v>
      </c>
      <c r="D10" s="4">
        <v>0</v>
      </c>
      <c r="E10" s="4">
        <v>0</v>
      </c>
      <c r="F10" s="7">
        <v>13200</v>
      </c>
    </row>
    <row r="11" spans="1:11" outlineLevel="1" x14ac:dyDescent="0.25">
      <c r="A11" s="78" t="s">
        <v>61</v>
      </c>
      <c r="B11" s="3">
        <v>41579</v>
      </c>
      <c r="C11" s="4">
        <v>13200</v>
      </c>
      <c r="D11" s="4">
        <v>0</v>
      </c>
      <c r="E11" s="4">
        <v>0</v>
      </c>
      <c r="F11" s="7">
        <v>13200</v>
      </c>
    </row>
    <row r="12" spans="1:11" outlineLevel="1" x14ac:dyDescent="0.25">
      <c r="A12" s="78" t="s">
        <v>62</v>
      </c>
      <c r="B12" s="3">
        <v>41609</v>
      </c>
      <c r="C12" s="4">
        <v>13200</v>
      </c>
      <c r="D12" s="4">
        <v>0</v>
      </c>
      <c r="E12" s="4">
        <v>0</v>
      </c>
      <c r="F12" s="7">
        <v>13200</v>
      </c>
    </row>
    <row r="13" spans="1:11" outlineLevel="1" x14ac:dyDescent="0.25">
      <c r="A13" s="78" t="s">
        <v>63</v>
      </c>
      <c r="B13" s="3">
        <v>41640</v>
      </c>
      <c r="C13" s="4">
        <v>6500</v>
      </c>
      <c r="D13" s="4">
        <v>0</v>
      </c>
      <c r="E13" s="4">
        <v>0</v>
      </c>
      <c r="F13" s="7">
        <v>6500</v>
      </c>
    </row>
    <row r="14" spans="1:11" outlineLevel="1" x14ac:dyDescent="0.25">
      <c r="A14" s="78" t="s">
        <v>64</v>
      </c>
      <c r="B14" s="3">
        <v>41671</v>
      </c>
      <c r="C14" s="4">
        <v>6500</v>
      </c>
      <c r="D14" s="4">
        <v>0</v>
      </c>
      <c r="E14" s="4">
        <v>0</v>
      </c>
      <c r="F14" s="7">
        <v>6500</v>
      </c>
    </row>
    <row r="15" spans="1:11" outlineLevel="1" x14ac:dyDescent="0.25">
      <c r="A15" s="78" t="s">
        <v>65</v>
      </c>
      <c r="B15" s="3">
        <v>41699</v>
      </c>
      <c r="C15" s="4">
        <v>12400</v>
      </c>
      <c r="D15" s="4">
        <v>0</v>
      </c>
      <c r="E15" s="4">
        <v>0</v>
      </c>
      <c r="F15" s="7">
        <v>12400</v>
      </c>
    </row>
    <row r="16" spans="1:11" outlineLevel="1" x14ac:dyDescent="0.25">
      <c r="A16" s="78" t="s">
        <v>66</v>
      </c>
      <c r="B16" s="3">
        <v>41730</v>
      </c>
      <c r="C16" s="4">
        <v>16900</v>
      </c>
      <c r="D16" s="4">
        <v>0</v>
      </c>
      <c r="E16" s="4">
        <v>0</v>
      </c>
      <c r="F16" s="7">
        <v>16900</v>
      </c>
    </row>
    <row r="17" spans="1:6" outlineLevel="1" x14ac:dyDescent="0.25">
      <c r="A17" s="78" t="s">
        <v>67</v>
      </c>
      <c r="B17" s="3">
        <v>41760</v>
      </c>
      <c r="C17" s="4">
        <v>20900</v>
      </c>
      <c r="D17" s="4">
        <v>0</v>
      </c>
      <c r="E17" s="4">
        <v>0</v>
      </c>
      <c r="F17" s="7">
        <v>20900</v>
      </c>
    </row>
    <row r="18" spans="1:6" outlineLevel="1" x14ac:dyDescent="0.25">
      <c r="A18" s="78" t="s">
        <v>68</v>
      </c>
      <c r="B18" s="3">
        <v>41791</v>
      </c>
      <c r="C18" s="4">
        <v>25900</v>
      </c>
      <c r="D18" s="4">
        <v>0</v>
      </c>
      <c r="E18" s="4">
        <v>0</v>
      </c>
      <c r="F18" s="7">
        <v>25900</v>
      </c>
    </row>
    <row r="19" spans="1:6" outlineLevel="1" x14ac:dyDescent="0.25">
      <c r="A19" s="78" t="s">
        <v>69</v>
      </c>
      <c r="B19" s="3">
        <v>41821</v>
      </c>
      <c r="C19" s="4">
        <v>30900</v>
      </c>
      <c r="D19" s="4">
        <v>0</v>
      </c>
      <c r="E19" s="4">
        <v>0</v>
      </c>
      <c r="F19" s="7">
        <v>30900</v>
      </c>
    </row>
    <row r="20" spans="1:6" outlineLevel="1" x14ac:dyDescent="0.25">
      <c r="A20" s="78" t="s">
        <v>70</v>
      </c>
      <c r="B20" s="3">
        <v>41852</v>
      </c>
      <c r="C20" s="4">
        <v>35300</v>
      </c>
      <c r="D20" s="4">
        <v>0</v>
      </c>
      <c r="E20" s="4">
        <v>0</v>
      </c>
      <c r="F20" s="7">
        <v>35300</v>
      </c>
    </row>
    <row r="21" spans="1:6" outlineLevel="1" x14ac:dyDescent="0.25">
      <c r="A21" s="78" t="s">
        <v>71</v>
      </c>
      <c r="B21" s="62">
        <v>41883</v>
      </c>
      <c r="C21" s="4">
        <v>40800</v>
      </c>
      <c r="D21" s="4">
        <v>0</v>
      </c>
      <c r="E21" s="4">
        <v>0</v>
      </c>
      <c r="F21" s="7">
        <v>40800</v>
      </c>
    </row>
    <row r="22" spans="1:6" outlineLevel="1" x14ac:dyDescent="0.25">
      <c r="A22" s="78" t="s">
        <v>74</v>
      </c>
      <c r="B22" s="62">
        <v>41913</v>
      </c>
      <c r="C22" s="4">
        <v>49300</v>
      </c>
      <c r="D22" s="4">
        <v>0</v>
      </c>
      <c r="E22" s="4">
        <v>0</v>
      </c>
      <c r="F22" s="7">
        <v>49300</v>
      </c>
    </row>
    <row r="23" spans="1:6" outlineLevel="1" x14ac:dyDescent="0.25">
      <c r="A23" s="78" t="s">
        <v>75</v>
      </c>
      <c r="B23" s="62">
        <v>41944</v>
      </c>
      <c r="C23" s="4">
        <v>64200</v>
      </c>
      <c r="D23" s="4">
        <v>0</v>
      </c>
      <c r="E23" s="4">
        <v>0</v>
      </c>
      <c r="F23" s="7">
        <v>64200</v>
      </c>
    </row>
    <row r="24" spans="1:6" outlineLevel="1" x14ac:dyDescent="0.25">
      <c r="A24" s="78" t="s">
        <v>76</v>
      </c>
      <c r="B24" s="62">
        <v>41974</v>
      </c>
      <c r="C24" s="4">
        <v>129400</v>
      </c>
      <c r="D24" s="4">
        <v>0</v>
      </c>
      <c r="E24" s="4">
        <v>0</v>
      </c>
      <c r="F24" s="7">
        <v>129400</v>
      </c>
    </row>
    <row r="25" spans="1:6" outlineLevel="1" x14ac:dyDescent="0.25">
      <c r="A25" s="78" t="s">
        <v>77</v>
      </c>
      <c r="B25" s="62">
        <v>42005</v>
      </c>
      <c r="C25" s="4">
        <v>200100</v>
      </c>
      <c r="D25" s="4">
        <v>0</v>
      </c>
      <c r="E25" s="4">
        <v>0</v>
      </c>
      <c r="F25" s="7">
        <v>200100</v>
      </c>
    </row>
    <row r="26" spans="1:6" outlineLevel="1" x14ac:dyDescent="0.25">
      <c r="A26" s="78" t="s">
        <v>87</v>
      </c>
      <c r="B26" s="62">
        <v>42036</v>
      </c>
      <c r="C26" s="4">
        <v>212100</v>
      </c>
      <c r="D26" s="4">
        <v>0</v>
      </c>
      <c r="E26" s="4">
        <v>0</v>
      </c>
      <c r="F26" s="7">
        <v>212100</v>
      </c>
    </row>
    <row r="27" spans="1:6" outlineLevel="1" x14ac:dyDescent="0.25">
      <c r="A27" s="78" t="s">
        <v>88</v>
      </c>
      <c r="B27" s="62">
        <v>42064</v>
      </c>
      <c r="C27" s="4">
        <v>187700</v>
      </c>
      <c r="D27" s="4">
        <v>0</v>
      </c>
      <c r="E27" s="4">
        <v>0</v>
      </c>
      <c r="F27" s="7">
        <v>187700</v>
      </c>
    </row>
    <row r="28" spans="1:6" outlineLevel="1" x14ac:dyDescent="0.25">
      <c r="A28" s="78" t="s">
        <v>89</v>
      </c>
      <c r="B28" s="62">
        <v>42095</v>
      </c>
      <c r="C28" s="4">
        <v>89600</v>
      </c>
      <c r="D28" s="4">
        <v>0</v>
      </c>
      <c r="E28" s="4">
        <v>0</v>
      </c>
      <c r="F28" s="7">
        <v>89600</v>
      </c>
    </row>
    <row r="29" spans="1:6" outlineLevel="1" x14ac:dyDescent="0.25">
      <c r="A29" s="78" t="s">
        <v>90</v>
      </c>
      <c r="B29" s="62">
        <v>42125</v>
      </c>
      <c r="C29" s="4">
        <v>85100</v>
      </c>
      <c r="D29" s="4">
        <v>0</v>
      </c>
      <c r="E29" s="4">
        <v>0</v>
      </c>
      <c r="F29" s="7">
        <v>85100</v>
      </c>
    </row>
    <row r="30" spans="1:6" outlineLevel="1" x14ac:dyDescent="0.25">
      <c r="A30" s="78" t="s">
        <v>103</v>
      </c>
      <c r="B30" s="62">
        <v>42156</v>
      </c>
      <c r="C30" s="4">
        <v>99100</v>
      </c>
      <c r="D30" s="4">
        <v>0</v>
      </c>
      <c r="E30" s="4">
        <v>0</v>
      </c>
      <c r="F30" s="7">
        <v>99100</v>
      </c>
    </row>
    <row r="31" spans="1:6" outlineLevel="1" x14ac:dyDescent="0.25">
      <c r="A31" s="78" t="s">
        <v>104</v>
      </c>
      <c r="B31" s="62">
        <v>42186</v>
      </c>
      <c r="C31" s="4">
        <v>117000</v>
      </c>
      <c r="D31" s="4">
        <v>0</v>
      </c>
      <c r="E31" s="4">
        <v>0</v>
      </c>
      <c r="F31" s="7">
        <v>117000</v>
      </c>
    </row>
    <row r="32" spans="1:6" ht="13" outlineLevel="1" thickBot="1" x14ac:dyDescent="0.3">
      <c r="A32" s="78" t="s">
        <v>141</v>
      </c>
      <c r="B32" s="62">
        <v>42217</v>
      </c>
      <c r="C32" s="4">
        <v>121300</v>
      </c>
      <c r="D32" s="4">
        <v>0</v>
      </c>
      <c r="E32" s="4">
        <v>0</v>
      </c>
      <c r="F32" s="7">
        <v>121300</v>
      </c>
    </row>
    <row r="33" spans="1:17" ht="13" x14ac:dyDescent="0.3">
      <c r="B33" s="34" t="s">
        <v>0</v>
      </c>
      <c r="C33" s="109">
        <f>SUM(C2:C32)</f>
        <v>3815000</v>
      </c>
      <c r="D33" s="109">
        <f>SUM(D2:D32)</f>
        <v>0</v>
      </c>
      <c r="E33" s="109">
        <f>SUM(E2:E32)</f>
        <v>0</v>
      </c>
      <c r="F33" s="109">
        <f>SUM(F2:F32)</f>
        <v>3815000</v>
      </c>
      <c r="H33" s="153"/>
      <c r="I33" s="149" t="s">
        <v>13</v>
      </c>
      <c r="J33" s="149" t="s">
        <v>12</v>
      </c>
      <c r="K33" s="150" t="s">
        <v>20</v>
      </c>
      <c r="L33" s="151"/>
      <c r="M33" s="152"/>
    </row>
    <row r="34" spans="1:17" ht="46" customHeight="1" x14ac:dyDescent="0.3">
      <c r="A34" s="17" t="s">
        <v>142</v>
      </c>
      <c r="B34" s="18" t="s">
        <v>21</v>
      </c>
      <c r="C34" s="8">
        <v>-1420000</v>
      </c>
      <c r="D34" s="8">
        <v>0</v>
      </c>
      <c r="E34" s="8">
        <v>0</v>
      </c>
      <c r="F34" s="8">
        <f>SUM(C34:E34)</f>
        <v>-1420000</v>
      </c>
      <c r="H34" s="308" t="s">
        <v>10</v>
      </c>
      <c r="I34" s="84">
        <v>42216</v>
      </c>
      <c r="J34" s="85">
        <v>41991</v>
      </c>
      <c r="K34" s="343" t="s">
        <v>140</v>
      </c>
      <c r="L34" s="344"/>
      <c r="M34" s="345"/>
    </row>
    <row r="35" spans="1:17" ht="13.5" thickBot="1" x14ac:dyDescent="0.35">
      <c r="A35" s="17" t="s">
        <v>19</v>
      </c>
      <c r="B35" s="18" t="s">
        <v>21</v>
      </c>
      <c r="C35" s="8">
        <v>0</v>
      </c>
      <c r="D35" s="8">
        <v>0</v>
      </c>
      <c r="E35" s="8">
        <v>0</v>
      </c>
      <c r="F35" s="8">
        <f>SUM(C35:E35)</f>
        <v>0</v>
      </c>
      <c r="H35" s="148" t="s">
        <v>16</v>
      </c>
      <c r="I35" s="89">
        <v>42308</v>
      </c>
      <c r="J35" s="90">
        <v>42180</v>
      </c>
      <c r="K35" s="91"/>
      <c r="L35" s="92"/>
      <c r="M35" s="93"/>
    </row>
    <row r="36" spans="1:17" ht="13.5" thickBot="1" x14ac:dyDescent="0.35">
      <c r="B36" s="34" t="s">
        <v>50</v>
      </c>
      <c r="C36" s="65">
        <f>+SUM(C33:C35)</f>
        <v>2395000</v>
      </c>
      <c r="D36" s="65">
        <f>+SUM(D33:D35)</f>
        <v>0</v>
      </c>
      <c r="E36" s="65">
        <f>+SUM(E33:E35)</f>
        <v>0</v>
      </c>
      <c r="F36" s="65">
        <f>+SUM(F33:F35)</f>
        <v>2395000</v>
      </c>
    </row>
    <row r="37" spans="1:17" ht="14" thickTop="1" thickBot="1" x14ac:dyDescent="0.35">
      <c r="B37" s="34"/>
      <c r="C37" s="13"/>
      <c r="D37" s="13"/>
      <c r="E37" s="13"/>
      <c r="F37" s="13"/>
      <c r="L37" s="8">
        <f>190750*5-119750*5</f>
        <v>355000</v>
      </c>
    </row>
    <row r="38" spans="1:17" ht="13" x14ac:dyDescent="0.3">
      <c r="B38" s="33"/>
      <c r="C38" s="5"/>
      <c r="D38" s="17"/>
      <c r="I38" s="130"/>
      <c r="J38" s="113"/>
      <c r="K38" s="113"/>
      <c r="L38" s="113"/>
      <c r="M38" s="97"/>
    </row>
    <row r="39" spans="1:17" ht="37" x14ac:dyDescent="0.3">
      <c r="A39" s="77" t="s">
        <v>51</v>
      </c>
      <c r="B39" s="77" t="s">
        <v>3</v>
      </c>
      <c r="C39" s="77" t="s">
        <v>4</v>
      </c>
      <c r="D39" s="77" t="s">
        <v>5</v>
      </c>
      <c r="E39" s="77" t="s">
        <v>6</v>
      </c>
      <c r="F39" s="77" t="s">
        <v>7</v>
      </c>
      <c r="G39" s="77" t="s">
        <v>78</v>
      </c>
      <c r="H39" s="77" t="s">
        <v>79</v>
      </c>
      <c r="I39" s="94" t="s">
        <v>80</v>
      </c>
      <c r="J39" s="95" t="s">
        <v>81</v>
      </c>
      <c r="K39" s="95" t="s">
        <v>82</v>
      </c>
      <c r="L39" s="95" t="s">
        <v>83</v>
      </c>
      <c r="M39" s="96" t="s">
        <v>73</v>
      </c>
      <c r="N39" s="77" t="s">
        <v>84</v>
      </c>
      <c r="O39" s="77" t="s">
        <v>85</v>
      </c>
    </row>
    <row r="40" spans="1:17" ht="13" x14ac:dyDescent="0.3">
      <c r="A40" s="339" t="s">
        <v>2</v>
      </c>
      <c r="B40" s="339"/>
      <c r="C40" s="300">
        <f>$J$34</f>
        <v>41991</v>
      </c>
      <c r="D40" s="300">
        <f>DATE(YEAR(C40),IF(MONTH(C40)&lt;=3,3,IF(MONTH(C40)&lt;=6,6,IF(MONTH(C40)&lt;=9,9,12))),IF(OR(MONTH(C40)&lt;=3,MONTH(C40)&gt;=10),31,30))</f>
        <v>42004</v>
      </c>
      <c r="E40" s="301">
        <f>D40-C40+1</f>
        <v>14</v>
      </c>
      <c r="F40" s="302">
        <f>VLOOKUP(D40,'FERC Interest Rate'!$A:$C,2,TRUE)</f>
        <v>3.2500000000000001E-2</v>
      </c>
      <c r="G40" s="167">
        <f>$C$33</f>
        <v>3815000</v>
      </c>
      <c r="H40" s="167">
        <f>G40*F40*(E40/(DATE(YEAR(D40),12,31)-DATE(YEAR(D40),1,1)+1))</f>
        <v>4755.6849315068494</v>
      </c>
      <c r="I40" s="303">
        <v>0</v>
      </c>
      <c r="J40" s="167">
        <v>0</v>
      </c>
      <c r="K40" s="305">
        <f>+SUM(I40:J40)</f>
        <v>0</v>
      </c>
      <c r="L40" s="304">
        <v>0</v>
      </c>
      <c r="M40" s="306">
        <f>+SUM(K40:L40)</f>
        <v>0</v>
      </c>
      <c r="N40" s="307">
        <f>+G40+H40+J40</f>
        <v>3819755.6849315069</v>
      </c>
      <c r="O40" s="167">
        <f>+N40-M40</f>
        <v>3819755.6849315069</v>
      </c>
    </row>
    <row r="41" spans="1:17" ht="13" x14ac:dyDescent="0.3">
      <c r="A41" s="342"/>
      <c r="B41" s="342"/>
      <c r="C41" s="300">
        <f>D40+1</f>
        <v>42005</v>
      </c>
      <c r="D41" s="300">
        <f>EOMONTH(D40,3)</f>
        <v>42094</v>
      </c>
      <c r="E41" s="301">
        <f>D41-C41+1</f>
        <v>90</v>
      </c>
      <c r="F41" s="302">
        <f>VLOOKUP(D41,'FERC Interest Rate'!$A:$C,2,TRUE)</f>
        <v>3.2500000000000001E-2</v>
      </c>
      <c r="G41" s="167">
        <f t="shared" ref="G41:G59" si="0">O40</f>
        <v>3819755.6849315069</v>
      </c>
      <c r="H41" s="167">
        <f>G41*F41*(E41/(DATE(YEAR(D41),12,31)-DATE(YEAR(D41),1,1)+1))</f>
        <v>30610.370899793579</v>
      </c>
      <c r="I41" s="303">
        <v>0</v>
      </c>
      <c r="J41" s="167">
        <v>0</v>
      </c>
      <c r="K41" s="305">
        <f t="shared" ref="K41:K59" si="1">+SUM(I41:J41)</f>
        <v>0</v>
      </c>
      <c r="L41" s="304">
        <v>0</v>
      </c>
      <c r="M41" s="306">
        <f t="shared" ref="M41:M59" si="2">+SUM(K41:L41)</f>
        <v>0</v>
      </c>
      <c r="N41" s="307">
        <f t="shared" ref="N41:N59" si="3">+G41+H41+J41</f>
        <v>3850366.0558313006</v>
      </c>
      <c r="O41" s="167">
        <f t="shared" ref="O41:O62" si="4">+N41-M41</f>
        <v>3850366.0558313006</v>
      </c>
    </row>
    <row r="42" spans="1:17" ht="13" x14ac:dyDescent="0.3">
      <c r="A42" s="342"/>
      <c r="B42" s="342"/>
      <c r="C42" s="300">
        <f>D41+1</f>
        <v>42095</v>
      </c>
      <c r="D42" s="300">
        <f t="shared" ref="D42:D62" si="5">EOMONTH(D41,3)</f>
        <v>42185</v>
      </c>
      <c r="E42" s="301">
        <f>D42-C42+1</f>
        <v>91</v>
      </c>
      <c r="F42" s="302">
        <f>VLOOKUP(D42,'FERC Interest Rate'!$A:$C,2,TRUE)</f>
        <v>3.2500000000000001E-2</v>
      </c>
      <c r="G42" s="167">
        <f t="shared" si="0"/>
        <v>3850366.0558313006</v>
      </c>
      <c r="H42" s="167">
        <f>G42*F42*(E42/(DATE(YEAR(D42),12,31)-DATE(YEAR(D42),1,1)+1))</f>
        <v>31198.514000331703</v>
      </c>
      <c r="I42" s="303">
        <v>0</v>
      </c>
      <c r="J42" s="167">
        <v>0</v>
      </c>
      <c r="K42" s="305">
        <f t="shared" si="1"/>
        <v>0</v>
      </c>
      <c r="L42" s="304">
        <v>0</v>
      </c>
      <c r="M42" s="306">
        <f t="shared" si="2"/>
        <v>0</v>
      </c>
      <c r="N42" s="307">
        <f t="shared" si="3"/>
        <v>3881564.5698316321</v>
      </c>
      <c r="O42" s="167">
        <f t="shared" si="4"/>
        <v>3881564.5698316321</v>
      </c>
      <c r="P42" s="76"/>
      <c r="Q42" s="76"/>
    </row>
    <row r="43" spans="1:17" ht="13" x14ac:dyDescent="0.3">
      <c r="A43" s="342"/>
      <c r="B43" s="342"/>
      <c r="C43" s="300">
        <f>D42+1</f>
        <v>42186</v>
      </c>
      <c r="D43" s="300">
        <f t="shared" si="5"/>
        <v>42277</v>
      </c>
      <c r="E43" s="301">
        <f>D43-C43+1</f>
        <v>92</v>
      </c>
      <c r="F43" s="302">
        <f>VLOOKUP(D43,'FERC Interest Rate'!$A:$C,2,TRUE)</f>
        <v>3.2500000000000001E-2</v>
      </c>
      <c r="G43" s="167">
        <f>N42</f>
        <v>3881564.5698316321</v>
      </c>
      <c r="H43" s="167">
        <v>0</v>
      </c>
      <c r="I43" s="303">
        <v>0</v>
      </c>
      <c r="J43" s="304">
        <f t="shared" ref="J43:J59" si="6">G43*F43*(E43/(DATE(YEAR(D43),12,31)-DATE(YEAR(D43),1,1)+1))</f>
        <v>31796.926202182414</v>
      </c>
      <c r="K43" s="305">
        <f t="shared" si="1"/>
        <v>31796.926202182414</v>
      </c>
      <c r="L43" s="304">
        <v>0</v>
      </c>
      <c r="M43" s="306">
        <v>0</v>
      </c>
      <c r="N43" s="307">
        <f t="shared" si="3"/>
        <v>3913361.4960338143</v>
      </c>
      <c r="O43" s="167">
        <f t="shared" si="4"/>
        <v>3913361.4960338143</v>
      </c>
      <c r="P43" s="76"/>
      <c r="Q43" s="76"/>
    </row>
    <row r="44" spans="1:17" ht="13" x14ac:dyDescent="0.3">
      <c r="A44" s="342"/>
      <c r="B44" s="342"/>
      <c r="C44" s="300">
        <f t="shared" ref="C44:C59" si="7">D43+1</f>
        <v>42278</v>
      </c>
      <c r="D44" s="300">
        <f t="shared" si="5"/>
        <v>42369</v>
      </c>
      <c r="E44" s="301">
        <f t="shared" ref="E44:E59" si="8">D44-C44+1</f>
        <v>92</v>
      </c>
      <c r="F44" s="302">
        <f>VLOOKUP(D44,'FERC Interest Rate'!$A:$C,2,TRUE)</f>
        <v>3.2500000000000001E-2</v>
      </c>
      <c r="G44" s="167">
        <f>N43</f>
        <v>3913361.4960338143</v>
      </c>
      <c r="H44" s="167">
        <v>0</v>
      </c>
      <c r="I44" s="303">
        <v>0</v>
      </c>
      <c r="J44" s="304">
        <f t="shared" si="6"/>
        <v>32057.399652441389</v>
      </c>
      <c r="K44" s="305">
        <f t="shared" si="1"/>
        <v>32057.399652441389</v>
      </c>
      <c r="L44" s="304">
        <v>0</v>
      </c>
      <c r="M44" s="306">
        <v>0</v>
      </c>
      <c r="N44" s="307">
        <f t="shared" si="3"/>
        <v>3945418.8956862558</v>
      </c>
      <c r="O44" s="167">
        <f t="shared" si="4"/>
        <v>3945418.8956862558</v>
      </c>
      <c r="P44" s="76"/>
      <c r="Q44" s="76"/>
    </row>
    <row r="45" spans="1:17" x14ac:dyDescent="0.25">
      <c r="A45" s="78" t="s">
        <v>102</v>
      </c>
      <c r="B45" s="72" t="str">
        <f t="shared" ref="B45:B62" si="9">+IF(MONTH(C45)&lt;4,"Q1",IF(MONTH(C45)&lt;7,"Q2",IF(MONTH(C45)&lt;10,"Q3","Q4")))&amp;"/"&amp;YEAR(C45)</f>
        <v>Q1/2016</v>
      </c>
      <c r="C45" s="73">
        <f t="shared" si="7"/>
        <v>42370</v>
      </c>
      <c r="D45" s="73">
        <v>42429</v>
      </c>
      <c r="E45" s="72">
        <f t="shared" si="8"/>
        <v>60</v>
      </c>
      <c r="F45" s="74">
        <f>VLOOKUP(D45,'FERC Interest Rate'!$A:$C,2,TRUE)</f>
        <v>3.2500000000000001E-2</v>
      </c>
      <c r="G45" s="75">
        <f>N44</f>
        <v>3945418.8956862558</v>
      </c>
      <c r="H45" s="75">
        <v>0</v>
      </c>
      <c r="I45" s="99">
        <f>SUM($H$40:$H$63)/20*3</f>
        <v>9984.6854747448197</v>
      </c>
      <c r="J45" s="76">
        <f t="shared" si="6"/>
        <v>21020.674444230048</v>
      </c>
      <c r="K45" s="116">
        <f>+SUM(I43:J45)</f>
        <v>94859.68577359867</v>
      </c>
      <c r="L45" s="76">
        <f>$C$33/20*3</f>
        <v>572250</v>
      </c>
      <c r="M45" s="117">
        <f t="shared" si="2"/>
        <v>667109.68577359873</v>
      </c>
      <c r="N45" s="8">
        <f t="shared" si="3"/>
        <v>3966439.570130486</v>
      </c>
      <c r="O45" s="75">
        <f t="shared" si="4"/>
        <v>3299329.8843568871</v>
      </c>
      <c r="P45" s="76"/>
      <c r="Q45" s="76"/>
    </row>
    <row r="46" spans="1:17" x14ac:dyDescent="0.25">
      <c r="A46" s="17" t="s">
        <v>55</v>
      </c>
      <c r="B46" s="72" t="str">
        <f t="shared" si="9"/>
        <v>Q1/2016</v>
      </c>
      <c r="C46" s="73">
        <f t="shared" si="7"/>
        <v>42430</v>
      </c>
      <c r="D46" s="73">
        <f>EOMONTH(D45,1)</f>
        <v>42460</v>
      </c>
      <c r="E46" s="72">
        <f t="shared" si="8"/>
        <v>31</v>
      </c>
      <c r="F46" s="74">
        <f>VLOOKUP(D46,'FERC Interest Rate'!$A:$C,2,TRUE)</f>
        <v>3.2500000000000001E-2</v>
      </c>
      <c r="G46" s="75">
        <f t="shared" si="0"/>
        <v>3299329.8843568871</v>
      </c>
      <c r="H46" s="75">
        <v>0</v>
      </c>
      <c r="I46" s="99">
        <f t="shared" ref="I46:I62" si="10">SUM($H$40:$H$63)/20</f>
        <v>3328.2284915816067</v>
      </c>
      <c r="J46" s="76">
        <f t="shared" si="6"/>
        <v>9082.1717445070044</v>
      </c>
      <c r="K46" s="116">
        <f t="shared" si="1"/>
        <v>12410.400236088612</v>
      </c>
      <c r="L46" s="76">
        <f>$C$33/20</f>
        <v>190750</v>
      </c>
      <c r="M46" s="117">
        <f t="shared" si="2"/>
        <v>203160.40023608861</v>
      </c>
      <c r="N46" s="8">
        <f t="shared" si="3"/>
        <v>3308412.0561013939</v>
      </c>
      <c r="O46" s="75">
        <f t="shared" si="4"/>
        <v>3105251.6558653051</v>
      </c>
      <c r="P46" s="76"/>
      <c r="Q46" s="76"/>
    </row>
    <row r="47" spans="1:17" x14ac:dyDescent="0.25">
      <c r="A47" s="17" t="s">
        <v>56</v>
      </c>
      <c r="B47" s="72" t="str">
        <f t="shared" si="9"/>
        <v>Q2/2016</v>
      </c>
      <c r="C47" s="73">
        <f t="shared" si="7"/>
        <v>42461</v>
      </c>
      <c r="D47" s="73">
        <f t="shared" si="5"/>
        <v>42551</v>
      </c>
      <c r="E47" s="72">
        <f t="shared" si="8"/>
        <v>91</v>
      </c>
      <c r="F47" s="74">
        <f>VLOOKUP(D47,'FERC Interest Rate'!$A:$C,2,TRUE)</f>
        <v>3.4599999999999999E-2</v>
      </c>
      <c r="G47" s="75">
        <f t="shared" si="0"/>
        <v>3105251.6558653051</v>
      </c>
      <c r="H47" s="75">
        <v>0</v>
      </c>
      <c r="I47" s="99">
        <f t="shared" si="10"/>
        <v>3328.2284915816067</v>
      </c>
      <c r="J47" s="76">
        <f t="shared" si="6"/>
        <v>26713.648534583332</v>
      </c>
      <c r="K47" s="116">
        <f t="shared" si="1"/>
        <v>30041.877026164937</v>
      </c>
      <c r="L47" s="76">
        <f>$C$33/20</f>
        <v>190750</v>
      </c>
      <c r="M47" s="117">
        <f t="shared" si="2"/>
        <v>220791.87702616493</v>
      </c>
      <c r="N47" s="8">
        <f t="shared" si="3"/>
        <v>3131965.3043998885</v>
      </c>
      <c r="O47" s="75">
        <f t="shared" si="4"/>
        <v>2911173.4273737236</v>
      </c>
      <c r="P47" s="76"/>
      <c r="Q47" s="76"/>
    </row>
    <row r="48" spans="1:17" x14ac:dyDescent="0.25">
      <c r="A48" s="17" t="s">
        <v>57</v>
      </c>
      <c r="B48" s="72" t="str">
        <f t="shared" si="9"/>
        <v>Q3/2016</v>
      </c>
      <c r="C48" s="73">
        <f t="shared" si="7"/>
        <v>42552</v>
      </c>
      <c r="D48" s="73">
        <f t="shared" si="5"/>
        <v>42643</v>
      </c>
      <c r="E48" s="72">
        <f t="shared" si="8"/>
        <v>92</v>
      </c>
      <c r="F48" s="74">
        <f>VLOOKUP(D48,'FERC Interest Rate'!$A:$C,2,TRUE)</f>
        <v>3.5000000000000003E-2</v>
      </c>
      <c r="G48" s="75">
        <f t="shared" si="0"/>
        <v>2911173.4273737236</v>
      </c>
      <c r="H48" s="75">
        <v>0</v>
      </c>
      <c r="I48" s="99">
        <f t="shared" si="10"/>
        <v>3328.2284915816067</v>
      </c>
      <c r="J48" s="76">
        <f t="shared" si="6"/>
        <v>25611.962940282487</v>
      </c>
      <c r="K48" s="116">
        <f t="shared" si="1"/>
        <v>28940.191431864092</v>
      </c>
      <c r="L48" s="76">
        <f>($C$36/20)-L37</f>
        <v>-235250</v>
      </c>
      <c r="M48" s="117">
        <f t="shared" si="2"/>
        <v>-206309.80856813589</v>
      </c>
      <c r="N48" s="8">
        <f t="shared" si="3"/>
        <v>2936785.3903140062</v>
      </c>
      <c r="O48" s="75">
        <f>+N48-M48-1420000</f>
        <v>1723095.1988821421</v>
      </c>
      <c r="P48" s="76"/>
      <c r="Q48" s="76"/>
    </row>
    <row r="49" spans="1:17" x14ac:dyDescent="0.25">
      <c r="A49" s="17" t="s">
        <v>58</v>
      </c>
      <c r="B49" s="72" t="str">
        <f t="shared" si="9"/>
        <v>Q4/2016</v>
      </c>
      <c r="C49" s="73">
        <f t="shared" si="7"/>
        <v>42644</v>
      </c>
      <c r="D49" s="73">
        <f t="shared" si="5"/>
        <v>42735</v>
      </c>
      <c r="E49" s="72">
        <f t="shared" si="8"/>
        <v>92</v>
      </c>
      <c r="F49" s="74">
        <f>VLOOKUP(D49,'FERC Interest Rate'!$A:$C,2,TRUE)</f>
        <v>3.5000000000000003E-2</v>
      </c>
      <c r="G49" s="75">
        <f t="shared" si="0"/>
        <v>1723095.1988821421</v>
      </c>
      <c r="H49" s="75">
        <v>0</v>
      </c>
      <c r="I49" s="99">
        <f t="shared" si="10"/>
        <v>3328.2284915816067</v>
      </c>
      <c r="J49" s="76">
        <f t="shared" si="6"/>
        <v>15159.471421859285</v>
      </c>
      <c r="K49" s="116">
        <f t="shared" si="1"/>
        <v>18487.699913440891</v>
      </c>
      <c r="L49" s="76">
        <f t="shared" ref="L49:L62" si="11">$C$36/20</f>
        <v>119750</v>
      </c>
      <c r="M49" s="117">
        <f t="shared" si="2"/>
        <v>138237.69991344088</v>
      </c>
      <c r="N49" s="8">
        <f t="shared" si="3"/>
        <v>1738254.6703040013</v>
      </c>
      <c r="O49" s="75">
        <f t="shared" si="4"/>
        <v>1600016.9703905603</v>
      </c>
      <c r="P49" s="76"/>
      <c r="Q49" s="76"/>
    </row>
    <row r="50" spans="1:17" x14ac:dyDescent="0.25">
      <c r="A50" s="17" t="s">
        <v>59</v>
      </c>
      <c r="B50" s="72" t="str">
        <f t="shared" si="9"/>
        <v>Q1/2017</v>
      </c>
      <c r="C50" s="73">
        <f t="shared" si="7"/>
        <v>42736</v>
      </c>
      <c r="D50" s="73">
        <f t="shared" si="5"/>
        <v>42825</v>
      </c>
      <c r="E50" s="72">
        <f t="shared" si="8"/>
        <v>90</v>
      </c>
      <c r="F50" s="74">
        <f>VLOOKUP(D50,'FERC Interest Rate'!$A:$C,2,TRUE)</f>
        <v>3.5000000000000003E-2</v>
      </c>
      <c r="G50" s="75">
        <f t="shared" si="0"/>
        <v>1600016.9703905603</v>
      </c>
      <c r="H50" s="75">
        <v>0</v>
      </c>
      <c r="I50" s="99">
        <f t="shared" si="10"/>
        <v>3328.2284915816067</v>
      </c>
      <c r="J50" s="76">
        <f t="shared" si="6"/>
        <v>13808.36563487744</v>
      </c>
      <c r="K50" s="116">
        <f t="shared" si="1"/>
        <v>17136.594126459047</v>
      </c>
      <c r="L50" s="76">
        <f t="shared" si="11"/>
        <v>119750</v>
      </c>
      <c r="M50" s="117">
        <f t="shared" si="2"/>
        <v>136886.59412645904</v>
      </c>
      <c r="N50" s="8">
        <f t="shared" si="3"/>
        <v>1613825.3360254378</v>
      </c>
      <c r="O50" s="75">
        <f t="shared" si="4"/>
        <v>1476938.7418989788</v>
      </c>
      <c r="P50" s="76"/>
      <c r="Q50" s="76"/>
    </row>
    <row r="51" spans="1:17" x14ac:dyDescent="0.25">
      <c r="A51" s="17" t="s">
        <v>60</v>
      </c>
      <c r="B51" s="72" t="str">
        <f t="shared" si="9"/>
        <v>Q2/2017</v>
      </c>
      <c r="C51" s="73">
        <f t="shared" si="7"/>
        <v>42826</v>
      </c>
      <c r="D51" s="73">
        <f t="shared" si="5"/>
        <v>42916</v>
      </c>
      <c r="E51" s="72">
        <f t="shared" si="8"/>
        <v>91</v>
      </c>
      <c r="F51" s="74">
        <f>VLOOKUP(D51,'FERC Interest Rate'!$A:$C,2,TRUE)</f>
        <v>3.7100000000000001E-2</v>
      </c>
      <c r="G51" s="75">
        <f t="shared" si="0"/>
        <v>1476938.7418989788</v>
      </c>
      <c r="H51" s="75">
        <v>0</v>
      </c>
      <c r="I51" s="99">
        <f t="shared" si="10"/>
        <v>3328.2284915816067</v>
      </c>
      <c r="J51" s="76">
        <f t="shared" si="6"/>
        <v>13661.076401438748</v>
      </c>
      <c r="K51" s="116">
        <f t="shared" si="1"/>
        <v>16989.304893020355</v>
      </c>
      <c r="L51" s="76">
        <f t="shared" si="11"/>
        <v>119750</v>
      </c>
      <c r="M51" s="117">
        <f t="shared" si="2"/>
        <v>136739.30489302037</v>
      </c>
      <c r="N51" s="8">
        <f t="shared" si="3"/>
        <v>1490599.8183004176</v>
      </c>
      <c r="O51" s="75">
        <f t="shared" si="4"/>
        <v>1353860.5134073973</v>
      </c>
      <c r="P51" s="76"/>
      <c r="Q51" s="76"/>
    </row>
    <row r="52" spans="1:17" x14ac:dyDescent="0.25">
      <c r="A52" s="17" t="s">
        <v>61</v>
      </c>
      <c r="B52" s="72" t="str">
        <f t="shared" si="9"/>
        <v>Q3/2017</v>
      </c>
      <c r="C52" s="73">
        <f t="shared" si="7"/>
        <v>42917</v>
      </c>
      <c r="D52" s="73">
        <f t="shared" si="5"/>
        <v>43008</v>
      </c>
      <c r="E52" s="72">
        <f t="shared" si="8"/>
        <v>92</v>
      </c>
      <c r="F52" s="74">
        <f>VLOOKUP(D52,'FERC Interest Rate'!$A:$C,2,TRUE)</f>
        <v>3.9600000000000003E-2</v>
      </c>
      <c r="G52" s="75">
        <f t="shared" si="0"/>
        <v>1353860.5134073973</v>
      </c>
      <c r="H52" s="75">
        <v>0</v>
      </c>
      <c r="I52" s="99">
        <f t="shared" si="10"/>
        <v>3328.2284915816067</v>
      </c>
      <c r="J52" s="76">
        <f t="shared" si="6"/>
        <v>13513.38252724885</v>
      </c>
      <c r="K52" s="116">
        <f t="shared" si="1"/>
        <v>16841.611018830456</v>
      </c>
      <c r="L52" s="76">
        <f t="shared" si="11"/>
        <v>119750</v>
      </c>
      <c r="M52" s="117">
        <f t="shared" si="2"/>
        <v>136591.61101883044</v>
      </c>
      <c r="N52" s="8">
        <f t="shared" si="3"/>
        <v>1367373.8959346463</v>
      </c>
      <c r="O52" s="75">
        <f t="shared" si="4"/>
        <v>1230782.2849158158</v>
      </c>
      <c r="P52" s="76"/>
      <c r="Q52" s="76"/>
    </row>
    <row r="53" spans="1:17" x14ac:dyDescent="0.25">
      <c r="A53" s="17" t="s">
        <v>62</v>
      </c>
      <c r="B53" s="72" t="str">
        <f t="shared" si="9"/>
        <v>Q4/2017</v>
      </c>
      <c r="C53" s="73">
        <f t="shared" si="7"/>
        <v>43009</v>
      </c>
      <c r="D53" s="73">
        <f t="shared" si="5"/>
        <v>43100</v>
      </c>
      <c r="E53" s="72">
        <f t="shared" si="8"/>
        <v>92</v>
      </c>
      <c r="F53" s="74">
        <f>VLOOKUP(D53,'FERC Interest Rate'!$A:$C,2,TRUE)</f>
        <v>4.2099999999999999E-2</v>
      </c>
      <c r="G53" s="75">
        <f t="shared" si="0"/>
        <v>1230782.2849158158</v>
      </c>
      <c r="H53" s="75">
        <v>0</v>
      </c>
      <c r="I53" s="99">
        <f t="shared" si="10"/>
        <v>3328.2284915816067</v>
      </c>
      <c r="J53" s="76">
        <f t="shared" si="6"/>
        <v>13060.45464639983</v>
      </c>
      <c r="K53" s="116">
        <f t="shared" si="1"/>
        <v>16388.683137981436</v>
      </c>
      <c r="L53" s="76">
        <f t="shared" si="11"/>
        <v>119750</v>
      </c>
      <c r="M53" s="117">
        <f t="shared" si="2"/>
        <v>136138.68313798142</v>
      </c>
      <c r="N53" s="8">
        <f t="shared" si="3"/>
        <v>1243842.7395622157</v>
      </c>
      <c r="O53" s="75">
        <f t="shared" si="4"/>
        <v>1107704.0564242343</v>
      </c>
      <c r="P53" s="76"/>
      <c r="Q53" s="76"/>
    </row>
    <row r="54" spans="1:17" x14ac:dyDescent="0.25">
      <c r="A54" s="17" t="s">
        <v>63</v>
      </c>
      <c r="B54" s="72" t="str">
        <f t="shared" si="9"/>
        <v>Q1/2018</v>
      </c>
      <c r="C54" s="73">
        <f t="shared" si="7"/>
        <v>43101</v>
      </c>
      <c r="D54" s="73">
        <f t="shared" si="5"/>
        <v>43190</v>
      </c>
      <c r="E54" s="72">
        <f t="shared" si="8"/>
        <v>90</v>
      </c>
      <c r="F54" s="74">
        <f>VLOOKUP(D54,'FERC Interest Rate'!$A:$C,2,TRUE)</f>
        <v>4.2500000000000003E-2</v>
      </c>
      <c r="G54" s="75">
        <f t="shared" si="0"/>
        <v>1107704.0564242343</v>
      </c>
      <c r="H54" s="75">
        <v>0</v>
      </c>
      <c r="I54" s="99">
        <f t="shared" si="10"/>
        <v>3328.2284915816067</v>
      </c>
      <c r="J54" s="76">
        <f t="shared" si="6"/>
        <v>11608.131550199167</v>
      </c>
      <c r="K54" s="116">
        <f t="shared" si="1"/>
        <v>14936.360041780774</v>
      </c>
      <c r="L54" s="76">
        <f t="shared" si="11"/>
        <v>119750</v>
      </c>
      <c r="M54" s="117">
        <f t="shared" si="2"/>
        <v>134686.36004178078</v>
      </c>
      <c r="N54" s="8">
        <f t="shared" si="3"/>
        <v>1119312.1879744334</v>
      </c>
      <c r="O54" s="75">
        <f t="shared" si="4"/>
        <v>984625.82793265267</v>
      </c>
      <c r="P54" s="76"/>
      <c r="Q54" s="76"/>
    </row>
    <row r="55" spans="1:17" x14ac:dyDescent="0.25">
      <c r="A55" s="17" t="s">
        <v>64</v>
      </c>
      <c r="B55" s="72" t="str">
        <f t="shared" si="9"/>
        <v>Q2/2018</v>
      </c>
      <c r="C55" s="73">
        <f t="shared" si="7"/>
        <v>43191</v>
      </c>
      <c r="D55" s="73">
        <f t="shared" si="5"/>
        <v>43281</v>
      </c>
      <c r="E55" s="72">
        <f t="shared" si="8"/>
        <v>91</v>
      </c>
      <c r="F55" s="74">
        <f>VLOOKUP(D55,'FERC Interest Rate'!$A:$C,2,TRUE)</f>
        <v>4.4699999999999997E-2</v>
      </c>
      <c r="G55" s="75">
        <f t="shared" si="0"/>
        <v>984625.82793265267</v>
      </c>
      <c r="H55" s="75">
        <v>0</v>
      </c>
      <c r="I55" s="99">
        <f t="shared" si="10"/>
        <v>3328.2284915816067</v>
      </c>
      <c r="J55" s="76">
        <f t="shared" si="6"/>
        <v>10973.047891182607</v>
      </c>
      <c r="K55" s="116">
        <f t="shared" si="1"/>
        <v>14301.276382764214</v>
      </c>
      <c r="L55" s="76">
        <f t="shared" si="11"/>
        <v>119750</v>
      </c>
      <c r="M55" s="117">
        <f t="shared" si="2"/>
        <v>134051.27638276422</v>
      </c>
      <c r="N55" s="8">
        <f t="shared" si="3"/>
        <v>995598.87582383526</v>
      </c>
      <c r="O55" s="75">
        <f t="shared" si="4"/>
        <v>861547.59944107104</v>
      </c>
      <c r="P55" s="76"/>
      <c r="Q55" s="76"/>
    </row>
    <row r="56" spans="1:17" x14ac:dyDescent="0.25">
      <c r="A56" s="17" t="s">
        <v>65</v>
      </c>
      <c r="B56" s="72" t="str">
        <f t="shared" si="9"/>
        <v>Q3/2018</v>
      </c>
      <c r="C56" s="73">
        <f t="shared" si="7"/>
        <v>43282</v>
      </c>
      <c r="D56" s="73">
        <f t="shared" si="5"/>
        <v>43373</v>
      </c>
      <c r="E56" s="72">
        <f t="shared" si="8"/>
        <v>92</v>
      </c>
      <c r="F56" s="74">
        <f>VLOOKUP(D56,'FERC Interest Rate'!$A:$C,2,TRUE)</f>
        <v>4.6899999999999997E-2</v>
      </c>
      <c r="G56" s="75">
        <f t="shared" si="0"/>
        <v>861547.59944107104</v>
      </c>
      <c r="H56" s="75">
        <v>0</v>
      </c>
      <c r="I56" s="99">
        <f t="shared" si="10"/>
        <v>3328.2284915816067</v>
      </c>
      <c r="J56" s="76">
        <f t="shared" si="6"/>
        <v>10184.672827584474</v>
      </c>
      <c r="K56" s="116">
        <f t="shared" si="1"/>
        <v>13512.901319166082</v>
      </c>
      <c r="L56" s="76">
        <f t="shared" si="11"/>
        <v>119750</v>
      </c>
      <c r="M56" s="117">
        <f t="shared" si="2"/>
        <v>133262.90131916609</v>
      </c>
      <c r="N56" s="8">
        <f t="shared" si="3"/>
        <v>871732.27226865548</v>
      </c>
      <c r="O56" s="75">
        <f t="shared" si="4"/>
        <v>738469.37094948941</v>
      </c>
      <c r="P56" s="76"/>
      <c r="Q56" s="76"/>
    </row>
    <row r="57" spans="1:17" x14ac:dyDescent="0.25">
      <c r="A57" s="17" t="s">
        <v>66</v>
      </c>
      <c r="B57" s="72" t="str">
        <f t="shared" si="9"/>
        <v>Q4/2018</v>
      </c>
      <c r="C57" s="73">
        <f t="shared" si="7"/>
        <v>43374</v>
      </c>
      <c r="D57" s="73">
        <f t="shared" si="5"/>
        <v>43465</v>
      </c>
      <c r="E57" s="72">
        <f t="shared" si="8"/>
        <v>92</v>
      </c>
      <c r="F57" s="74">
        <f>VLOOKUP(D57,'FERC Interest Rate'!$A:$C,2,TRUE)</f>
        <v>4.9599999999999998E-2</v>
      </c>
      <c r="G57" s="75">
        <f t="shared" si="0"/>
        <v>738469.37094948941</v>
      </c>
      <c r="H57" s="75">
        <v>0</v>
      </c>
      <c r="I57" s="99">
        <f t="shared" si="10"/>
        <v>3328.2284915816067</v>
      </c>
      <c r="J57" s="76">
        <f t="shared" si="6"/>
        <v>9232.283379497836</v>
      </c>
      <c r="K57" s="116">
        <f t="shared" si="1"/>
        <v>12560.511871079443</v>
      </c>
      <c r="L57" s="76">
        <f t="shared" si="11"/>
        <v>119750</v>
      </c>
      <c r="M57" s="117">
        <f t="shared" si="2"/>
        <v>132310.51187107945</v>
      </c>
      <c r="N57" s="8">
        <f t="shared" si="3"/>
        <v>747701.65432898724</v>
      </c>
      <c r="O57" s="75">
        <f t="shared" si="4"/>
        <v>615391.14245790779</v>
      </c>
      <c r="P57" s="76"/>
      <c r="Q57" s="76"/>
    </row>
    <row r="58" spans="1:17" x14ac:dyDescent="0.25">
      <c r="A58" s="17" t="s">
        <v>67</v>
      </c>
      <c r="B58" s="72" t="str">
        <f t="shared" si="9"/>
        <v>Q1/2019</v>
      </c>
      <c r="C58" s="73">
        <f t="shared" si="7"/>
        <v>43466</v>
      </c>
      <c r="D58" s="73">
        <f t="shared" si="5"/>
        <v>43555</v>
      </c>
      <c r="E58" s="72">
        <f t="shared" si="8"/>
        <v>90</v>
      </c>
      <c r="F58" s="74">
        <f>VLOOKUP(D58,'FERC Interest Rate'!$A:$C,2,TRUE)</f>
        <v>5.1799999999999999E-2</v>
      </c>
      <c r="G58" s="75">
        <f t="shared" si="0"/>
        <v>615391.14245790779</v>
      </c>
      <c r="H58" s="75">
        <v>0</v>
      </c>
      <c r="I58" s="99">
        <f t="shared" si="10"/>
        <v>3328.2284915816067</v>
      </c>
      <c r="J58" s="76">
        <f t="shared" si="6"/>
        <v>7860.1465921610024</v>
      </c>
      <c r="K58" s="116">
        <f t="shared" si="1"/>
        <v>11188.375083742609</v>
      </c>
      <c r="L58" s="76">
        <f t="shared" si="11"/>
        <v>119750</v>
      </c>
      <c r="M58" s="117">
        <f t="shared" si="2"/>
        <v>130938.37508374261</v>
      </c>
      <c r="N58" s="8">
        <f t="shared" si="3"/>
        <v>623251.28905006882</v>
      </c>
      <c r="O58" s="75">
        <f t="shared" si="4"/>
        <v>492312.91396632622</v>
      </c>
      <c r="P58" s="76"/>
      <c r="Q58" s="76"/>
    </row>
    <row r="59" spans="1:17" x14ac:dyDescent="0.25">
      <c r="A59" s="17" t="s">
        <v>68</v>
      </c>
      <c r="B59" s="72" t="str">
        <f t="shared" si="9"/>
        <v>Q2/2019</v>
      </c>
      <c r="C59" s="73">
        <f t="shared" si="7"/>
        <v>43556</v>
      </c>
      <c r="D59" s="73">
        <f t="shared" si="5"/>
        <v>43646</v>
      </c>
      <c r="E59" s="72">
        <f t="shared" si="8"/>
        <v>91</v>
      </c>
      <c r="F59" s="74">
        <f>VLOOKUP(D59,'FERC Interest Rate'!$A:$C,2,TRUE)</f>
        <v>5.45E-2</v>
      </c>
      <c r="G59" s="75">
        <f t="shared" si="0"/>
        <v>492312.91396632622</v>
      </c>
      <c r="H59" s="75">
        <v>0</v>
      </c>
      <c r="I59" s="99">
        <f t="shared" si="10"/>
        <v>3328.2284915816067</v>
      </c>
      <c r="J59" s="76">
        <f t="shared" si="6"/>
        <v>6689.3860186739594</v>
      </c>
      <c r="K59" s="116">
        <f t="shared" si="1"/>
        <v>10017.614510255566</v>
      </c>
      <c r="L59" s="76">
        <f t="shared" si="11"/>
        <v>119750</v>
      </c>
      <c r="M59" s="117">
        <f t="shared" si="2"/>
        <v>129767.61451025556</v>
      </c>
      <c r="N59" s="8">
        <f t="shared" si="3"/>
        <v>499002.29998500017</v>
      </c>
      <c r="O59" s="75">
        <f t="shared" si="4"/>
        <v>369234.68547474459</v>
      </c>
      <c r="P59" s="76"/>
      <c r="Q59" s="76"/>
    </row>
    <row r="60" spans="1:17" x14ac:dyDescent="0.25">
      <c r="A60" s="17" t="s">
        <v>69</v>
      </c>
      <c r="B60" s="72" t="str">
        <f t="shared" si="9"/>
        <v>Q3/2019</v>
      </c>
      <c r="C60" s="73">
        <f>D59+1</f>
        <v>43647</v>
      </c>
      <c r="D60" s="73">
        <f t="shared" si="5"/>
        <v>43738</v>
      </c>
      <c r="E60" s="72">
        <f>D60-C60+1</f>
        <v>92</v>
      </c>
      <c r="F60" s="74">
        <f>VLOOKUP(D60,'FERC Interest Rate'!$A:$C,2,TRUE)</f>
        <v>5.5E-2</v>
      </c>
      <c r="G60" s="75">
        <f>O59</f>
        <v>369234.68547474459</v>
      </c>
      <c r="H60" s="75">
        <v>0</v>
      </c>
      <c r="I60" s="99">
        <f t="shared" si="10"/>
        <v>3328.2284915816067</v>
      </c>
      <c r="J60" s="76">
        <f>G60*F60*(E60/(DATE(YEAR(D60),12,31)-DATE(YEAR(D60),1,1)+1))</f>
        <v>5118.7055027457745</v>
      </c>
      <c r="K60" s="116">
        <f>+SUM(I60:J60)</f>
        <v>8446.9339943273808</v>
      </c>
      <c r="L60" s="76">
        <f t="shared" si="11"/>
        <v>119750</v>
      </c>
      <c r="M60" s="117">
        <f>+SUM(K60:L60)</f>
        <v>128196.93399432738</v>
      </c>
      <c r="N60" s="8">
        <f>+G60+H60+J60</f>
        <v>374353.39097749034</v>
      </c>
      <c r="O60" s="75">
        <f t="shared" si="4"/>
        <v>246156.45698316296</v>
      </c>
      <c r="P60" s="76"/>
      <c r="Q60" s="76"/>
    </row>
    <row r="61" spans="1:17" x14ac:dyDescent="0.25">
      <c r="A61" s="78" t="s">
        <v>70</v>
      </c>
      <c r="B61" s="72" t="str">
        <f t="shared" si="9"/>
        <v>Q4/2019</v>
      </c>
      <c r="C61" s="73">
        <f>D60+1</f>
        <v>43739</v>
      </c>
      <c r="D61" s="73">
        <f t="shared" si="5"/>
        <v>43830</v>
      </c>
      <c r="E61" s="72">
        <f>D61-C61+1</f>
        <v>92</v>
      </c>
      <c r="F61" s="74">
        <f>VLOOKUP(D61,'FERC Interest Rate'!$A:$C,2,TRUE)</f>
        <v>5.4199999999999998E-2</v>
      </c>
      <c r="G61" s="75">
        <f>O60</f>
        <v>246156.45698316296</v>
      </c>
      <c r="H61" s="75">
        <v>0</v>
      </c>
      <c r="I61" s="99">
        <f t="shared" si="10"/>
        <v>3328.2284915816067</v>
      </c>
      <c r="J61" s="76">
        <f>G61*F61*(E61/(DATE(YEAR(D61),12,31)-DATE(YEAR(D61),1,1)+1))</f>
        <v>3362.8344030160101</v>
      </c>
      <c r="K61" s="116">
        <f>+SUM(I61:J61)</f>
        <v>6691.0628945976168</v>
      </c>
      <c r="L61" s="76">
        <f t="shared" si="11"/>
        <v>119750</v>
      </c>
      <c r="M61" s="117">
        <f>+SUM(K61:L61)</f>
        <v>126441.06289459762</v>
      </c>
      <c r="N61" s="8">
        <f>+G61+H61+J61</f>
        <v>249519.29138617899</v>
      </c>
      <c r="O61" s="75">
        <f t="shared" si="4"/>
        <v>123078.22849158137</v>
      </c>
      <c r="P61" s="76"/>
      <c r="Q61" s="76"/>
    </row>
    <row r="62" spans="1:17" x14ac:dyDescent="0.25">
      <c r="A62" s="78" t="s">
        <v>71</v>
      </c>
      <c r="B62" s="72" t="str">
        <f t="shared" si="9"/>
        <v>Q1/2020</v>
      </c>
      <c r="C62" s="73">
        <f>D61+1</f>
        <v>43831</v>
      </c>
      <c r="D62" s="73">
        <f t="shared" si="5"/>
        <v>43921</v>
      </c>
      <c r="E62" s="72">
        <f>D62-C62+1</f>
        <v>91</v>
      </c>
      <c r="F62" s="74">
        <f>VLOOKUP(D62,'FERC Interest Rate'!$A:$C,2,TRUE)</f>
        <v>4.9599999999999998E-2</v>
      </c>
      <c r="G62" s="75">
        <f>O61</f>
        <v>123078.22849158137</v>
      </c>
      <c r="H62" s="75">
        <v>0</v>
      </c>
      <c r="I62" s="99">
        <f t="shared" si="10"/>
        <v>3328.2284915816067</v>
      </c>
      <c r="J62" s="76">
        <f>G62*F62*(E62/(DATE(YEAR(D62),12,31)-DATE(YEAR(D62),1,1)+1))</f>
        <v>1517.8303063377093</v>
      </c>
      <c r="K62" s="116">
        <f>+SUM(I62:J62)</f>
        <v>4846.058797919316</v>
      </c>
      <c r="L62" s="76">
        <f t="shared" si="11"/>
        <v>119750</v>
      </c>
      <c r="M62" s="117">
        <f>+SUM(K62:L62)</f>
        <v>124596.05879791932</v>
      </c>
      <c r="N62" s="8">
        <f>+G62+H62+J62</f>
        <v>124596.05879791908</v>
      </c>
      <c r="O62" s="75">
        <f t="shared" si="4"/>
        <v>-2.4738255888223648E-10</v>
      </c>
      <c r="P62" s="76"/>
      <c r="Q62" s="76"/>
    </row>
    <row r="63" spans="1:17" x14ac:dyDescent="0.25">
      <c r="B63" s="72"/>
      <c r="C63" s="132"/>
      <c r="D63" s="132"/>
      <c r="E63" s="72"/>
      <c r="F63" s="74"/>
      <c r="G63" s="75"/>
      <c r="H63" s="75"/>
      <c r="I63" s="99"/>
      <c r="J63" s="76"/>
      <c r="K63" s="103"/>
      <c r="L63" s="76"/>
      <c r="M63" s="118"/>
      <c r="O63" s="75"/>
    </row>
    <row r="64" spans="1:17" ht="13.5" thickBot="1" x14ac:dyDescent="0.35">
      <c r="A64" s="142"/>
      <c r="B64" s="143"/>
      <c r="C64" s="146"/>
      <c r="D64" s="146"/>
      <c r="E64" s="145"/>
      <c r="F64" s="143"/>
      <c r="G64" s="127">
        <f t="shared" ref="G64:O64" si="12">+SUM(G40:G63)</f>
        <v>45464435.661526494</v>
      </c>
      <c r="H64" s="127">
        <f t="shared" si="12"/>
        <v>66564.569831632136</v>
      </c>
      <c r="I64" s="128">
        <f t="shared" si="12"/>
        <v>66564.569831632121</v>
      </c>
      <c r="J64" s="127">
        <f t="shared" si="12"/>
        <v>282032.5726214493</v>
      </c>
      <c r="K64" s="127">
        <f t="shared" si="12"/>
        <v>412451.46830770525</v>
      </c>
      <c r="L64" s="127">
        <f t="shared" si="12"/>
        <v>2395000</v>
      </c>
      <c r="M64" s="129">
        <f t="shared" si="12"/>
        <v>2743597.1424530814</v>
      </c>
      <c r="N64" s="127">
        <f t="shared" si="12"/>
        <v>45813032.803979568</v>
      </c>
      <c r="O64" s="127">
        <f t="shared" si="12"/>
        <v>41649435.661526501</v>
      </c>
      <c r="P64" s="8"/>
    </row>
    <row r="65" spans="2:16" ht="13" thickTop="1" x14ac:dyDescent="0.25">
      <c r="B65" s="2"/>
      <c r="C65" s="9"/>
      <c r="D65" s="9"/>
      <c r="E65" s="10"/>
      <c r="F65" s="11"/>
      <c r="G65" s="16"/>
      <c r="H65" s="14"/>
      <c r="I65" s="101"/>
      <c r="J65" s="16"/>
      <c r="K65" s="103"/>
      <c r="L65" s="14"/>
      <c r="M65" s="118"/>
      <c r="O65" s="103"/>
      <c r="P65" s="8"/>
    </row>
    <row r="66" spans="2:16" ht="13" x14ac:dyDescent="0.3">
      <c r="D66" s="169"/>
      <c r="E66" s="169"/>
      <c r="F66" s="169"/>
      <c r="G66" s="169"/>
      <c r="H66" s="169"/>
      <c r="I66" s="170"/>
      <c r="J66" s="169"/>
      <c r="K66" s="103"/>
      <c r="L66" s="169"/>
      <c r="M66" s="118"/>
      <c r="O66" s="169"/>
    </row>
  </sheetData>
  <mergeCells count="2">
    <mergeCell ref="A40:B44"/>
    <mergeCell ref="K34:M34"/>
  </mergeCells>
  <pageMargins left="0.25" right="0.25" top="0.75" bottom="0.75" header="0.3" footer="0.3"/>
  <pageSetup scale="57" fitToHeight="0" orientation="landscape" r:id="rId1"/>
  <headerFooter alignWithMargins="0">
    <oddHeader>&amp;RTO2021 Annual Update
Attachment 4
WP- Schedule 22 NUCs
Page &amp;P of &amp;N</oddHeader>
    <oddFooter>&amp;R&amp;A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59"/>
  <sheetViews>
    <sheetView view="pageLayout" zoomScaleNormal="50" workbookViewId="0"/>
  </sheetViews>
  <sheetFormatPr defaultColWidth="9.1796875" defaultRowHeight="12.5" outlineLevelRow="1" x14ac:dyDescent="0.25"/>
  <cols>
    <col min="1" max="1" width="10.26953125" style="6" customWidth="1"/>
    <col min="2" max="2" width="13.54296875" style="6" customWidth="1"/>
    <col min="3" max="3" width="14.7265625" style="6" customWidth="1"/>
    <col min="4" max="4" width="13.54296875" style="6" customWidth="1"/>
    <col min="5" max="5" width="11.7265625" style="6" bestFit="1" customWidth="1"/>
    <col min="6" max="6" width="15.1796875" style="6" bestFit="1" customWidth="1"/>
    <col min="7" max="9" width="16.1796875" style="6" customWidth="1"/>
    <col min="10" max="10" width="17.26953125" style="6" bestFit="1" customWidth="1"/>
    <col min="11" max="15" width="16.1796875" style="6" customWidth="1"/>
    <col min="16" max="16" width="14.26953125" style="6" bestFit="1" customWidth="1"/>
    <col min="17" max="16384" width="9.1796875" style="6"/>
  </cols>
  <sheetData>
    <row r="1" spans="1:15" ht="26" x14ac:dyDescent="0.3">
      <c r="A1" s="81" t="s">
        <v>8</v>
      </c>
      <c r="B1" s="82" t="s">
        <v>86</v>
      </c>
      <c r="C1" s="81" t="s">
        <v>2</v>
      </c>
      <c r="D1" s="81" t="s">
        <v>1</v>
      </c>
      <c r="E1" s="82" t="s">
        <v>72</v>
      </c>
      <c r="F1" s="82" t="s">
        <v>47</v>
      </c>
      <c r="H1"/>
      <c r="I1"/>
      <c r="J1"/>
      <c r="K1"/>
      <c r="L1"/>
      <c r="M1"/>
      <c r="N1"/>
      <c r="O1"/>
    </row>
    <row r="2" spans="1:15" ht="12.75" customHeight="1" x14ac:dyDescent="0.25">
      <c r="A2" s="78" t="s">
        <v>52</v>
      </c>
      <c r="B2" s="3"/>
      <c r="C2" s="4">
        <v>2410000</v>
      </c>
      <c r="D2" s="4">
        <v>0</v>
      </c>
      <c r="E2" s="4">
        <v>0</v>
      </c>
      <c r="F2" s="7">
        <f>SUM(C2:E2)</f>
        <v>2410000</v>
      </c>
      <c r="H2"/>
      <c r="I2"/>
      <c r="J2"/>
      <c r="K2"/>
      <c r="L2"/>
      <c r="M2"/>
      <c r="N2"/>
      <c r="O2"/>
    </row>
    <row r="3" spans="1:15" ht="12.75" customHeight="1" outlineLevel="1" x14ac:dyDescent="0.25">
      <c r="A3" s="78" t="s">
        <v>53</v>
      </c>
      <c r="B3" s="18" t="s">
        <v>21</v>
      </c>
      <c r="C3" s="4">
        <v>0</v>
      </c>
      <c r="D3" s="4">
        <v>0</v>
      </c>
      <c r="E3" s="4">
        <v>0</v>
      </c>
      <c r="F3" s="7">
        <f t="shared" ref="F3:F25" si="0">SUM(C3:E3)</f>
        <v>0</v>
      </c>
      <c r="H3"/>
      <c r="I3"/>
      <c r="J3"/>
      <c r="K3"/>
      <c r="L3"/>
      <c r="M3"/>
      <c r="N3"/>
      <c r="O3"/>
    </row>
    <row r="4" spans="1:15" outlineLevel="1" x14ac:dyDescent="0.25">
      <c r="A4" s="78" t="s">
        <v>54</v>
      </c>
      <c r="B4" s="18" t="s">
        <v>21</v>
      </c>
      <c r="C4" s="4">
        <v>0</v>
      </c>
      <c r="D4" s="4">
        <v>0</v>
      </c>
      <c r="E4" s="4">
        <v>0</v>
      </c>
      <c r="F4" s="7">
        <f t="shared" si="0"/>
        <v>0</v>
      </c>
      <c r="H4"/>
      <c r="I4"/>
      <c r="J4"/>
      <c r="K4"/>
      <c r="L4"/>
      <c r="M4"/>
      <c r="N4"/>
      <c r="O4"/>
    </row>
    <row r="5" spans="1:15" outlineLevel="1" x14ac:dyDescent="0.25">
      <c r="A5" s="78" t="s">
        <v>55</v>
      </c>
      <c r="B5" s="18" t="s">
        <v>21</v>
      </c>
      <c r="C5" s="4">
        <v>0</v>
      </c>
      <c r="D5" s="4">
        <v>0</v>
      </c>
      <c r="E5" s="4">
        <v>0</v>
      </c>
      <c r="F5" s="7">
        <f t="shared" si="0"/>
        <v>0</v>
      </c>
      <c r="H5"/>
      <c r="I5"/>
      <c r="J5"/>
      <c r="K5"/>
      <c r="L5"/>
      <c r="M5"/>
      <c r="N5"/>
      <c r="O5"/>
    </row>
    <row r="6" spans="1:15" ht="12.75" customHeight="1" outlineLevel="1" x14ac:dyDescent="0.25">
      <c r="A6" s="78" t="s">
        <v>56</v>
      </c>
      <c r="B6" s="18" t="s">
        <v>21</v>
      </c>
      <c r="C6" s="4">
        <v>0</v>
      </c>
      <c r="D6" s="4">
        <v>0</v>
      </c>
      <c r="E6" s="4">
        <v>0</v>
      </c>
      <c r="F6" s="7">
        <f t="shared" si="0"/>
        <v>0</v>
      </c>
      <c r="H6"/>
      <c r="I6"/>
      <c r="J6"/>
      <c r="K6"/>
      <c r="L6"/>
      <c r="M6"/>
      <c r="N6"/>
      <c r="O6"/>
    </row>
    <row r="7" spans="1:15" outlineLevel="1" x14ac:dyDescent="0.25">
      <c r="A7" s="78" t="s">
        <v>57</v>
      </c>
      <c r="B7" s="18" t="s">
        <v>21</v>
      </c>
      <c r="C7" s="4">
        <v>0</v>
      </c>
      <c r="D7" s="4">
        <v>0</v>
      </c>
      <c r="E7" s="4">
        <v>0</v>
      </c>
      <c r="F7" s="7">
        <f t="shared" si="0"/>
        <v>0</v>
      </c>
      <c r="H7"/>
      <c r="I7"/>
      <c r="J7"/>
      <c r="K7"/>
      <c r="L7"/>
      <c r="M7"/>
      <c r="N7"/>
      <c r="O7"/>
    </row>
    <row r="8" spans="1:15" outlineLevel="1" x14ac:dyDescent="0.25">
      <c r="A8" s="78" t="s">
        <v>58</v>
      </c>
      <c r="B8" s="18" t="s">
        <v>21</v>
      </c>
      <c r="C8" s="4">
        <v>0</v>
      </c>
      <c r="D8" s="4">
        <v>0</v>
      </c>
      <c r="E8" s="4">
        <v>0</v>
      </c>
      <c r="F8" s="7">
        <f t="shared" si="0"/>
        <v>0</v>
      </c>
      <c r="H8"/>
      <c r="I8"/>
      <c r="J8"/>
      <c r="K8"/>
      <c r="L8"/>
      <c r="M8"/>
      <c r="N8"/>
      <c r="O8"/>
    </row>
    <row r="9" spans="1:15" outlineLevel="1" x14ac:dyDescent="0.25">
      <c r="A9" s="78" t="s">
        <v>59</v>
      </c>
      <c r="B9" s="18" t="s">
        <v>21</v>
      </c>
      <c r="C9" s="4">
        <v>0</v>
      </c>
      <c r="D9" s="4">
        <v>0</v>
      </c>
      <c r="E9" s="4">
        <v>0</v>
      </c>
      <c r="F9" s="7">
        <f t="shared" si="0"/>
        <v>0</v>
      </c>
      <c r="H9"/>
      <c r="I9"/>
      <c r="J9"/>
      <c r="K9"/>
      <c r="L9"/>
      <c r="M9"/>
      <c r="N9"/>
      <c r="O9"/>
    </row>
    <row r="10" spans="1:15" outlineLevel="1" x14ac:dyDescent="0.25">
      <c r="A10" s="78" t="s">
        <v>60</v>
      </c>
      <c r="B10" s="18" t="s">
        <v>21</v>
      </c>
      <c r="C10" s="4">
        <v>0</v>
      </c>
      <c r="D10" s="4">
        <v>0</v>
      </c>
      <c r="E10" s="4">
        <v>0</v>
      </c>
      <c r="F10" s="7">
        <f t="shared" si="0"/>
        <v>0</v>
      </c>
      <c r="H10"/>
      <c r="I10"/>
      <c r="J10"/>
      <c r="K10"/>
      <c r="L10"/>
      <c r="M10"/>
      <c r="N10"/>
      <c r="O10"/>
    </row>
    <row r="11" spans="1:15" outlineLevel="1" x14ac:dyDescent="0.25">
      <c r="A11" s="78" t="s">
        <v>61</v>
      </c>
      <c r="B11" s="18" t="s">
        <v>21</v>
      </c>
      <c r="C11" s="4">
        <v>0</v>
      </c>
      <c r="D11" s="4">
        <v>0</v>
      </c>
      <c r="E11" s="4">
        <v>0</v>
      </c>
      <c r="F11" s="7">
        <f t="shared" si="0"/>
        <v>0</v>
      </c>
      <c r="H11"/>
      <c r="I11"/>
      <c r="J11"/>
      <c r="K11"/>
      <c r="L11"/>
      <c r="M11"/>
      <c r="N11"/>
      <c r="O11"/>
    </row>
    <row r="12" spans="1:15" outlineLevel="1" x14ac:dyDescent="0.25">
      <c r="A12" s="78" t="s">
        <v>62</v>
      </c>
      <c r="B12" s="18" t="s">
        <v>21</v>
      </c>
      <c r="C12" s="4">
        <v>0</v>
      </c>
      <c r="D12" s="4">
        <v>0</v>
      </c>
      <c r="E12" s="4">
        <v>0</v>
      </c>
      <c r="F12" s="7">
        <f t="shared" si="0"/>
        <v>0</v>
      </c>
      <c r="H12"/>
      <c r="I12"/>
      <c r="J12"/>
      <c r="K12"/>
      <c r="L12"/>
      <c r="M12"/>
      <c r="N12"/>
      <c r="O12"/>
    </row>
    <row r="13" spans="1:15" outlineLevel="1" x14ac:dyDescent="0.25">
      <c r="A13" s="78" t="s">
        <v>63</v>
      </c>
      <c r="B13" s="18" t="s">
        <v>21</v>
      </c>
      <c r="C13" s="4">
        <v>0</v>
      </c>
      <c r="D13" s="4">
        <v>0</v>
      </c>
      <c r="E13" s="4">
        <v>0</v>
      </c>
      <c r="F13" s="7">
        <f t="shared" si="0"/>
        <v>0</v>
      </c>
      <c r="H13"/>
      <c r="I13"/>
      <c r="J13"/>
      <c r="K13"/>
      <c r="L13"/>
      <c r="M13"/>
      <c r="N13"/>
      <c r="O13"/>
    </row>
    <row r="14" spans="1:15" outlineLevel="1" x14ac:dyDescent="0.25">
      <c r="A14" s="78" t="s">
        <v>64</v>
      </c>
      <c r="B14" s="18" t="s">
        <v>21</v>
      </c>
      <c r="C14" s="4">
        <v>0</v>
      </c>
      <c r="D14" s="4">
        <v>0</v>
      </c>
      <c r="E14" s="4">
        <v>0</v>
      </c>
      <c r="F14" s="7">
        <f t="shared" si="0"/>
        <v>0</v>
      </c>
      <c r="H14"/>
      <c r="I14"/>
      <c r="J14"/>
      <c r="K14"/>
      <c r="L14"/>
      <c r="M14"/>
      <c r="N14"/>
      <c r="O14"/>
    </row>
    <row r="15" spans="1:15" outlineLevel="1" x14ac:dyDescent="0.25">
      <c r="A15" s="78" t="s">
        <v>65</v>
      </c>
      <c r="B15" s="18" t="s">
        <v>21</v>
      </c>
      <c r="C15" s="4">
        <v>0</v>
      </c>
      <c r="D15" s="4">
        <v>0</v>
      </c>
      <c r="E15" s="4">
        <v>0</v>
      </c>
      <c r="F15" s="7">
        <f t="shared" si="0"/>
        <v>0</v>
      </c>
      <c r="H15"/>
      <c r="I15"/>
      <c r="J15"/>
      <c r="K15"/>
      <c r="L15"/>
      <c r="M15"/>
      <c r="N15"/>
      <c r="O15"/>
    </row>
    <row r="16" spans="1:15" outlineLevel="1" x14ac:dyDescent="0.25">
      <c r="A16" s="78" t="s">
        <v>66</v>
      </c>
      <c r="B16" s="18" t="s">
        <v>21</v>
      </c>
      <c r="C16" s="4">
        <v>0</v>
      </c>
      <c r="D16" s="4">
        <v>0</v>
      </c>
      <c r="E16" s="4">
        <v>0</v>
      </c>
      <c r="F16" s="7">
        <f t="shared" si="0"/>
        <v>0</v>
      </c>
      <c r="H16"/>
      <c r="I16"/>
      <c r="J16"/>
      <c r="K16"/>
      <c r="L16"/>
      <c r="M16"/>
      <c r="N16"/>
      <c r="O16"/>
    </row>
    <row r="17" spans="1:15" outlineLevel="1" x14ac:dyDescent="0.25">
      <c r="A17" s="78" t="s">
        <v>67</v>
      </c>
      <c r="B17" s="18" t="s">
        <v>21</v>
      </c>
      <c r="C17" s="4">
        <v>0</v>
      </c>
      <c r="D17" s="4">
        <v>0</v>
      </c>
      <c r="E17" s="4">
        <v>0</v>
      </c>
      <c r="F17" s="7">
        <f t="shared" si="0"/>
        <v>0</v>
      </c>
      <c r="H17" s="15"/>
    </row>
    <row r="18" spans="1:15" outlineLevel="1" x14ac:dyDescent="0.25">
      <c r="A18" s="78" t="s">
        <v>68</v>
      </c>
      <c r="B18" s="18" t="s">
        <v>21</v>
      </c>
      <c r="C18" s="4">
        <v>0</v>
      </c>
      <c r="D18" s="4">
        <v>0</v>
      </c>
      <c r="E18" s="4">
        <v>0</v>
      </c>
      <c r="F18" s="7">
        <f t="shared" si="0"/>
        <v>0</v>
      </c>
      <c r="H18" s="15"/>
    </row>
    <row r="19" spans="1:15" outlineLevel="1" x14ac:dyDescent="0.25">
      <c r="A19" s="78" t="s">
        <v>69</v>
      </c>
      <c r="B19" s="18" t="s">
        <v>21</v>
      </c>
      <c r="C19" s="4">
        <v>0</v>
      </c>
      <c r="D19" s="4">
        <v>0</v>
      </c>
      <c r="E19" s="4">
        <v>0</v>
      </c>
      <c r="F19" s="7">
        <f t="shared" si="0"/>
        <v>0</v>
      </c>
    </row>
    <row r="20" spans="1:15" outlineLevel="1" x14ac:dyDescent="0.25">
      <c r="A20" s="78" t="s">
        <v>70</v>
      </c>
      <c r="B20" s="18" t="s">
        <v>21</v>
      </c>
      <c r="C20" s="4">
        <v>0</v>
      </c>
      <c r="D20" s="4">
        <v>0</v>
      </c>
      <c r="E20" s="4">
        <v>0</v>
      </c>
      <c r="F20" s="7">
        <f t="shared" si="0"/>
        <v>0</v>
      </c>
    </row>
    <row r="21" spans="1:15" outlineLevel="1" x14ac:dyDescent="0.25">
      <c r="A21" s="78" t="s">
        <v>71</v>
      </c>
      <c r="B21" s="18" t="s">
        <v>21</v>
      </c>
      <c r="C21" s="4">
        <v>0</v>
      </c>
      <c r="D21" s="4">
        <v>0</v>
      </c>
      <c r="E21" s="4">
        <v>0</v>
      </c>
      <c r="F21" s="7">
        <f t="shared" si="0"/>
        <v>0</v>
      </c>
    </row>
    <row r="22" spans="1:15" outlineLevel="1" x14ac:dyDescent="0.25">
      <c r="A22" s="83" t="s">
        <v>74</v>
      </c>
      <c r="B22" s="18" t="s">
        <v>21</v>
      </c>
      <c r="C22" s="4">
        <v>0</v>
      </c>
      <c r="D22" s="4">
        <v>0</v>
      </c>
      <c r="E22" s="4">
        <v>0</v>
      </c>
      <c r="F22" s="7">
        <f t="shared" si="0"/>
        <v>0</v>
      </c>
    </row>
    <row r="23" spans="1:15" outlineLevel="1" x14ac:dyDescent="0.25">
      <c r="A23" s="83" t="s">
        <v>75</v>
      </c>
      <c r="B23" s="18" t="s">
        <v>21</v>
      </c>
      <c r="C23" s="4">
        <v>0</v>
      </c>
      <c r="D23" s="4">
        <v>0</v>
      </c>
      <c r="E23" s="4">
        <v>0</v>
      </c>
      <c r="F23" s="7">
        <f t="shared" si="0"/>
        <v>0</v>
      </c>
    </row>
    <row r="24" spans="1:15" outlineLevel="1" x14ac:dyDescent="0.25">
      <c r="A24" s="83" t="s">
        <v>76</v>
      </c>
      <c r="B24" s="18" t="s">
        <v>21</v>
      </c>
      <c r="C24" s="4">
        <v>0</v>
      </c>
      <c r="D24" s="4">
        <v>0</v>
      </c>
      <c r="E24" s="4">
        <v>0</v>
      </c>
      <c r="F24" s="7">
        <f t="shared" si="0"/>
        <v>0</v>
      </c>
    </row>
    <row r="25" spans="1:15" ht="13" outlineLevel="1" thickBot="1" x14ac:dyDescent="0.3">
      <c r="A25" s="83" t="s">
        <v>77</v>
      </c>
      <c r="B25" s="18" t="s">
        <v>21</v>
      </c>
      <c r="C25" s="4">
        <v>0</v>
      </c>
      <c r="D25" s="4">
        <v>0</v>
      </c>
      <c r="E25" s="4">
        <v>0</v>
      </c>
      <c r="F25" s="7">
        <f t="shared" si="0"/>
        <v>0</v>
      </c>
    </row>
    <row r="26" spans="1:15" ht="13" x14ac:dyDescent="0.3">
      <c r="B26" s="34" t="s">
        <v>0</v>
      </c>
      <c r="C26" s="109">
        <f>SUM(C2:C25)</f>
        <v>2410000</v>
      </c>
      <c r="D26" s="109">
        <f>SUM(D2:D25)</f>
        <v>0</v>
      </c>
      <c r="E26" s="109">
        <f>SUM(E2:E25)</f>
        <v>0</v>
      </c>
      <c r="F26" s="109">
        <f>SUM(F2:F25)</f>
        <v>2410000</v>
      </c>
      <c r="H26" s="153"/>
      <c r="I26" s="149" t="s">
        <v>13</v>
      </c>
      <c r="J26" s="149" t="s">
        <v>12</v>
      </c>
      <c r="K26" s="150" t="s">
        <v>20</v>
      </c>
      <c r="L26" s="151"/>
      <c r="M26" s="152"/>
    </row>
    <row r="27" spans="1:15" ht="13" x14ac:dyDescent="0.3">
      <c r="A27" s="17" t="s">
        <v>18</v>
      </c>
      <c r="B27" s="18" t="s">
        <v>21</v>
      </c>
      <c r="C27" s="8">
        <v>0</v>
      </c>
      <c r="D27" s="8">
        <v>0</v>
      </c>
      <c r="E27" s="8">
        <v>0</v>
      </c>
      <c r="F27" s="8">
        <f>SUM(C27:E27)</f>
        <v>0</v>
      </c>
      <c r="H27" s="147" t="s">
        <v>10</v>
      </c>
      <c r="I27" s="84">
        <v>42125</v>
      </c>
      <c r="J27" s="85">
        <f>I27</f>
        <v>42125</v>
      </c>
      <c r="K27" s="86"/>
      <c r="L27" s="87"/>
      <c r="M27" s="88"/>
    </row>
    <row r="28" spans="1:15" ht="13.5" thickBot="1" x14ac:dyDescent="0.35">
      <c r="A28" s="17" t="s">
        <v>19</v>
      </c>
      <c r="B28" s="18" t="s">
        <v>21</v>
      </c>
      <c r="C28" s="8">
        <v>0</v>
      </c>
      <c r="D28" s="8">
        <v>0</v>
      </c>
      <c r="E28" s="8">
        <v>0</v>
      </c>
      <c r="F28" s="8">
        <f>SUM(C28:E28)</f>
        <v>0</v>
      </c>
      <c r="H28" s="148" t="s">
        <v>16</v>
      </c>
      <c r="I28" s="89">
        <v>42548</v>
      </c>
      <c r="J28" s="90">
        <f>I28</f>
        <v>42548</v>
      </c>
      <c r="K28" s="91"/>
      <c r="L28" s="92"/>
      <c r="M28" s="93"/>
    </row>
    <row r="29" spans="1:15" ht="13.5" thickBot="1" x14ac:dyDescent="0.35">
      <c r="B29" s="34" t="s">
        <v>50</v>
      </c>
      <c r="C29" s="65">
        <f>+SUM(C26:C28)</f>
        <v>2410000</v>
      </c>
      <c r="D29" s="65">
        <f>+SUM(D26:D28)</f>
        <v>0</v>
      </c>
      <c r="E29" s="65">
        <f>+SUM(E26:E28)</f>
        <v>0</v>
      </c>
      <c r="F29" s="65">
        <f>+SUM(F26:F28)</f>
        <v>2410000</v>
      </c>
    </row>
    <row r="30" spans="1:15" ht="14" thickTop="1" thickBot="1" x14ac:dyDescent="0.35">
      <c r="B30" s="34"/>
      <c r="C30" s="13"/>
      <c r="D30" s="13"/>
      <c r="E30" s="13"/>
      <c r="F30" s="13"/>
    </row>
    <row r="31" spans="1:15" ht="13" x14ac:dyDescent="0.3">
      <c r="B31" s="33"/>
      <c r="C31" s="5"/>
      <c r="D31" s="17"/>
      <c r="I31" s="130"/>
      <c r="J31" s="113"/>
      <c r="K31" s="113"/>
      <c r="L31" s="113"/>
      <c r="M31" s="97"/>
    </row>
    <row r="32" spans="1:15" ht="37" x14ac:dyDescent="0.3">
      <c r="A32" s="77" t="s">
        <v>51</v>
      </c>
      <c r="B32" s="77" t="s">
        <v>3</v>
      </c>
      <c r="C32" s="77" t="s">
        <v>4</v>
      </c>
      <c r="D32" s="77" t="s">
        <v>5</v>
      </c>
      <c r="E32" s="77" t="s">
        <v>6</v>
      </c>
      <c r="F32" s="77" t="s">
        <v>7</v>
      </c>
      <c r="G32" s="77" t="s">
        <v>78</v>
      </c>
      <c r="H32" s="77" t="s">
        <v>79</v>
      </c>
      <c r="I32" s="94" t="s">
        <v>80</v>
      </c>
      <c r="J32" s="95" t="s">
        <v>81</v>
      </c>
      <c r="K32" s="95" t="s">
        <v>82</v>
      </c>
      <c r="L32" s="95" t="s">
        <v>83</v>
      </c>
      <c r="M32" s="96" t="s">
        <v>73</v>
      </c>
      <c r="N32" s="77" t="s">
        <v>84</v>
      </c>
      <c r="O32" s="77" t="s">
        <v>85</v>
      </c>
    </row>
    <row r="33" spans="1:17" ht="13" x14ac:dyDescent="0.3">
      <c r="A33" s="339" t="s">
        <v>2</v>
      </c>
      <c r="B33" s="339"/>
      <c r="C33" s="300">
        <f>$J$27</f>
        <v>42125</v>
      </c>
      <c r="D33" s="300">
        <f t="shared" ref="D33:D56" si="1">DATE(YEAR(C33),IF(MONTH(C33)&lt;=3,3,IF(MONTH(C33)&lt;=6,6,IF(MONTH(C33)&lt;=9,9,12))),IF(OR(MONTH(C33)&lt;=3,MONTH(C33)&gt;=10),31,30))</f>
        <v>42185</v>
      </c>
      <c r="E33" s="301">
        <f t="shared" ref="E33:E56" si="2">D33-C33+1</f>
        <v>61</v>
      </c>
      <c r="F33" s="302">
        <f>VLOOKUP(D33,'FERC Interest Rate'!$A:$B,2,TRUE)</f>
        <v>3.2500000000000001E-2</v>
      </c>
      <c r="G33" s="167">
        <f>$C$26</f>
        <v>2410000</v>
      </c>
      <c r="H33" s="167">
        <f t="shared" ref="H33:H38" si="3">G33*F33*(E33/(DATE(YEAR(D33),12,31)-DATE(YEAR(D33),1,1)+1))</f>
        <v>13089.931506849316</v>
      </c>
      <c r="I33" s="303">
        <v>0</v>
      </c>
      <c r="J33" s="304">
        <v>0</v>
      </c>
      <c r="K33" s="305">
        <f t="shared" ref="K33:K56" si="4">+SUM(I33:J33)</f>
        <v>0</v>
      </c>
      <c r="L33" s="304">
        <v>0</v>
      </c>
      <c r="M33" s="306">
        <f t="shared" ref="M33:M56" si="5">+SUM(K33:L33)</f>
        <v>0</v>
      </c>
      <c r="N33" s="307">
        <f t="shared" ref="N33:N56" si="6">+G33+H33+J33</f>
        <v>2423089.9315068494</v>
      </c>
      <c r="O33" s="167">
        <f t="shared" ref="O33:O56" si="7">G33+H33-L33-I33</f>
        <v>2423089.9315068494</v>
      </c>
      <c r="P33" s="8"/>
      <c r="Q33" s="8"/>
    </row>
    <row r="34" spans="1:17" ht="13" x14ac:dyDescent="0.3">
      <c r="A34" s="342"/>
      <c r="B34" s="342"/>
      <c r="C34" s="300">
        <f t="shared" ref="C34:C56" si="8">D33+1</f>
        <v>42186</v>
      </c>
      <c r="D34" s="300">
        <f t="shared" si="1"/>
        <v>42277</v>
      </c>
      <c r="E34" s="301">
        <f t="shared" si="2"/>
        <v>92</v>
      </c>
      <c r="F34" s="302">
        <f>VLOOKUP(D34,'FERC Interest Rate'!$A:$B,2,TRUE)</f>
        <v>3.2500000000000001E-2</v>
      </c>
      <c r="G34" s="167">
        <f>O33</f>
        <v>2423089.9315068494</v>
      </c>
      <c r="H34" s="167">
        <f t="shared" si="3"/>
        <v>19849.421630699944</v>
      </c>
      <c r="I34" s="303">
        <v>0</v>
      </c>
      <c r="J34" s="304">
        <v>0</v>
      </c>
      <c r="K34" s="305">
        <f t="shared" si="4"/>
        <v>0</v>
      </c>
      <c r="L34" s="304">
        <v>0</v>
      </c>
      <c r="M34" s="306">
        <f t="shared" si="5"/>
        <v>0</v>
      </c>
      <c r="N34" s="307">
        <f t="shared" si="6"/>
        <v>2442939.3531375495</v>
      </c>
      <c r="O34" s="167">
        <f t="shared" si="7"/>
        <v>2442939.3531375495</v>
      </c>
      <c r="P34" s="8"/>
      <c r="Q34" s="8"/>
    </row>
    <row r="35" spans="1:17" ht="13" x14ac:dyDescent="0.3">
      <c r="A35" s="342"/>
      <c r="B35" s="342"/>
      <c r="C35" s="300">
        <f>D34+1</f>
        <v>42278</v>
      </c>
      <c r="D35" s="300">
        <f>DATE(YEAR(C35),IF(MONTH(C35)&lt;=3,3,IF(MONTH(C35)&lt;=6,6,IF(MONTH(C35)&lt;=9,9,12))),IF(OR(MONTH(C35)&lt;=3,MONTH(C35)&gt;=10),31,30))</f>
        <v>42369</v>
      </c>
      <c r="E35" s="301">
        <f t="shared" si="2"/>
        <v>92</v>
      </c>
      <c r="F35" s="302">
        <f>VLOOKUP(D35,'FERC Interest Rate'!$A:$B,2,TRUE)</f>
        <v>3.2500000000000001E-2</v>
      </c>
      <c r="G35" s="167">
        <f>O34</f>
        <v>2442939.3531375495</v>
      </c>
      <c r="H35" s="167">
        <f t="shared" si="3"/>
        <v>20012.023742140478</v>
      </c>
      <c r="I35" s="303">
        <v>0</v>
      </c>
      <c r="J35" s="304">
        <v>0</v>
      </c>
      <c r="K35" s="305">
        <f t="shared" si="4"/>
        <v>0</v>
      </c>
      <c r="L35" s="304">
        <v>0</v>
      </c>
      <c r="M35" s="306">
        <f t="shared" si="5"/>
        <v>0</v>
      </c>
      <c r="N35" s="307">
        <f t="shared" si="6"/>
        <v>2462951.3768796897</v>
      </c>
      <c r="O35" s="167">
        <f t="shared" si="7"/>
        <v>2462951.3768796897</v>
      </c>
      <c r="P35" s="8"/>
      <c r="Q35" s="8"/>
    </row>
    <row r="36" spans="1:17" ht="13" x14ac:dyDescent="0.3">
      <c r="A36" s="342"/>
      <c r="B36" s="342"/>
      <c r="C36" s="300">
        <f>D35+1</f>
        <v>42370</v>
      </c>
      <c r="D36" s="300">
        <f>DATE(YEAR(C36),IF(MONTH(C36)&lt;=3,3,IF(MONTH(C36)&lt;=6,6,IF(MONTH(C36)&lt;=9,9,12))),IF(OR(MONTH(C36)&lt;=3,MONTH(C36)&gt;=10),31,30))</f>
        <v>42460</v>
      </c>
      <c r="E36" s="301">
        <f>D36-C36+1</f>
        <v>91</v>
      </c>
      <c r="F36" s="302">
        <f>VLOOKUP(D36,'FERC Interest Rate'!$A:$B,2,TRUE)</f>
        <v>3.2500000000000001E-2</v>
      </c>
      <c r="G36" s="167">
        <f>O35</f>
        <v>2462951.3768796897</v>
      </c>
      <c r="H36" s="167">
        <f t="shared" si="3"/>
        <v>19902.12758776416</v>
      </c>
      <c r="I36" s="303">
        <v>0</v>
      </c>
      <c r="J36" s="304">
        <v>0</v>
      </c>
      <c r="K36" s="305">
        <f>+SUM(I36:J36)</f>
        <v>0</v>
      </c>
      <c r="L36" s="304">
        <v>0</v>
      </c>
      <c r="M36" s="306">
        <f>+SUM(K36:L36)</f>
        <v>0</v>
      </c>
      <c r="N36" s="307">
        <f>+G36+H36+J36</f>
        <v>2482853.5044674538</v>
      </c>
      <c r="O36" s="167">
        <f>G36+H36-L36-I36</f>
        <v>2482853.5044674538</v>
      </c>
      <c r="P36" s="8"/>
      <c r="Q36" s="8"/>
    </row>
    <row r="37" spans="1:17" ht="13" x14ac:dyDescent="0.3">
      <c r="B37" s="72"/>
      <c r="C37" s="73">
        <f>D36+1</f>
        <v>42461</v>
      </c>
      <c r="D37" s="73">
        <f>DATE(YEAR(C37),IF(MONTH(C37)&lt;=3,3,IF(MONTH(C37)&lt;=6,6,IF(MONTH(C37)&lt;=9,9,12))),IF(OR(MONTH(C37)&lt;=3,MONTH(C37)&gt;=10),31,30))</f>
        <v>42551</v>
      </c>
      <c r="E37" s="72">
        <f t="shared" si="2"/>
        <v>91</v>
      </c>
      <c r="F37" s="74">
        <f>VLOOKUP(D37,'FERC Interest Rate'!$A:$B,2,TRUE)</f>
        <v>3.4599999999999999E-2</v>
      </c>
      <c r="G37" s="75">
        <f>O36</f>
        <v>2482853.5044674538</v>
      </c>
      <c r="H37" s="167">
        <f t="shared" si="3"/>
        <v>21359.323891164549</v>
      </c>
      <c r="I37" s="99">
        <v>0</v>
      </c>
      <c r="J37" s="304">
        <v>0</v>
      </c>
      <c r="K37" s="116">
        <f t="shared" si="4"/>
        <v>0</v>
      </c>
      <c r="L37" s="76">
        <v>0</v>
      </c>
      <c r="M37" s="117">
        <f t="shared" si="5"/>
        <v>0</v>
      </c>
      <c r="N37" s="8">
        <f t="shared" si="6"/>
        <v>2504212.8283586185</v>
      </c>
      <c r="O37" s="75">
        <f t="shared" si="7"/>
        <v>2504212.8283586185</v>
      </c>
      <c r="P37" s="8"/>
      <c r="Q37" s="8"/>
    </row>
    <row r="38" spans="1:17" x14ac:dyDescent="0.25">
      <c r="A38" s="309" t="s">
        <v>120</v>
      </c>
      <c r="B38" s="72" t="str">
        <f t="shared" ref="B38:B56" si="9">+IF(MONTH(C38)&lt;4,"Q1",IF(MONTH(C38)&lt;7,"Q2",IF(MONTH(C38)&lt;10,"Q3","Q4")))&amp;"/"&amp;YEAR(C38)</f>
        <v>Q3/2016</v>
      </c>
      <c r="C38" s="73">
        <f t="shared" si="8"/>
        <v>42552</v>
      </c>
      <c r="D38" s="73">
        <f t="shared" si="1"/>
        <v>42643</v>
      </c>
      <c r="E38" s="72">
        <f t="shared" si="2"/>
        <v>92</v>
      </c>
      <c r="F38" s="74">
        <f>VLOOKUP(D38,'FERC Interest Rate'!$A:$B,2,TRUE)</f>
        <v>3.5000000000000003E-2</v>
      </c>
      <c r="G38" s="75">
        <f>O37</f>
        <v>2504212.8283586185</v>
      </c>
      <c r="H38" s="75">
        <f t="shared" si="3"/>
        <v>22031.599200313529</v>
      </c>
      <c r="I38" s="99">
        <f>(SUM($H$33:$H$38)/20)*2</f>
        <v>11624.442755893197</v>
      </c>
      <c r="J38" s="76">
        <f t="shared" ref="J38:J56" si="10">G38*F38*(E38/(DATE(YEAR(D38),12,31)-DATE(YEAR(D38),1,1)+1))</f>
        <v>22031.599200313529</v>
      </c>
      <c r="K38" s="116">
        <f t="shared" si="4"/>
        <v>33656.041956206725</v>
      </c>
      <c r="L38" s="76">
        <f>$C$26/20*2</f>
        <v>241000</v>
      </c>
      <c r="M38" s="117">
        <f t="shared" si="5"/>
        <v>274656.04195620673</v>
      </c>
      <c r="N38" s="8">
        <f t="shared" si="6"/>
        <v>2548276.0267592454</v>
      </c>
      <c r="O38" s="75">
        <f t="shared" si="7"/>
        <v>2273619.9848030386</v>
      </c>
      <c r="P38" s="8"/>
      <c r="Q38" s="8"/>
    </row>
    <row r="39" spans="1:17" x14ac:dyDescent="0.25">
      <c r="A39" s="17" t="s">
        <v>54</v>
      </c>
      <c r="B39" s="72" t="str">
        <f t="shared" si="9"/>
        <v>Q4/2016</v>
      </c>
      <c r="C39" s="73">
        <f t="shared" si="8"/>
        <v>42644</v>
      </c>
      <c r="D39" s="73">
        <f t="shared" si="1"/>
        <v>42735</v>
      </c>
      <c r="E39" s="72">
        <f t="shared" si="2"/>
        <v>92</v>
      </c>
      <c r="F39" s="74">
        <f>VLOOKUP(D39,'FERC Interest Rate'!$A:$B,2,TRUE)</f>
        <v>3.5000000000000003E-2</v>
      </c>
      <c r="G39" s="75">
        <f t="shared" ref="G39:G56" si="11">O38</f>
        <v>2273619.9848030386</v>
      </c>
      <c r="H39" s="75">
        <v>0</v>
      </c>
      <c r="I39" s="99">
        <f>(SUM($H$33:$H$38)/20)</f>
        <v>5812.2213779465983</v>
      </c>
      <c r="J39" s="76">
        <f t="shared" si="10"/>
        <v>20002.886205097777</v>
      </c>
      <c r="K39" s="116">
        <f t="shared" si="4"/>
        <v>25815.107583044373</v>
      </c>
      <c r="L39" s="76">
        <f t="shared" ref="L39:L56" si="12">$C$26/20</f>
        <v>120500</v>
      </c>
      <c r="M39" s="117">
        <f t="shared" si="5"/>
        <v>146315.10758304439</v>
      </c>
      <c r="N39" s="8">
        <f t="shared" si="6"/>
        <v>2293622.8710081363</v>
      </c>
      <c r="O39" s="75">
        <f t="shared" si="7"/>
        <v>2147307.7634250922</v>
      </c>
      <c r="P39" s="8"/>
      <c r="Q39" s="8"/>
    </row>
    <row r="40" spans="1:17" x14ac:dyDescent="0.25">
      <c r="A40" s="17" t="s">
        <v>55</v>
      </c>
      <c r="B40" s="72" t="str">
        <f t="shared" si="9"/>
        <v>Q1/2017</v>
      </c>
      <c r="C40" s="73">
        <f t="shared" si="8"/>
        <v>42736</v>
      </c>
      <c r="D40" s="73">
        <f t="shared" si="1"/>
        <v>42825</v>
      </c>
      <c r="E40" s="72">
        <f t="shared" si="2"/>
        <v>90</v>
      </c>
      <c r="F40" s="74">
        <f>VLOOKUP(D40,'FERC Interest Rate'!$A:$B,2,TRUE)</f>
        <v>3.5000000000000003E-2</v>
      </c>
      <c r="G40" s="75">
        <f t="shared" si="11"/>
        <v>2147307.7634250922</v>
      </c>
      <c r="H40" s="75">
        <v>0</v>
      </c>
      <c r="I40" s="99">
        <f t="shared" ref="I40:I56" si="13">(SUM($H$33:$H$38)/20)</f>
        <v>5812.2213779465983</v>
      </c>
      <c r="J40" s="76">
        <f t="shared" si="10"/>
        <v>18531.560150106961</v>
      </c>
      <c r="K40" s="116">
        <f t="shared" si="4"/>
        <v>24343.781528053558</v>
      </c>
      <c r="L40" s="76">
        <f t="shared" si="12"/>
        <v>120500</v>
      </c>
      <c r="M40" s="117">
        <f t="shared" si="5"/>
        <v>144843.78152805357</v>
      </c>
      <c r="N40" s="8">
        <f t="shared" si="6"/>
        <v>2165839.3235751991</v>
      </c>
      <c r="O40" s="75">
        <f t="shared" si="7"/>
        <v>2020995.5420471455</v>
      </c>
      <c r="P40" s="8"/>
      <c r="Q40" s="8"/>
    </row>
    <row r="41" spans="1:17" x14ac:dyDescent="0.25">
      <c r="A41" s="17" t="s">
        <v>56</v>
      </c>
      <c r="B41" s="72" t="str">
        <f t="shared" si="9"/>
        <v>Q2/2017</v>
      </c>
      <c r="C41" s="73">
        <f t="shared" si="8"/>
        <v>42826</v>
      </c>
      <c r="D41" s="73">
        <f t="shared" si="1"/>
        <v>42916</v>
      </c>
      <c r="E41" s="72">
        <f t="shared" si="2"/>
        <v>91</v>
      </c>
      <c r="F41" s="74">
        <f>VLOOKUP(D41,'FERC Interest Rate'!$A:$B,2,TRUE)</f>
        <v>3.7100000000000001E-2</v>
      </c>
      <c r="G41" s="75">
        <f t="shared" si="11"/>
        <v>2020995.5420471455</v>
      </c>
      <c r="H41" s="75">
        <v>0</v>
      </c>
      <c r="I41" s="99">
        <f t="shared" si="13"/>
        <v>5812.2213779465983</v>
      </c>
      <c r="J41" s="76">
        <f t="shared" si="10"/>
        <v>18693.37821782293</v>
      </c>
      <c r="K41" s="116">
        <f t="shared" si="4"/>
        <v>24505.599595769527</v>
      </c>
      <c r="L41" s="76">
        <f t="shared" si="12"/>
        <v>120500</v>
      </c>
      <c r="M41" s="117">
        <f t="shared" si="5"/>
        <v>145005.59959576954</v>
      </c>
      <c r="N41" s="8">
        <f t="shared" si="6"/>
        <v>2039688.9202649684</v>
      </c>
      <c r="O41" s="75">
        <f t="shared" si="7"/>
        <v>1894683.3206691989</v>
      </c>
      <c r="P41" s="8"/>
      <c r="Q41" s="8"/>
    </row>
    <row r="42" spans="1:17" x14ac:dyDescent="0.25">
      <c r="A42" s="17" t="s">
        <v>57</v>
      </c>
      <c r="B42" s="72" t="str">
        <f t="shared" si="9"/>
        <v>Q3/2017</v>
      </c>
      <c r="C42" s="73">
        <f t="shared" si="8"/>
        <v>42917</v>
      </c>
      <c r="D42" s="73">
        <f t="shared" si="1"/>
        <v>43008</v>
      </c>
      <c r="E42" s="72">
        <f t="shared" si="2"/>
        <v>92</v>
      </c>
      <c r="F42" s="74">
        <f>VLOOKUP(D42,'FERC Interest Rate'!$A:$B,2,TRUE)</f>
        <v>3.9600000000000003E-2</v>
      </c>
      <c r="G42" s="75">
        <f t="shared" si="11"/>
        <v>1894683.3206691989</v>
      </c>
      <c r="H42" s="75">
        <v>0</v>
      </c>
      <c r="I42" s="99">
        <f t="shared" si="13"/>
        <v>5812.2213779465983</v>
      </c>
      <c r="J42" s="76">
        <f t="shared" si="10"/>
        <v>18911.534996882263</v>
      </c>
      <c r="K42" s="116">
        <f t="shared" si="4"/>
        <v>24723.756374828859</v>
      </c>
      <c r="L42" s="76">
        <f t="shared" si="12"/>
        <v>120500</v>
      </c>
      <c r="M42" s="117">
        <f t="shared" si="5"/>
        <v>145223.75637482887</v>
      </c>
      <c r="N42" s="8">
        <f t="shared" si="6"/>
        <v>1913594.8556660812</v>
      </c>
      <c r="O42" s="75">
        <f t="shared" si="7"/>
        <v>1768371.0992912522</v>
      </c>
      <c r="P42" s="8"/>
      <c r="Q42" s="8"/>
    </row>
    <row r="43" spans="1:17" x14ac:dyDescent="0.25">
      <c r="A43" s="17" t="s">
        <v>58</v>
      </c>
      <c r="B43" s="72" t="str">
        <f t="shared" si="9"/>
        <v>Q4/2017</v>
      </c>
      <c r="C43" s="73">
        <f t="shared" si="8"/>
        <v>43009</v>
      </c>
      <c r="D43" s="73">
        <f t="shared" si="1"/>
        <v>43100</v>
      </c>
      <c r="E43" s="72">
        <f t="shared" si="2"/>
        <v>92</v>
      </c>
      <c r="F43" s="74">
        <f>VLOOKUP(D43,'FERC Interest Rate'!$A:$B,2,TRUE)</f>
        <v>4.2099999999999999E-2</v>
      </c>
      <c r="G43" s="75">
        <f t="shared" si="11"/>
        <v>1768371.0992912522</v>
      </c>
      <c r="H43" s="75">
        <v>0</v>
      </c>
      <c r="I43" s="99">
        <f t="shared" si="13"/>
        <v>5812.2213779465983</v>
      </c>
      <c r="J43" s="76">
        <f t="shared" si="10"/>
        <v>18765.082032259943</v>
      </c>
      <c r="K43" s="116">
        <f t="shared" si="4"/>
        <v>24577.303410206543</v>
      </c>
      <c r="L43" s="76">
        <f t="shared" si="12"/>
        <v>120500</v>
      </c>
      <c r="M43" s="117">
        <f t="shared" si="5"/>
        <v>145077.30341020654</v>
      </c>
      <c r="N43" s="8">
        <f t="shared" si="6"/>
        <v>1787136.1813235122</v>
      </c>
      <c r="O43" s="75">
        <f t="shared" si="7"/>
        <v>1642058.8779133055</v>
      </c>
      <c r="P43" s="8"/>
      <c r="Q43" s="8"/>
    </row>
    <row r="44" spans="1:17" x14ac:dyDescent="0.25">
      <c r="A44" s="17" t="s">
        <v>59</v>
      </c>
      <c r="B44" s="72" t="str">
        <f t="shared" si="9"/>
        <v>Q1/2018</v>
      </c>
      <c r="C44" s="73">
        <f t="shared" si="8"/>
        <v>43101</v>
      </c>
      <c r="D44" s="73">
        <f t="shared" si="1"/>
        <v>43190</v>
      </c>
      <c r="E44" s="72">
        <f t="shared" si="2"/>
        <v>90</v>
      </c>
      <c r="F44" s="74">
        <f>VLOOKUP(D44,'FERC Interest Rate'!$A:$B,2,TRUE)</f>
        <v>4.2500000000000003E-2</v>
      </c>
      <c r="G44" s="75">
        <f t="shared" si="11"/>
        <v>1642058.8779133055</v>
      </c>
      <c r="H44" s="75">
        <v>0</v>
      </c>
      <c r="I44" s="99">
        <f t="shared" si="13"/>
        <v>5812.2213779465983</v>
      </c>
      <c r="J44" s="76">
        <f t="shared" si="10"/>
        <v>17207.877282242174</v>
      </c>
      <c r="K44" s="116">
        <f t="shared" si="4"/>
        <v>23020.098660188771</v>
      </c>
      <c r="L44" s="76">
        <f t="shared" si="12"/>
        <v>120500</v>
      </c>
      <c r="M44" s="117">
        <f t="shared" si="5"/>
        <v>143520.09866018879</v>
      </c>
      <c r="N44" s="8">
        <f t="shared" si="6"/>
        <v>1659266.7551955478</v>
      </c>
      <c r="O44" s="75">
        <f t="shared" si="7"/>
        <v>1515746.6565353589</v>
      </c>
      <c r="P44" s="8"/>
      <c r="Q44" s="8"/>
    </row>
    <row r="45" spans="1:17" x14ac:dyDescent="0.25">
      <c r="A45" s="17" t="s">
        <v>60</v>
      </c>
      <c r="B45" s="72" t="str">
        <f t="shared" si="9"/>
        <v>Q2/2018</v>
      </c>
      <c r="C45" s="73">
        <f t="shared" si="8"/>
        <v>43191</v>
      </c>
      <c r="D45" s="73">
        <f t="shared" si="1"/>
        <v>43281</v>
      </c>
      <c r="E45" s="72">
        <f t="shared" si="2"/>
        <v>91</v>
      </c>
      <c r="F45" s="74">
        <f>VLOOKUP(D45,'FERC Interest Rate'!$A:$B,2,TRUE)</f>
        <v>4.4699999999999997E-2</v>
      </c>
      <c r="G45" s="75">
        <f t="shared" si="11"/>
        <v>1515746.6565353589</v>
      </c>
      <c r="H45" s="75">
        <v>0</v>
      </c>
      <c r="I45" s="99">
        <f t="shared" si="13"/>
        <v>5812.2213779465983</v>
      </c>
      <c r="J45" s="76">
        <f t="shared" si="10"/>
        <v>16892.062122709256</v>
      </c>
      <c r="K45" s="116">
        <f t="shared" si="4"/>
        <v>22704.283500655853</v>
      </c>
      <c r="L45" s="76">
        <f t="shared" si="12"/>
        <v>120500</v>
      </c>
      <c r="M45" s="117">
        <f t="shared" si="5"/>
        <v>143204.28350065585</v>
      </c>
      <c r="N45" s="8">
        <f t="shared" si="6"/>
        <v>1532638.7186580682</v>
      </c>
      <c r="O45" s="75">
        <f t="shared" si="7"/>
        <v>1389434.4351574122</v>
      </c>
      <c r="P45" s="8"/>
      <c r="Q45" s="8"/>
    </row>
    <row r="46" spans="1:17" x14ac:dyDescent="0.25">
      <c r="A46" s="17" t="s">
        <v>61</v>
      </c>
      <c r="B46" s="72" t="str">
        <f t="shared" si="9"/>
        <v>Q3/2018</v>
      </c>
      <c r="C46" s="73">
        <f t="shared" si="8"/>
        <v>43282</v>
      </c>
      <c r="D46" s="73">
        <f t="shared" si="1"/>
        <v>43373</v>
      </c>
      <c r="E46" s="72">
        <f t="shared" si="2"/>
        <v>92</v>
      </c>
      <c r="F46" s="74">
        <f>VLOOKUP(D46,'FERC Interest Rate'!$A:$B,2,TRUE)</f>
        <v>4.6899999999999997E-2</v>
      </c>
      <c r="G46" s="75">
        <f t="shared" si="11"/>
        <v>1389434.4351574122</v>
      </c>
      <c r="H46" s="75">
        <v>0</v>
      </c>
      <c r="I46" s="99">
        <f t="shared" si="13"/>
        <v>5812.2213779465983</v>
      </c>
      <c r="J46" s="76">
        <f t="shared" si="10"/>
        <v>16425.018358403293</v>
      </c>
      <c r="K46" s="116">
        <f t="shared" si="4"/>
        <v>22237.239736349889</v>
      </c>
      <c r="L46" s="76">
        <f t="shared" si="12"/>
        <v>120500</v>
      </c>
      <c r="M46" s="117">
        <f t="shared" si="5"/>
        <v>142737.2397363499</v>
      </c>
      <c r="N46" s="8">
        <f t="shared" si="6"/>
        <v>1405859.4535158155</v>
      </c>
      <c r="O46" s="75">
        <f t="shared" si="7"/>
        <v>1263122.2137794655</v>
      </c>
      <c r="P46" s="8"/>
      <c r="Q46" s="8"/>
    </row>
    <row r="47" spans="1:17" x14ac:dyDescent="0.25">
      <c r="A47" s="17" t="s">
        <v>62</v>
      </c>
      <c r="B47" s="72" t="str">
        <f t="shared" si="9"/>
        <v>Q4/2018</v>
      </c>
      <c r="C47" s="73">
        <f t="shared" si="8"/>
        <v>43374</v>
      </c>
      <c r="D47" s="73">
        <f t="shared" si="1"/>
        <v>43465</v>
      </c>
      <c r="E47" s="72">
        <f t="shared" si="2"/>
        <v>92</v>
      </c>
      <c r="F47" s="74">
        <f>VLOOKUP(D47,'FERC Interest Rate'!$A:$B,2,TRUE)</f>
        <v>4.9599999999999998E-2</v>
      </c>
      <c r="G47" s="75">
        <f t="shared" si="11"/>
        <v>1263122.2137794655</v>
      </c>
      <c r="H47" s="75">
        <v>0</v>
      </c>
      <c r="I47" s="99">
        <f t="shared" si="13"/>
        <v>5812.2213779465983</v>
      </c>
      <c r="J47" s="76">
        <f t="shared" si="10"/>
        <v>15791.450098406731</v>
      </c>
      <c r="K47" s="116">
        <f t="shared" si="4"/>
        <v>21603.671476353331</v>
      </c>
      <c r="L47" s="76">
        <f t="shared" si="12"/>
        <v>120500</v>
      </c>
      <c r="M47" s="117">
        <f t="shared" si="5"/>
        <v>142103.67147635334</v>
      </c>
      <c r="N47" s="8">
        <f t="shared" si="6"/>
        <v>1278913.6638778723</v>
      </c>
      <c r="O47" s="75">
        <f t="shared" si="7"/>
        <v>1136809.9924015189</v>
      </c>
      <c r="P47" s="8"/>
      <c r="Q47" s="8"/>
    </row>
    <row r="48" spans="1:17" x14ac:dyDescent="0.25">
      <c r="A48" s="17" t="s">
        <v>63</v>
      </c>
      <c r="B48" s="72" t="str">
        <f t="shared" si="9"/>
        <v>Q1/2019</v>
      </c>
      <c r="C48" s="73">
        <f t="shared" si="8"/>
        <v>43466</v>
      </c>
      <c r="D48" s="73">
        <f t="shared" si="1"/>
        <v>43555</v>
      </c>
      <c r="E48" s="72">
        <f t="shared" si="2"/>
        <v>90</v>
      </c>
      <c r="F48" s="74">
        <f>VLOOKUP(D48,'FERC Interest Rate'!$A:$B,2,TRUE)</f>
        <v>5.1799999999999999E-2</v>
      </c>
      <c r="G48" s="75">
        <f t="shared" si="11"/>
        <v>1136809.9924015189</v>
      </c>
      <c r="H48" s="75">
        <v>0</v>
      </c>
      <c r="I48" s="99">
        <f t="shared" si="13"/>
        <v>5812.2213779465983</v>
      </c>
      <c r="J48" s="76">
        <f t="shared" si="10"/>
        <v>14520.022423495564</v>
      </c>
      <c r="K48" s="116">
        <f t="shared" si="4"/>
        <v>20332.243801442164</v>
      </c>
      <c r="L48" s="76">
        <f t="shared" si="12"/>
        <v>120500</v>
      </c>
      <c r="M48" s="117">
        <f t="shared" si="5"/>
        <v>140832.24380144215</v>
      </c>
      <c r="N48" s="8">
        <f t="shared" si="6"/>
        <v>1151330.0148250144</v>
      </c>
      <c r="O48" s="75">
        <f t="shared" si="7"/>
        <v>1010497.7710235723</v>
      </c>
      <c r="P48" s="8"/>
      <c r="Q48" s="8"/>
    </row>
    <row r="49" spans="1:17" x14ac:dyDescent="0.25">
      <c r="A49" s="17" t="s">
        <v>64</v>
      </c>
      <c r="B49" s="72" t="str">
        <f t="shared" si="9"/>
        <v>Q2/2019</v>
      </c>
      <c r="C49" s="73">
        <f t="shared" si="8"/>
        <v>43556</v>
      </c>
      <c r="D49" s="73">
        <f t="shared" si="1"/>
        <v>43646</v>
      </c>
      <c r="E49" s="72">
        <f t="shared" si="2"/>
        <v>91</v>
      </c>
      <c r="F49" s="74">
        <f>VLOOKUP(D49,'FERC Interest Rate'!$A:$B,2,TRUE)</f>
        <v>5.45E-2</v>
      </c>
      <c r="G49" s="75">
        <f t="shared" si="11"/>
        <v>1010497.7710235723</v>
      </c>
      <c r="H49" s="75">
        <v>0</v>
      </c>
      <c r="I49" s="99">
        <f t="shared" si="13"/>
        <v>5812.2213779465983</v>
      </c>
      <c r="J49" s="76">
        <f t="shared" si="10"/>
        <v>13730.311494223031</v>
      </c>
      <c r="K49" s="116">
        <f t="shared" si="4"/>
        <v>19542.532872169628</v>
      </c>
      <c r="L49" s="76">
        <f t="shared" si="12"/>
        <v>120500</v>
      </c>
      <c r="M49" s="117">
        <f t="shared" si="5"/>
        <v>140042.53287216963</v>
      </c>
      <c r="N49" s="8">
        <f t="shared" si="6"/>
        <v>1024228.0825177954</v>
      </c>
      <c r="O49" s="75">
        <f t="shared" si="7"/>
        <v>884185.54964562575</v>
      </c>
      <c r="P49" s="8"/>
      <c r="Q49" s="8"/>
    </row>
    <row r="50" spans="1:17" x14ac:dyDescent="0.25">
      <c r="A50" s="17" t="s">
        <v>65</v>
      </c>
      <c r="B50" s="72" t="str">
        <f t="shared" si="9"/>
        <v>Q3/2019</v>
      </c>
      <c r="C50" s="73">
        <f t="shared" si="8"/>
        <v>43647</v>
      </c>
      <c r="D50" s="73">
        <f t="shared" si="1"/>
        <v>43738</v>
      </c>
      <c r="E50" s="72">
        <f t="shared" si="2"/>
        <v>92</v>
      </c>
      <c r="F50" s="74">
        <f>VLOOKUP(D50,'FERC Interest Rate'!$A:$B,2,TRUE)</f>
        <v>5.5E-2</v>
      </c>
      <c r="G50" s="75">
        <f t="shared" si="11"/>
        <v>884185.54964562575</v>
      </c>
      <c r="H50" s="75">
        <v>0</v>
      </c>
      <c r="I50" s="99">
        <f t="shared" si="13"/>
        <v>5812.2213779465983</v>
      </c>
      <c r="J50" s="76">
        <f t="shared" si="10"/>
        <v>12257.476386868128</v>
      </c>
      <c r="K50" s="116">
        <f t="shared" si="4"/>
        <v>18069.697764814726</v>
      </c>
      <c r="L50" s="76">
        <f t="shared" si="12"/>
        <v>120500</v>
      </c>
      <c r="M50" s="117">
        <f t="shared" si="5"/>
        <v>138569.69776481471</v>
      </c>
      <c r="N50" s="8">
        <f t="shared" si="6"/>
        <v>896443.02603249392</v>
      </c>
      <c r="O50" s="75">
        <f t="shared" si="7"/>
        <v>757873.3282676792</v>
      </c>
      <c r="P50" s="8"/>
      <c r="Q50" s="8"/>
    </row>
    <row r="51" spans="1:17" x14ac:dyDescent="0.25">
      <c r="A51" s="17" t="s">
        <v>66</v>
      </c>
      <c r="B51" s="72" t="str">
        <f t="shared" si="9"/>
        <v>Q4/2019</v>
      </c>
      <c r="C51" s="73">
        <f t="shared" si="8"/>
        <v>43739</v>
      </c>
      <c r="D51" s="73">
        <f t="shared" si="1"/>
        <v>43830</v>
      </c>
      <c r="E51" s="72">
        <f t="shared" si="2"/>
        <v>92</v>
      </c>
      <c r="F51" s="74">
        <f>VLOOKUP(D51,'FERC Interest Rate'!$A:$B,2,TRUE)</f>
        <v>5.4199999999999998E-2</v>
      </c>
      <c r="G51" s="75">
        <f t="shared" si="11"/>
        <v>757873.3282676792</v>
      </c>
      <c r="H51" s="75">
        <v>0</v>
      </c>
      <c r="I51" s="99">
        <f t="shared" si="13"/>
        <v>5812.2213779465983</v>
      </c>
      <c r="J51" s="76">
        <f t="shared" si="10"/>
        <v>10353.587846777962</v>
      </c>
      <c r="K51" s="116">
        <f t="shared" si="4"/>
        <v>16165.80922472456</v>
      </c>
      <c r="L51" s="76">
        <f t="shared" si="12"/>
        <v>120500</v>
      </c>
      <c r="M51" s="117">
        <f t="shared" si="5"/>
        <v>136665.80922472457</v>
      </c>
      <c r="N51" s="8">
        <f t="shared" si="6"/>
        <v>768226.91611445718</v>
      </c>
      <c r="O51" s="75">
        <f t="shared" si="7"/>
        <v>631561.10688973265</v>
      </c>
      <c r="P51" s="8"/>
      <c r="Q51" s="8"/>
    </row>
    <row r="52" spans="1:17" x14ac:dyDescent="0.25">
      <c r="A52" s="17" t="s">
        <v>67</v>
      </c>
      <c r="B52" s="72" t="str">
        <f t="shared" si="9"/>
        <v>Q1/2020</v>
      </c>
      <c r="C52" s="73">
        <f t="shared" si="8"/>
        <v>43831</v>
      </c>
      <c r="D52" s="73">
        <f t="shared" si="1"/>
        <v>43921</v>
      </c>
      <c r="E52" s="72">
        <f t="shared" si="2"/>
        <v>91</v>
      </c>
      <c r="F52" s="74">
        <f>VLOOKUP(D52,'FERC Interest Rate'!$A:$B,2,TRUE)</f>
        <v>4.9599999999999998E-2</v>
      </c>
      <c r="G52" s="75">
        <f t="shared" si="11"/>
        <v>631561.10688973265</v>
      </c>
      <c r="H52" s="75">
        <v>0</v>
      </c>
      <c r="I52" s="99">
        <f t="shared" si="13"/>
        <v>5812.2213779465983</v>
      </c>
      <c r="J52" s="76">
        <f t="shared" si="10"/>
        <v>7788.5634209221234</v>
      </c>
      <c r="K52" s="116">
        <f t="shared" si="4"/>
        <v>13600.784798868721</v>
      </c>
      <c r="L52" s="76">
        <f t="shared" si="12"/>
        <v>120500</v>
      </c>
      <c r="M52" s="117">
        <f t="shared" si="5"/>
        <v>134100.78479886873</v>
      </c>
      <c r="N52" s="8">
        <f t="shared" si="6"/>
        <v>639349.67031065479</v>
      </c>
      <c r="O52" s="75">
        <f t="shared" si="7"/>
        <v>505248.88551178604</v>
      </c>
      <c r="P52" s="8"/>
      <c r="Q52" s="8"/>
    </row>
    <row r="53" spans="1:17" x14ac:dyDescent="0.25">
      <c r="A53" s="17" t="s">
        <v>68</v>
      </c>
      <c r="B53" s="72" t="str">
        <f t="shared" si="9"/>
        <v>Q2/2020</v>
      </c>
      <c r="C53" s="73">
        <f t="shared" si="8"/>
        <v>43922</v>
      </c>
      <c r="D53" s="73">
        <f t="shared" si="1"/>
        <v>44012</v>
      </c>
      <c r="E53" s="72">
        <f t="shared" si="2"/>
        <v>91</v>
      </c>
      <c r="F53" s="74">
        <f>VLOOKUP(D53,'FERC Interest Rate'!$A:$B,2,TRUE)</f>
        <v>4.7503500000000004E-2</v>
      </c>
      <c r="G53" s="75">
        <f t="shared" si="11"/>
        <v>505248.88551178604</v>
      </c>
      <c r="H53" s="75">
        <v>0</v>
      </c>
      <c r="I53" s="99">
        <f t="shared" si="13"/>
        <v>5812.2213779465983</v>
      </c>
      <c r="J53" s="76">
        <f t="shared" si="10"/>
        <v>5967.4842333189372</v>
      </c>
      <c r="K53" s="116">
        <f t="shared" si="4"/>
        <v>11779.705611265535</v>
      </c>
      <c r="L53" s="76">
        <f t="shared" si="12"/>
        <v>120500</v>
      </c>
      <c r="M53" s="117">
        <f t="shared" si="5"/>
        <v>132279.70561126553</v>
      </c>
      <c r="N53" s="8">
        <f t="shared" si="6"/>
        <v>511216.36974510498</v>
      </c>
      <c r="O53" s="75">
        <f t="shared" si="7"/>
        <v>378936.66413383943</v>
      </c>
      <c r="P53" s="8"/>
      <c r="Q53" s="8"/>
    </row>
    <row r="54" spans="1:17" x14ac:dyDescent="0.25">
      <c r="A54" s="17" t="s">
        <v>69</v>
      </c>
      <c r="B54" s="72" t="str">
        <f t="shared" si="9"/>
        <v>Q3/2020</v>
      </c>
      <c r="C54" s="73">
        <f t="shared" si="8"/>
        <v>44013</v>
      </c>
      <c r="D54" s="73">
        <f t="shared" si="1"/>
        <v>44104</v>
      </c>
      <c r="E54" s="72">
        <f t="shared" si="2"/>
        <v>92</v>
      </c>
      <c r="F54" s="74">
        <f>VLOOKUP(D54,'FERC Interest Rate'!$A:$B,2,TRUE)</f>
        <v>4.7507929999999997E-2</v>
      </c>
      <c r="G54" s="75">
        <f t="shared" si="11"/>
        <v>378936.66413383943</v>
      </c>
      <c r="H54" s="75">
        <v>0</v>
      </c>
      <c r="I54" s="99">
        <f t="shared" si="13"/>
        <v>5812.2213779465983</v>
      </c>
      <c r="J54" s="76">
        <f t="shared" si="10"/>
        <v>4525.2177029988079</v>
      </c>
      <c r="K54" s="116">
        <f t="shared" si="4"/>
        <v>10337.439080945405</v>
      </c>
      <c r="L54" s="76">
        <f t="shared" si="12"/>
        <v>120500</v>
      </c>
      <c r="M54" s="117">
        <f t="shared" si="5"/>
        <v>130837.43908094541</v>
      </c>
      <c r="N54" s="8">
        <f t="shared" si="6"/>
        <v>383461.88183683821</v>
      </c>
      <c r="O54" s="75">
        <f t="shared" si="7"/>
        <v>252624.44275589281</v>
      </c>
      <c r="P54" s="8"/>
      <c r="Q54" s="8"/>
    </row>
    <row r="55" spans="1:17" x14ac:dyDescent="0.25">
      <c r="A55" s="17" t="s">
        <v>70</v>
      </c>
      <c r="B55" s="72" t="str">
        <f t="shared" si="9"/>
        <v>Q4/2020</v>
      </c>
      <c r="C55" s="73">
        <f t="shared" si="8"/>
        <v>44105</v>
      </c>
      <c r="D55" s="73">
        <f t="shared" si="1"/>
        <v>44196</v>
      </c>
      <c r="E55" s="72">
        <f t="shared" si="2"/>
        <v>92</v>
      </c>
      <c r="F55" s="74">
        <f>VLOOKUP(D55,'FERC Interest Rate'!$A:$B,2,TRUE)</f>
        <v>4.7922320000000004E-2</v>
      </c>
      <c r="G55" s="75">
        <f t="shared" si="11"/>
        <v>252624.44275589281</v>
      </c>
      <c r="H55" s="75">
        <v>0</v>
      </c>
      <c r="I55" s="99">
        <f t="shared" si="13"/>
        <v>5812.2213779465983</v>
      </c>
      <c r="J55" s="76">
        <f t="shared" si="10"/>
        <v>3043.1260750612055</v>
      </c>
      <c r="K55" s="116">
        <f t="shared" si="4"/>
        <v>8855.3474530078038</v>
      </c>
      <c r="L55" s="76">
        <f t="shared" si="12"/>
        <v>120500</v>
      </c>
      <c r="M55" s="117">
        <f t="shared" si="5"/>
        <v>129355.34745300781</v>
      </c>
      <c r="N55" s="8">
        <f t="shared" si="6"/>
        <v>255667.56883095403</v>
      </c>
      <c r="O55" s="75">
        <f t="shared" si="7"/>
        <v>126312.22137794622</v>
      </c>
      <c r="P55" s="8"/>
      <c r="Q55" s="8"/>
    </row>
    <row r="56" spans="1:17" x14ac:dyDescent="0.25">
      <c r="A56" s="17" t="s">
        <v>71</v>
      </c>
      <c r="B56" s="72" t="str">
        <f t="shared" si="9"/>
        <v>Q1/2021</v>
      </c>
      <c r="C56" s="73">
        <f t="shared" si="8"/>
        <v>44197</v>
      </c>
      <c r="D56" s="73">
        <f t="shared" si="1"/>
        <v>44286</v>
      </c>
      <c r="E56" s="72">
        <f t="shared" si="2"/>
        <v>90</v>
      </c>
      <c r="F56" s="74">
        <f>VLOOKUP(D56,'FERC Interest Rate'!$A:$B,2,TRUE)</f>
        <v>5.0023470000000007E-2</v>
      </c>
      <c r="G56" s="75">
        <f t="shared" si="11"/>
        <v>126312.22137794622</v>
      </c>
      <c r="H56" s="75">
        <v>0</v>
      </c>
      <c r="I56" s="99">
        <f t="shared" si="13"/>
        <v>5812.2213779465983</v>
      </c>
      <c r="J56" s="76">
        <f t="shared" si="10"/>
        <v>1558.0049465917114</v>
      </c>
      <c r="K56" s="116">
        <f t="shared" si="4"/>
        <v>7370.2263245383092</v>
      </c>
      <c r="L56" s="76">
        <f t="shared" si="12"/>
        <v>120500</v>
      </c>
      <c r="M56" s="117">
        <f t="shared" si="5"/>
        <v>127870.22632453831</v>
      </c>
      <c r="N56" s="8">
        <f t="shared" si="6"/>
        <v>127870.22632453793</v>
      </c>
      <c r="O56" s="75">
        <f t="shared" si="7"/>
        <v>-3.80168785341084E-10</v>
      </c>
      <c r="P56" s="8"/>
      <c r="Q56" s="8"/>
    </row>
    <row r="57" spans="1:17" x14ac:dyDescent="0.25">
      <c r="B57" s="11"/>
      <c r="C57" s="111"/>
      <c r="D57" s="111"/>
      <c r="E57" s="10"/>
      <c r="F57" s="11"/>
      <c r="G57" s="76"/>
      <c r="H57" s="12"/>
      <c r="I57" s="101"/>
      <c r="J57" s="76"/>
      <c r="K57" s="103"/>
      <c r="L57" s="58"/>
      <c r="M57" s="118"/>
      <c r="O57" s="76"/>
    </row>
    <row r="58" spans="1:17" ht="13.5" thickBot="1" x14ac:dyDescent="0.35">
      <c r="A58" s="142"/>
      <c r="B58" s="143"/>
      <c r="C58" s="146"/>
      <c r="D58" s="146"/>
      <c r="E58" s="145"/>
      <c r="F58" s="143"/>
      <c r="G58" s="127">
        <f t="shared" ref="G58:O58" si="14">+SUM(G33:G57)</f>
        <v>36325436.849979021</v>
      </c>
      <c r="H58" s="127">
        <f t="shared" si="14"/>
        <v>116244.42755893197</v>
      </c>
      <c r="I58" s="128">
        <f t="shared" si="14"/>
        <v>116244.42755893194</v>
      </c>
      <c r="J58" s="127">
        <f t="shared" si="14"/>
        <v>256996.24319450234</v>
      </c>
      <c r="K58" s="127">
        <f t="shared" si="14"/>
        <v>373240.67075343424</v>
      </c>
      <c r="L58" s="127">
        <f t="shared" si="14"/>
        <v>2410000</v>
      </c>
      <c r="M58" s="129">
        <f t="shared" si="14"/>
        <v>2783240.6707534348</v>
      </c>
      <c r="N58" s="127">
        <f t="shared" si="14"/>
        <v>36698677.520732448</v>
      </c>
      <c r="O58" s="127">
        <f t="shared" si="14"/>
        <v>33915436.849979021</v>
      </c>
    </row>
    <row r="59" spans="1:17" ht="13" thickTop="1" x14ac:dyDescent="0.25">
      <c r="B59" s="103"/>
      <c r="C59" s="103"/>
      <c r="D59" s="103"/>
      <c r="E59" s="103"/>
      <c r="F59" s="103"/>
      <c r="G59" s="103"/>
      <c r="H59" s="103"/>
      <c r="I59" s="102"/>
      <c r="J59" s="103"/>
      <c r="K59" s="103"/>
      <c r="L59" s="103"/>
      <c r="M59" s="118"/>
      <c r="O59" s="103"/>
    </row>
  </sheetData>
  <mergeCells count="1">
    <mergeCell ref="A33:B36"/>
  </mergeCells>
  <pageMargins left="0.25" right="0.25" top="0.75" bottom="0.75" header="0.3" footer="0.3"/>
  <pageSetup scale="59" fitToHeight="0" orientation="landscape" r:id="rId1"/>
  <headerFooter alignWithMargins="0">
    <oddHeader>&amp;RTO2021 Annual Update
Attachment 4
WP- Schedule 22 NUCs
Page &amp;P of &amp;N</oddHeader>
    <oddFooter>&amp;L&amp;D&amp;R&amp;A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67"/>
  <sheetViews>
    <sheetView view="pageLayout" zoomScale="50" zoomScaleNormal="6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4" ht="26" x14ac:dyDescent="0.3">
      <c r="A1" s="211" t="s">
        <v>8</v>
      </c>
      <c r="B1" s="212" t="s">
        <v>86</v>
      </c>
      <c r="C1" s="211" t="s">
        <v>2</v>
      </c>
      <c r="D1" s="211" t="s">
        <v>1</v>
      </c>
      <c r="E1" s="212" t="s">
        <v>72</v>
      </c>
      <c r="F1" s="212" t="s">
        <v>47</v>
      </c>
      <c r="G1" s="270" t="s">
        <v>51</v>
      </c>
      <c r="H1" s="270" t="s">
        <v>3</v>
      </c>
      <c r="I1" s="213" t="s">
        <v>145</v>
      </c>
      <c r="J1" s="214" t="s">
        <v>146</v>
      </c>
      <c r="K1" s="214" t="s">
        <v>147</v>
      </c>
      <c r="L1" s="214" t="s">
        <v>148</v>
      </c>
      <c r="M1" s="215" t="s">
        <v>149</v>
      </c>
    </row>
    <row r="2" spans="1:14" ht="12.75" customHeight="1" outlineLevel="1" x14ac:dyDescent="0.25">
      <c r="A2" s="216" t="s">
        <v>52</v>
      </c>
      <c r="B2" s="49">
        <v>41102</v>
      </c>
      <c r="C2" s="43">
        <v>589690.72164948459</v>
      </c>
      <c r="D2" s="43">
        <v>0</v>
      </c>
      <c r="E2" s="43">
        <v>0</v>
      </c>
      <c r="F2" s="7">
        <f>SUM(C2:E2)</f>
        <v>589690.72164948459</v>
      </c>
      <c r="G2" s="216" t="s">
        <v>52</v>
      </c>
      <c r="H2" s="49" t="s">
        <v>152</v>
      </c>
      <c r="I2" s="264">
        <f t="shared" ref="I2:I21" si="0">+SUMIF($A$29:$A$66,G2,$I$29:$I$66)</f>
        <v>0</v>
      </c>
      <c r="J2" s="265">
        <f t="shared" ref="J2:J21" si="1">+SUMIF($A$29:$A$66,G2,$J$29:$J$66)</f>
        <v>0</v>
      </c>
      <c r="K2" s="265">
        <f t="shared" ref="K2:K21" si="2">+SUMIF($A$29:$A$66,G2,$K$29:$K$66)</f>
        <v>0</v>
      </c>
      <c r="L2" s="265">
        <f t="shared" ref="L2:L21" si="3">+SUMIF($A$29:$A$66,G2,$L$29:$L$66)</f>
        <v>0</v>
      </c>
      <c r="M2" s="266">
        <f t="shared" ref="M2:M21" si="4">+SUMIF($A$29:$A$66,G2,$M$29:$M$66)</f>
        <v>0</v>
      </c>
    </row>
    <row r="3" spans="1:14" ht="12.75" customHeight="1" outlineLevel="1" x14ac:dyDescent="0.25">
      <c r="A3" s="216" t="s">
        <v>53</v>
      </c>
      <c r="B3" s="50" t="s">
        <v>21</v>
      </c>
      <c r="C3" s="43">
        <v>0</v>
      </c>
      <c r="D3" s="43">
        <v>0</v>
      </c>
      <c r="E3" s="43">
        <v>0</v>
      </c>
      <c r="F3" s="7">
        <f t="shared" ref="F3:F21" si="5">SUM(C3:E3)</f>
        <v>0</v>
      </c>
      <c r="G3" s="216" t="s">
        <v>53</v>
      </c>
      <c r="H3" s="49" t="s">
        <v>119</v>
      </c>
      <c r="I3" s="264">
        <f t="shared" si="0"/>
        <v>0</v>
      </c>
      <c r="J3" s="265">
        <f t="shared" si="1"/>
        <v>0</v>
      </c>
      <c r="K3" s="265">
        <f t="shared" si="2"/>
        <v>0</v>
      </c>
      <c r="L3" s="265">
        <f t="shared" si="3"/>
        <v>0</v>
      </c>
      <c r="M3" s="266">
        <f t="shared" si="4"/>
        <v>0</v>
      </c>
    </row>
    <row r="4" spans="1:14" outlineLevel="1" collapsed="1" x14ac:dyDescent="0.25">
      <c r="A4" s="216" t="s">
        <v>54</v>
      </c>
      <c r="B4" s="50" t="s">
        <v>21</v>
      </c>
      <c r="C4" s="43">
        <v>0</v>
      </c>
      <c r="D4" s="43">
        <v>0</v>
      </c>
      <c r="E4" s="43">
        <v>0</v>
      </c>
      <c r="F4" s="7">
        <f t="shared" si="5"/>
        <v>0</v>
      </c>
      <c r="G4" s="216" t="s">
        <v>54</v>
      </c>
      <c r="H4" s="49" t="s">
        <v>153</v>
      </c>
      <c r="I4" s="264">
        <f t="shared" si="0"/>
        <v>0</v>
      </c>
      <c r="J4" s="265">
        <f t="shared" si="1"/>
        <v>0</v>
      </c>
      <c r="K4" s="265">
        <f t="shared" si="2"/>
        <v>0</v>
      </c>
      <c r="L4" s="265">
        <f t="shared" si="3"/>
        <v>0</v>
      </c>
      <c r="M4" s="266">
        <f t="shared" si="4"/>
        <v>0</v>
      </c>
    </row>
    <row r="5" spans="1:14" outlineLevel="1" x14ac:dyDescent="0.25">
      <c r="A5" s="216" t="s">
        <v>55</v>
      </c>
      <c r="B5" s="50" t="s">
        <v>21</v>
      </c>
      <c r="C5" s="43">
        <v>0</v>
      </c>
      <c r="D5" s="43">
        <v>0</v>
      </c>
      <c r="E5" s="43">
        <v>0</v>
      </c>
      <c r="F5" s="7">
        <f t="shared" si="5"/>
        <v>0</v>
      </c>
      <c r="G5" s="216" t="s">
        <v>55</v>
      </c>
      <c r="H5" s="49" t="s">
        <v>154</v>
      </c>
      <c r="I5" s="264">
        <f t="shared" si="0"/>
        <v>0</v>
      </c>
      <c r="J5" s="265">
        <f t="shared" si="1"/>
        <v>0</v>
      </c>
      <c r="K5" s="265">
        <f t="shared" si="2"/>
        <v>0</v>
      </c>
      <c r="L5" s="265">
        <f t="shared" si="3"/>
        <v>0</v>
      </c>
      <c r="M5" s="266">
        <f t="shared" si="4"/>
        <v>0</v>
      </c>
    </row>
    <row r="6" spans="1:14" ht="12.75" customHeight="1" outlineLevel="1" x14ac:dyDescent="0.25">
      <c r="A6" s="216" t="s">
        <v>56</v>
      </c>
      <c r="B6" s="50" t="s">
        <v>21</v>
      </c>
      <c r="C6" s="43">
        <v>0</v>
      </c>
      <c r="D6" s="43">
        <v>0</v>
      </c>
      <c r="E6" s="43">
        <v>0</v>
      </c>
      <c r="F6" s="7">
        <f t="shared" si="5"/>
        <v>0</v>
      </c>
      <c r="G6" s="216" t="s">
        <v>56</v>
      </c>
      <c r="H6" s="49" t="s">
        <v>155</v>
      </c>
      <c r="I6" s="264">
        <f t="shared" si="0"/>
        <v>0</v>
      </c>
      <c r="J6" s="265">
        <f t="shared" si="1"/>
        <v>0</v>
      </c>
      <c r="K6" s="265">
        <f t="shared" si="2"/>
        <v>0</v>
      </c>
      <c r="L6" s="265">
        <f t="shared" si="3"/>
        <v>0</v>
      </c>
      <c r="M6" s="266">
        <f t="shared" si="4"/>
        <v>0</v>
      </c>
    </row>
    <row r="7" spans="1:14" outlineLevel="1" x14ac:dyDescent="0.25">
      <c r="A7" s="216" t="s">
        <v>57</v>
      </c>
      <c r="B7" s="50" t="s">
        <v>21</v>
      </c>
      <c r="C7" s="43">
        <v>0</v>
      </c>
      <c r="D7" s="43">
        <v>0</v>
      </c>
      <c r="E7" s="43">
        <v>0</v>
      </c>
      <c r="F7" s="7">
        <f t="shared" si="5"/>
        <v>0</v>
      </c>
      <c r="G7" s="216" t="s">
        <v>57</v>
      </c>
      <c r="H7" s="49" t="s">
        <v>125</v>
      </c>
      <c r="I7" s="264">
        <f t="shared" si="0"/>
        <v>0</v>
      </c>
      <c r="J7" s="265">
        <f t="shared" si="1"/>
        <v>0</v>
      </c>
      <c r="K7" s="265">
        <f t="shared" si="2"/>
        <v>0</v>
      </c>
      <c r="L7" s="265">
        <f t="shared" si="3"/>
        <v>0</v>
      </c>
      <c r="M7" s="266">
        <f t="shared" si="4"/>
        <v>0</v>
      </c>
    </row>
    <row r="8" spans="1:14" outlineLevel="1" x14ac:dyDescent="0.25">
      <c r="A8" s="216" t="s">
        <v>58</v>
      </c>
      <c r="B8" s="50" t="s">
        <v>21</v>
      </c>
      <c r="C8" s="43">
        <v>0</v>
      </c>
      <c r="D8" s="43">
        <v>0</v>
      </c>
      <c r="E8" s="43">
        <v>0</v>
      </c>
      <c r="F8" s="7">
        <f t="shared" si="5"/>
        <v>0</v>
      </c>
      <c r="G8" s="216" t="s">
        <v>58</v>
      </c>
      <c r="H8" s="49" t="s">
        <v>156</v>
      </c>
      <c r="I8" s="264">
        <f t="shared" si="0"/>
        <v>0</v>
      </c>
      <c r="J8" s="265">
        <f t="shared" si="1"/>
        <v>0</v>
      </c>
      <c r="K8" s="265">
        <f t="shared" si="2"/>
        <v>0</v>
      </c>
      <c r="L8" s="265">
        <f t="shared" si="3"/>
        <v>0</v>
      </c>
      <c r="M8" s="266">
        <f t="shared" si="4"/>
        <v>0</v>
      </c>
      <c r="N8" s="52"/>
    </row>
    <row r="9" spans="1:14" outlineLevel="1" x14ac:dyDescent="0.25">
      <c r="A9" s="216" t="s">
        <v>59</v>
      </c>
      <c r="B9" s="50" t="s">
        <v>21</v>
      </c>
      <c r="C9" s="43">
        <v>0</v>
      </c>
      <c r="D9" s="43">
        <v>0</v>
      </c>
      <c r="E9" s="43">
        <v>0</v>
      </c>
      <c r="F9" s="7">
        <f t="shared" si="5"/>
        <v>0</v>
      </c>
      <c r="G9" s="216" t="s">
        <v>59</v>
      </c>
      <c r="H9" s="49" t="s">
        <v>157</v>
      </c>
      <c r="I9" s="264">
        <f t="shared" si="0"/>
        <v>0</v>
      </c>
      <c r="J9" s="265">
        <f t="shared" si="1"/>
        <v>0</v>
      </c>
      <c r="K9" s="265">
        <f t="shared" si="2"/>
        <v>0</v>
      </c>
      <c r="L9" s="265">
        <f t="shared" si="3"/>
        <v>0</v>
      </c>
      <c r="M9" s="266">
        <f t="shared" si="4"/>
        <v>0</v>
      </c>
    </row>
    <row r="10" spans="1:14" outlineLevel="1" x14ac:dyDescent="0.25">
      <c r="A10" s="216" t="s">
        <v>60</v>
      </c>
      <c r="B10" s="50" t="s">
        <v>21</v>
      </c>
      <c r="C10" s="43">
        <v>0</v>
      </c>
      <c r="D10" s="43">
        <v>0</v>
      </c>
      <c r="E10" s="43">
        <v>0</v>
      </c>
      <c r="F10" s="7">
        <f t="shared" si="5"/>
        <v>0</v>
      </c>
      <c r="G10" s="216" t="s">
        <v>60</v>
      </c>
      <c r="H10" s="49" t="s">
        <v>158</v>
      </c>
      <c r="I10" s="264">
        <f t="shared" si="0"/>
        <v>60812.097944967558</v>
      </c>
      <c r="J10" s="265">
        <f t="shared" si="1"/>
        <v>0</v>
      </c>
      <c r="K10" s="265">
        <f t="shared" si="2"/>
        <v>60812.097944967558</v>
      </c>
      <c r="L10" s="265">
        <f t="shared" si="3"/>
        <v>265360.82474226807</v>
      </c>
      <c r="M10" s="266">
        <f t="shared" si="4"/>
        <v>326172.92268723564</v>
      </c>
      <c r="N10" s="52"/>
    </row>
    <row r="11" spans="1:14" outlineLevel="1" x14ac:dyDescent="0.25">
      <c r="A11" s="216" t="s">
        <v>61</v>
      </c>
      <c r="B11" s="50" t="s">
        <v>21</v>
      </c>
      <c r="C11" s="43">
        <v>0</v>
      </c>
      <c r="D11" s="43">
        <v>0</v>
      </c>
      <c r="E11" s="43">
        <v>0</v>
      </c>
      <c r="F11" s="7">
        <f t="shared" si="5"/>
        <v>0</v>
      </c>
      <c r="G11" s="216" t="s">
        <v>61</v>
      </c>
      <c r="H11" s="50" t="s">
        <v>159</v>
      </c>
      <c r="I11" s="264">
        <f t="shared" si="0"/>
        <v>6756.899771663062</v>
      </c>
      <c r="J11" s="265">
        <f t="shared" si="1"/>
        <v>4712.6575935828705</v>
      </c>
      <c r="K11" s="265">
        <f t="shared" si="2"/>
        <v>11469.557365245932</v>
      </c>
      <c r="L11" s="265">
        <f t="shared" si="3"/>
        <v>29484.536082474231</v>
      </c>
      <c r="M11" s="266">
        <f t="shared" si="4"/>
        <v>40954.093447720166</v>
      </c>
    </row>
    <row r="12" spans="1:14" outlineLevel="1" collapsed="1" x14ac:dyDescent="0.25">
      <c r="A12" s="216" t="s">
        <v>62</v>
      </c>
      <c r="B12" s="50" t="s">
        <v>21</v>
      </c>
      <c r="C12" s="43">
        <v>0</v>
      </c>
      <c r="D12" s="43">
        <v>0</v>
      </c>
      <c r="E12" s="43">
        <v>0</v>
      </c>
      <c r="F12" s="7">
        <f t="shared" si="5"/>
        <v>0</v>
      </c>
      <c r="G12" s="216" t="s">
        <v>62</v>
      </c>
      <c r="H12" s="50" t="s">
        <v>160</v>
      </c>
      <c r="I12" s="264">
        <f t="shared" si="0"/>
        <v>6756.899771663062</v>
      </c>
      <c r="J12" s="265">
        <f t="shared" si="1"/>
        <v>4530.8745230027207</v>
      </c>
      <c r="K12" s="265">
        <f t="shared" si="2"/>
        <v>11287.774294665782</v>
      </c>
      <c r="L12" s="265">
        <f t="shared" si="3"/>
        <v>29484.536082474231</v>
      </c>
      <c r="M12" s="266">
        <f t="shared" si="4"/>
        <v>40772.310377140013</v>
      </c>
    </row>
    <row r="13" spans="1:14" outlineLevel="1" x14ac:dyDescent="0.25">
      <c r="A13" s="216" t="s">
        <v>63</v>
      </c>
      <c r="B13" s="50" t="s">
        <v>21</v>
      </c>
      <c r="C13" s="43">
        <v>0</v>
      </c>
      <c r="D13" s="43">
        <v>0</v>
      </c>
      <c r="E13" s="43">
        <v>0</v>
      </c>
      <c r="F13" s="7">
        <f t="shared" si="5"/>
        <v>0</v>
      </c>
      <c r="G13" s="216" t="s">
        <v>63</v>
      </c>
      <c r="H13" s="50" t="s">
        <v>161</v>
      </c>
      <c r="I13" s="264">
        <f t="shared" si="0"/>
        <v>6756.899771663062</v>
      </c>
      <c r="J13" s="265">
        <f t="shared" si="1"/>
        <v>4166.0771659394313</v>
      </c>
      <c r="K13" s="265">
        <f t="shared" si="2"/>
        <v>10922.976937602492</v>
      </c>
      <c r="L13" s="265">
        <f t="shared" si="3"/>
        <v>29484.536082474231</v>
      </c>
      <c r="M13" s="266">
        <f t="shared" si="4"/>
        <v>40407.513020076723</v>
      </c>
    </row>
    <row r="14" spans="1:14" outlineLevel="1" x14ac:dyDescent="0.25">
      <c r="A14" s="216" t="s">
        <v>64</v>
      </c>
      <c r="B14" s="50" t="s">
        <v>21</v>
      </c>
      <c r="C14" s="43">
        <v>0</v>
      </c>
      <c r="D14" s="43">
        <v>0</v>
      </c>
      <c r="E14" s="43">
        <v>0</v>
      </c>
      <c r="F14" s="7">
        <f t="shared" si="5"/>
        <v>0</v>
      </c>
      <c r="G14" s="216" t="s">
        <v>64</v>
      </c>
      <c r="H14" s="50" t="s">
        <v>162</v>
      </c>
      <c r="I14" s="264">
        <f t="shared" si="0"/>
        <v>6756.899771663062</v>
      </c>
      <c r="J14" s="265">
        <f t="shared" si="1"/>
        <v>3939.4937231472636</v>
      </c>
      <c r="K14" s="265">
        <f t="shared" si="2"/>
        <v>10696.393494810325</v>
      </c>
      <c r="L14" s="265">
        <f t="shared" si="3"/>
        <v>29484.536082474231</v>
      </c>
      <c r="M14" s="266">
        <f t="shared" si="4"/>
        <v>40180.929577284558</v>
      </c>
    </row>
    <row r="15" spans="1:14" outlineLevel="1" x14ac:dyDescent="0.25">
      <c r="A15" s="216" t="s">
        <v>65</v>
      </c>
      <c r="B15" s="50" t="s">
        <v>21</v>
      </c>
      <c r="C15" s="43">
        <v>0</v>
      </c>
      <c r="D15" s="43">
        <v>0</v>
      </c>
      <c r="E15" s="43">
        <v>0</v>
      </c>
      <c r="F15" s="7">
        <f t="shared" si="5"/>
        <v>0</v>
      </c>
      <c r="G15" s="216" t="s">
        <v>65</v>
      </c>
      <c r="H15" s="50" t="s">
        <v>163</v>
      </c>
      <c r="I15" s="264">
        <f t="shared" si="0"/>
        <v>6756.899771663062</v>
      </c>
      <c r="J15" s="265">
        <f t="shared" si="1"/>
        <v>3516.9086519275152</v>
      </c>
      <c r="K15" s="265">
        <f t="shared" si="2"/>
        <v>10273.808423590577</v>
      </c>
      <c r="L15" s="265">
        <f t="shared" si="3"/>
        <v>29484.536082474231</v>
      </c>
      <c r="M15" s="266">
        <f t="shared" si="4"/>
        <v>39758.344506064808</v>
      </c>
    </row>
    <row r="16" spans="1:14" outlineLevel="1" x14ac:dyDescent="0.25">
      <c r="A16" s="216" t="s">
        <v>66</v>
      </c>
      <c r="B16" s="50" t="s">
        <v>21</v>
      </c>
      <c r="C16" s="43">
        <v>0</v>
      </c>
      <c r="D16" s="43">
        <v>0</v>
      </c>
      <c r="E16" s="43">
        <v>0</v>
      </c>
      <c r="F16" s="7">
        <f t="shared" si="5"/>
        <v>0</v>
      </c>
      <c r="G16" s="216" t="s">
        <v>66</v>
      </c>
      <c r="H16" s="54" t="s">
        <v>164</v>
      </c>
      <c r="I16" s="264">
        <f t="shared" si="0"/>
        <v>6756.899771663062</v>
      </c>
      <c r="J16" s="265">
        <f t="shared" si="1"/>
        <v>2970.6459574203318</v>
      </c>
      <c r="K16" s="265">
        <f t="shared" si="2"/>
        <v>9727.5457290833947</v>
      </c>
      <c r="L16" s="265">
        <f t="shared" si="3"/>
        <v>29484.536082474231</v>
      </c>
      <c r="M16" s="266">
        <f t="shared" si="4"/>
        <v>39212.081811557626</v>
      </c>
    </row>
    <row r="17" spans="1:18" outlineLevel="1" x14ac:dyDescent="0.25">
      <c r="A17" s="216" t="s">
        <v>67</v>
      </c>
      <c r="B17" s="50" t="s">
        <v>21</v>
      </c>
      <c r="C17" s="43">
        <v>0</v>
      </c>
      <c r="D17" s="43">
        <v>0</v>
      </c>
      <c r="E17" s="43">
        <v>0</v>
      </c>
      <c r="F17" s="7">
        <f t="shared" si="5"/>
        <v>0</v>
      </c>
      <c r="G17" s="216" t="s">
        <v>67</v>
      </c>
      <c r="H17" s="48" t="s">
        <v>165</v>
      </c>
      <c r="I17" s="264">
        <f t="shared" si="0"/>
        <v>6756.899771663062</v>
      </c>
      <c r="J17" s="265">
        <f t="shared" si="1"/>
        <v>2234.6905037053839</v>
      </c>
      <c r="K17" s="265">
        <f t="shared" si="2"/>
        <v>8991.5902753684459</v>
      </c>
      <c r="L17" s="265">
        <f t="shared" si="3"/>
        <v>29484.536082474231</v>
      </c>
      <c r="M17" s="266">
        <f t="shared" si="4"/>
        <v>38476.126357842673</v>
      </c>
    </row>
    <row r="18" spans="1:18" outlineLevel="1" x14ac:dyDescent="0.25">
      <c r="A18" s="216" t="s">
        <v>68</v>
      </c>
      <c r="B18" s="50" t="s">
        <v>21</v>
      </c>
      <c r="C18" s="43">
        <v>0</v>
      </c>
      <c r="D18" s="43">
        <v>0</v>
      </c>
      <c r="E18" s="43">
        <v>0</v>
      </c>
      <c r="F18" s="7">
        <f t="shared" si="5"/>
        <v>0</v>
      </c>
      <c r="G18" s="216" t="s">
        <v>68</v>
      </c>
      <c r="H18" s="48" t="s">
        <v>166</v>
      </c>
      <c r="I18" s="264">
        <f t="shared" si="0"/>
        <v>6756.899771663062</v>
      </c>
      <c r="J18" s="265">
        <f t="shared" si="1"/>
        <v>1712.1874248833662</v>
      </c>
      <c r="K18" s="265">
        <f t="shared" si="2"/>
        <v>8469.0871965464285</v>
      </c>
      <c r="L18" s="265">
        <f t="shared" si="3"/>
        <v>29484.536082474231</v>
      </c>
      <c r="M18" s="266">
        <f t="shared" si="4"/>
        <v>37953.623279020656</v>
      </c>
    </row>
    <row r="19" spans="1:18" outlineLevel="1" x14ac:dyDescent="0.25">
      <c r="A19" s="216" t="s">
        <v>69</v>
      </c>
      <c r="B19" s="50" t="s">
        <v>21</v>
      </c>
      <c r="C19" s="43">
        <v>0</v>
      </c>
      <c r="D19" s="43">
        <v>0</v>
      </c>
      <c r="E19" s="43">
        <v>0</v>
      </c>
      <c r="F19" s="7">
        <f t="shared" si="5"/>
        <v>0</v>
      </c>
      <c r="G19" s="216" t="s">
        <v>69</v>
      </c>
      <c r="H19" s="48" t="s">
        <v>167</v>
      </c>
      <c r="I19" s="264">
        <f t="shared" si="0"/>
        <v>6756.899771663062</v>
      </c>
      <c r="J19" s="265">
        <f t="shared" si="1"/>
        <v>1298.3730736436205</v>
      </c>
      <c r="K19" s="265">
        <f t="shared" si="2"/>
        <v>8055.2728453066829</v>
      </c>
      <c r="L19" s="265">
        <f t="shared" si="3"/>
        <v>29484.536082474231</v>
      </c>
      <c r="M19" s="266">
        <f t="shared" si="4"/>
        <v>37539.808927780912</v>
      </c>
    </row>
    <row r="20" spans="1:18" outlineLevel="1" x14ac:dyDescent="0.25">
      <c r="A20" s="216" t="s">
        <v>70</v>
      </c>
      <c r="B20" s="50" t="s">
        <v>21</v>
      </c>
      <c r="C20" s="43">
        <v>0</v>
      </c>
      <c r="D20" s="43">
        <v>0</v>
      </c>
      <c r="E20" s="43">
        <v>0</v>
      </c>
      <c r="F20" s="7">
        <f t="shared" si="5"/>
        <v>0</v>
      </c>
      <c r="G20" s="216" t="s">
        <v>70</v>
      </c>
      <c r="H20" s="48" t="s">
        <v>168</v>
      </c>
      <c r="I20" s="264">
        <f t="shared" si="0"/>
        <v>6756.899771663062</v>
      </c>
      <c r="J20" s="265">
        <f t="shared" si="1"/>
        <v>873.13212642651672</v>
      </c>
      <c r="K20" s="265">
        <f t="shared" si="2"/>
        <v>7630.031898089579</v>
      </c>
      <c r="L20" s="265">
        <f t="shared" si="3"/>
        <v>29484.536082474231</v>
      </c>
      <c r="M20" s="266">
        <f t="shared" si="4"/>
        <v>37114.567980563806</v>
      </c>
    </row>
    <row r="21" spans="1:18" outlineLevel="1" x14ac:dyDescent="0.25">
      <c r="A21" s="216" t="s">
        <v>71</v>
      </c>
      <c r="B21" s="50" t="s">
        <v>21</v>
      </c>
      <c r="C21" s="43">
        <v>0</v>
      </c>
      <c r="D21" s="43">
        <v>0</v>
      </c>
      <c r="E21" s="43">
        <v>0</v>
      </c>
      <c r="F21" s="7">
        <f t="shared" si="5"/>
        <v>0</v>
      </c>
      <c r="G21" s="216" t="s">
        <v>71</v>
      </c>
      <c r="H21" s="48" t="s">
        <v>169</v>
      </c>
      <c r="I21" s="264">
        <f t="shared" si="0"/>
        <v>6756.899771663062</v>
      </c>
      <c r="J21" s="265">
        <f t="shared" si="1"/>
        <v>447.02195651663703</v>
      </c>
      <c r="K21" s="265">
        <f t="shared" si="2"/>
        <v>7203.9217281796991</v>
      </c>
      <c r="L21" s="265">
        <f t="shared" si="3"/>
        <v>29484.536082474231</v>
      </c>
      <c r="M21" s="266">
        <f t="shared" si="4"/>
        <v>36688.457810653927</v>
      </c>
    </row>
    <row r="22" spans="1:18" ht="13.5" thickBot="1" x14ac:dyDescent="0.35">
      <c r="B22" s="46" t="s">
        <v>0</v>
      </c>
      <c r="C22" s="217">
        <f>SUM(C2:C21)</f>
        <v>589690.72164948459</v>
      </c>
      <c r="D22" s="217">
        <f>SUM(D2:D21)</f>
        <v>0</v>
      </c>
      <c r="E22" s="217">
        <f>SUM(E2:E21)</f>
        <v>0</v>
      </c>
      <c r="F22" s="217">
        <f>SUM(F2:F21)</f>
        <v>589690.72164948459</v>
      </c>
      <c r="G22" s="218"/>
      <c r="H22" s="218"/>
      <c r="I22" s="267">
        <f>+SUM(I2:I21)</f>
        <v>135137.9954332613</v>
      </c>
      <c r="J22" s="168">
        <f>+SUM(J2:J21)</f>
        <v>30402.06270019566</v>
      </c>
      <c r="K22" s="168">
        <f>+SUM(K2:K21)</f>
        <v>165540.05813345691</v>
      </c>
      <c r="L22" s="168">
        <f>+SUM(L2:L21)</f>
        <v>589690.72164948471</v>
      </c>
      <c r="M22" s="268">
        <f>+SUM(M2:M21)</f>
        <v>755230.77978294168</v>
      </c>
    </row>
    <row r="23" spans="1:18" ht="14" thickTop="1" thickBot="1" x14ac:dyDescent="0.35">
      <c r="B23" s="46"/>
      <c r="C23" s="271"/>
      <c r="D23" s="271"/>
      <c r="E23" s="271"/>
      <c r="F23" s="271"/>
      <c r="G23" s="272"/>
      <c r="H23" s="272"/>
      <c r="I23" s="182"/>
      <c r="J23" s="182"/>
      <c r="K23" s="182"/>
      <c r="L23" s="182"/>
      <c r="M23" s="182"/>
      <c r="Q23" s="52"/>
    </row>
    <row r="24" spans="1:18" ht="13" outlineLevel="1" x14ac:dyDescent="0.3">
      <c r="A24" s="48" t="s">
        <v>18</v>
      </c>
      <c r="B24" s="50" t="s">
        <v>21</v>
      </c>
      <c r="C24" s="52">
        <v>0</v>
      </c>
      <c r="D24" s="52">
        <v>0</v>
      </c>
      <c r="E24" s="52">
        <v>0</v>
      </c>
      <c r="F24" s="52">
        <f>SUM(C24:E24)</f>
        <v>0</v>
      </c>
      <c r="H24" s="219"/>
      <c r="I24" s="220" t="s">
        <v>13</v>
      </c>
      <c r="J24" s="220" t="s">
        <v>12</v>
      </c>
      <c r="K24" s="221" t="s">
        <v>20</v>
      </c>
      <c r="L24" s="222"/>
      <c r="M24" s="223"/>
      <c r="O24" s="273"/>
      <c r="Q24" s="165"/>
    </row>
    <row r="25" spans="1:18" ht="13" outlineLevel="1" x14ac:dyDescent="0.3">
      <c r="A25" s="48" t="s">
        <v>19</v>
      </c>
      <c r="B25" s="50" t="s">
        <v>21</v>
      </c>
      <c r="C25" s="52">
        <v>0</v>
      </c>
      <c r="D25" s="52">
        <v>0</v>
      </c>
      <c r="E25" s="52">
        <v>0</v>
      </c>
      <c r="F25" s="52">
        <f>SUM(C25:E25)</f>
        <v>0</v>
      </c>
      <c r="H25" s="225" t="s">
        <v>10</v>
      </c>
      <c r="I25" s="226">
        <v>42339</v>
      </c>
      <c r="J25" s="227">
        <f>I25</f>
        <v>42339</v>
      </c>
      <c r="K25" s="228"/>
      <c r="L25" s="229"/>
      <c r="M25" s="230"/>
      <c r="O25" s="273"/>
      <c r="Q25" s="165"/>
    </row>
    <row r="26" spans="1:18" ht="13.5" outlineLevel="1" thickBot="1" x14ac:dyDescent="0.35">
      <c r="B26" s="46" t="s">
        <v>50</v>
      </c>
      <c r="C26" s="217">
        <f>+SUM(C22:C25)</f>
        <v>589690.72164948459</v>
      </c>
      <c r="D26" s="217">
        <f>+SUM(D22:D25)</f>
        <v>0</v>
      </c>
      <c r="E26" s="217">
        <f>+SUM(E22:E25)</f>
        <v>0</v>
      </c>
      <c r="F26" s="217">
        <f>+SUM(F22:F25)</f>
        <v>589690.72164948459</v>
      </c>
      <c r="H26" s="231" t="s">
        <v>16</v>
      </c>
      <c r="I26" s="232">
        <v>44166</v>
      </c>
      <c r="J26" s="233">
        <v>42671</v>
      </c>
      <c r="K26" s="234"/>
      <c r="L26" s="235"/>
      <c r="M26" s="236"/>
      <c r="O26" s="274"/>
      <c r="Q26" s="165"/>
    </row>
    <row r="27" spans="1:18" ht="14" thickTop="1" thickBot="1" x14ac:dyDescent="0.35">
      <c r="B27" s="46"/>
      <c r="C27" s="51"/>
      <c r="D27" s="51"/>
      <c r="E27" s="51"/>
      <c r="F27" s="51"/>
      <c r="I27" s="52"/>
      <c r="J27" s="52"/>
      <c r="K27" s="52"/>
      <c r="L27" s="52"/>
      <c r="M27" s="52"/>
      <c r="N27" s="52"/>
      <c r="O27" s="275"/>
      <c r="P27" s="276"/>
      <c r="Q27" s="52"/>
      <c r="R27" s="52"/>
    </row>
    <row r="28" spans="1:18" ht="13" x14ac:dyDescent="0.3">
      <c r="B28" s="261"/>
      <c r="C28" s="53"/>
      <c r="D28" s="48"/>
      <c r="I28" s="237"/>
      <c r="J28" s="341" t="s">
        <v>2</v>
      </c>
      <c r="K28" s="341"/>
      <c r="L28" s="238" t="s">
        <v>52</v>
      </c>
      <c r="M28" s="239"/>
    </row>
    <row r="29" spans="1:18" ht="37" x14ac:dyDescent="0.3">
      <c r="A29" s="240" t="s">
        <v>51</v>
      </c>
      <c r="B29" s="240" t="s">
        <v>3</v>
      </c>
      <c r="C29" s="240" t="s">
        <v>4</v>
      </c>
      <c r="D29" s="240" t="s">
        <v>5</v>
      </c>
      <c r="E29" s="240" t="s">
        <v>6</v>
      </c>
      <c r="F29" s="240" t="s">
        <v>7</v>
      </c>
      <c r="G29" s="240" t="s">
        <v>78</v>
      </c>
      <c r="H29" s="240" t="s">
        <v>79</v>
      </c>
      <c r="I29" s="213" t="s">
        <v>80</v>
      </c>
      <c r="J29" s="214" t="s">
        <v>81</v>
      </c>
      <c r="K29" s="214" t="s">
        <v>82</v>
      </c>
      <c r="L29" s="214" t="s">
        <v>83</v>
      </c>
      <c r="M29" s="215" t="s">
        <v>73</v>
      </c>
      <c r="N29" s="240" t="s">
        <v>84</v>
      </c>
      <c r="O29" s="240" t="s">
        <v>85</v>
      </c>
    </row>
    <row r="30" spans="1:18" x14ac:dyDescent="0.25">
      <c r="A30" s="216" t="s">
        <v>21</v>
      </c>
      <c r="B30" s="241" t="str">
        <f t="shared" ref="B30:B64" si="6">+IF(MONTH(C30)&lt;4,"Q1",IF(MONTH(C30)&lt;7,"Q2",IF(MONTH(C30)&lt;10,"Q3","Q4")))&amp;"/"&amp;YEAR(C30)</f>
        <v>Q3/2012</v>
      </c>
      <c r="C30" s="242">
        <f>+VLOOKUP(L28,$A$1:$F$21,2,FALSE)</f>
        <v>41102</v>
      </c>
      <c r="D30" s="242">
        <f t="shared" ref="D30:D64" si="7">DATE(YEAR(C30),IF(MONTH(C30)&lt;=3,3,IF(MONTH(C30)&lt;=6,6,IF(MONTH(C30)&lt;=9,9,12))),IF(OR(MONTH(C30)&lt;=3,MONTH(C30)&gt;=10),31,30))</f>
        <v>41182</v>
      </c>
      <c r="E30" s="241">
        <f t="shared" ref="E30:E64" si="8">D30-C30+1</f>
        <v>81</v>
      </c>
      <c r="F30" s="74">
        <f>VLOOKUP(D30,'FERC Interest Rate'!$A:$B,2,TRUE)</f>
        <v>3.2500000000000001E-2</v>
      </c>
      <c r="G30" s="75">
        <f>+VLOOKUP(L28,$A$1:$F$21,3,FALSE)</f>
        <v>589690.72164948459</v>
      </c>
      <c r="H30" s="75">
        <f>G30*F30*(E30/(DATE(YEAR(D30),12,31)-DATE(YEAR(D30),1,1)+1))</f>
        <v>4241.4230184214975</v>
      </c>
      <c r="I30" s="99">
        <v>0</v>
      </c>
      <c r="J30" s="57">
        <v>0</v>
      </c>
      <c r="K30" s="243">
        <f t="shared" ref="K30:K44" si="9">+SUM(I30:J30)</f>
        <v>0</v>
      </c>
      <c r="L30" s="57">
        <v>0</v>
      </c>
      <c r="M30" s="244">
        <v>0</v>
      </c>
      <c r="N30" s="52">
        <f t="shared" ref="N30:N64" si="10">+G30+H30+J30</f>
        <v>593932.1446679061</v>
      </c>
      <c r="O30" s="75">
        <f>+N30-M30</f>
        <v>593932.1446679061</v>
      </c>
    </row>
    <row r="31" spans="1:18" x14ac:dyDescent="0.25">
      <c r="A31" s="216" t="s">
        <v>21</v>
      </c>
      <c r="B31" s="241" t="str">
        <f t="shared" si="6"/>
        <v>Q4/2012</v>
      </c>
      <c r="C31" s="242">
        <f t="shared" ref="C31:C64" si="11">D30+1</f>
        <v>41183</v>
      </c>
      <c r="D31" s="242">
        <f t="shared" si="7"/>
        <v>41274</v>
      </c>
      <c r="E31" s="241">
        <f t="shared" si="8"/>
        <v>92</v>
      </c>
      <c r="F31" s="74">
        <f>VLOOKUP(D31,'FERC Interest Rate'!$A:$B,2,TRUE)</f>
        <v>3.2500000000000001E-2</v>
      </c>
      <c r="G31" s="75">
        <f>O30</f>
        <v>593932.1446679061</v>
      </c>
      <c r="H31" s="75">
        <f t="shared" ref="H31:H53" si="12">G31*F31*(E31/(DATE(YEAR(D31),12,31)-DATE(YEAR(D31),1,1)+1))</f>
        <v>4852.0686135438236</v>
      </c>
      <c r="I31" s="99">
        <v>0</v>
      </c>
      <c r="J31" s="57">
        <v>0</v>
      </c>
      <c r="K31" s="243">
        <f t="shared" si="9"/>
        <v>0</v>
      </c>
      <c r="L31" s="57">
        <v>0</v>
      </c>
      <c r="M31" s="244">
        <v>0</v>
      </c>
      <c r="N31" s="52">
        <f t="shared" si="10"/>
        <v>598784.21328144998</v>
      </c>
      <c r="O31" s="75">
        <f t="shared" ref="O31:O64" si="13">+N31-M31</f>
        <v>598784.21328144998</v>
      </c>
    </row>
    <row r="32" spans="1:18" x14ac:dyDescent="0.25">
      <c r="A32" s="216" t="s">
        <v>21</v>
      </c>
      <c r="B32" s="241" t="str">
        <f t="shared" si="6"/>
        <v>Q1/2013</v>
      </c>
      <c r="C32" s="242">
        <f t="shared" si="11"/>
        <v>41275</v>
      </c>
      <c r="D32" s="242">
        <f t="shared" si="7"/>
        <v>41364</v>
      </c>
      <c r="E32" s="241">
        <f t="shared" si="8"/>
        <v>90</v>
      </c>
      <c r="F32" s="74">
        <f>VLOOKUP(D32,'FERC Interest Rate'!$A:$B,2,TRUE)</f>
        <v>3.2500000000000001E-2</v>
      </c>
      <c r="G32" s="75">
        <f>O31</f>
        <v>598784.21328144998</v>
      </c>
      <c r="H32" s="75">
        <f t="shared" si="12"/>
        <v>4798.4762297212092</v>
      </c>
      <c r="I32" s="99">
        <v>0</v>
      </c>
      <c r="J32" s="57">
        <v>0</v>
      </c>
      <c r="K32" s="243">
        <f t="shared" si="9"/>
        <v>0</v>
      </c>
      <c r="L32" s="57">
        <v>0</v>
      </c>
      <c r="M32" s="244">
        <v>0</v>
      </c>
      <c r="N32" s="52">
        <f t="shared" si="10"/>
        <v>603582.68951117119</v>
      </c>
      <c r="O32" s="75">
        <f t="shared" si="13"/>
        <v>603582.68951117119</v>
      </c>
    </row>
    <row r="33" spans="1:15" x14ac:dyDescent="0.25">
      <c r="A33" s="216" t="s">
        <v>21</v>
      </c>
      <c r="B33" s="241" t="str">
        <f t="shared" si="6"/>
        <v>Q2/2013</v>
      </c>
      <c r="C33" s="242">
        <f t="shared" si="11"/>
        <v>41365</v>
      </c>
      <c r="D33" s="242">
        <f t="shared" si="7"/>
        <v>41455</v>
      </c>
      <c r="E33" s="241">
        <f t="shared" si="8"/>
        <v>91</v>
      </c>
      <c r="F33" s="74">
        <f>VLOOKUP(D33,'FERC Interest Rate'!$A:$B,2,TRUE)</f>
        <v>3.2500000000000001E-2</v>
      </c>
      <c r="G33" s="75">
        <f>O32</f>
        <v>603582.68951117119</v>
      </c>
      <c r="H33" s="75">
        <f t="shared" si="12"/>
        <v>4890.6734362446268</v>
      </c>
      <c r="I33" s="99">
        <v>0</v>
      </c>
      <c r="J33" s="57">
        <v>0</v>
      </c>
      <c r="K33" s="243">
        <f t="shared" si="9"/>
        <v>0</v>
      </c>
      <c r="L33" s="57">
        <v>0</v>
      </c>
      <c r="M33" s="244">
        <v>0</v>
      </c>
      <c r="N33" s="52">
        <f t="shared" si="10"/>
        <v>608473.36294741579</v>
      </c>
      <c r="O33" s="75">
        <f t="shared" si="13"/>
        <v>608473.36294741579</v>
      </c>
    </row>
    <row r="34" spans="1:15" x14ac:dyDescent="0.25">
      <c r="A34" s="216" t="s">
        <v>21</v>
      </c>
      <c r="B34" s="241" t="str">
        <f t="shared" si="6"/>
        <v>Q3/2013</v>
      </c>
      <c r="C34" s="242">
        <f t="shared" si="11"/>
        <v>41456</v>
      </c>
      <c r="D34" s="242">
        <f t="shared" si="7"/>
        <v>41547</v>
      </c>
      <c r="E34" s="241">
        <f t="shared" si="8"/>
        <v>92</v>
      </c>
      <c r="F34" s="74">
        <f>VLOOKUP(D34,'FERC Interest Rate'!$A:$B,2,TRUE)</f>
        <v>3.2500000000000001E-2</v>
      </c>
      <c r="G34" s="75">
        <f>O33</f>
        <v>608473.36294741579</v>
      </c>
      <c r="H34" s="75">
        <f t="shared" si="12"/>
        <v>4984.4804252404747</v>
      </c>
      <c r="I34" s="99">
        <v>0</v>
      </c>
      <c r="J34" s="57">
        <v>0</v>
      </c>
      <c r="K34" s="243">
        <f t="shared" si="9"/>
        <v>0</v>
      </c>
      <c r="L34" s="57">
        <v>0</v>
      </c>
      <c r="M34" s="244">
        <v>0</v>
      </c>
      <c r="N34" s="52">
        <f t="shared" si="10"/>
        <v>613457.84337265627</v>
      </c>
      <c r="O34" s="75">
        <f t="shared" si="13"/>
        <v>613457.84337265627</v>
      </c>
    </row>
    <row r="35" spans="1:15" x14ac:dyDescent="0.25">
      <c r="A35" s="216" t="s">
        <v>21</v>
      </c>
      <c r="B35" s="241" t="str">
        <f t="shared" si="6"/>
        <v>Q4/2013</v>
      </c>
      <c r="C35" s="242">
        <f t="shared" si="11"/>
        <v>41548</v>
      </c>
      <c r="D35" s="242">
        <f t="shared" si="7"/>
        <v>41639</v>
      </c>
      <c r="E35" s="241">
        <f t="shared" si="8"/>
        <v>92</v>
      </c>
      <c r="F35" s="74">
        <f>VLOOKUP(D35,'FERC Interest Rate'!$A:$B,2,TRUE)</f>
        <v>3.2500000000000001E-2</v>
      </c>
      <c r="G35" s="75">
        <f t="shared" ref="G35:G64" si="14">O34</f>
        <v>613457.84337265627</v>
      </c>
      <c r="H35" s="75">
        <f t="shared" si="12"/>
        <v>5025.3121963951844</v>
      </c>
      <c r="I35" s="99">
        <v>0</v>
      </c>
      <c r="J35" s="57">
        <v>0</v>
      </c>
      <c r="K35" s="243">
        <f t="shared" si="9"/>
        <v>0</v>
      </c>
      <c r="L35" s="57">
        <v>0</v>
      </c>
      <c r="M35" s="244">
        <v>0</v>
      </c>
      <c r="N35" s="52">
        <f t="shared" si="10"/>
        <v>618483.15556905139</v>
      </c>
      <c r="O35" s="75">
        <f t="shared" si="13"/>
        <v>618483.15556905139</v>
      </c>
    </row>
    <row r="36" spans="1:15" x14ac:dyDescent="0.25">
      <c r="A36" s="216" t="s">
        <v>21</v>
      </c>
      <c r="B36" s="241" t="str">
        <f t="shared" si="6"/>
        <v>Q1/2014</v>
      </c>
      <c r="C36" s="242">
        <f t="shared" si="11"/>
        <v>41640</v>
      </c>
      <c r="D36" s="242">
        <f t="shared" si="7"/>
        <v>41729</v>
      </c>
      <c r="E36" s="241">
        <f t="shared" si="8"/>
        <v>90</v>
      </c>
      <c r="F36" s="74">
        <f>VLOOKUP(D36,'FERC Interest Rate'!$A:$B,2,TRUE)</f>
        <v>3.2500000000000001E-2</v>
      </c>
      <c r="G36" s="75">
        <f t="shared" si="14"/>
        <v>618483.15556905139</v>
      </c>
      <c r="H36" s="75">
        <f t="shared" si="12"/>
        <v>4956.3376165465079</v>
      </c>
      <c r="I36" s="99">
        <v>0</v>
      </c>
      <c r="J36" s="57">
        <v>0</v>
      </c>
      <c r="K36" s="243">
        <f t="shared" si="9"/>
        <v>0</v>
      </c>
      <c r="L36" s="57">
        <v>0</v>
      </c>
      <c r="M36" s="244">
        <f t="shared" ref="M36:M44" si="15">+SUM(K36:L36)</f>
        <v>0</v>
      </c>
      <c r="N36" s="52">
        <f t="shared" si="10"/>
        <v>623439.49318559794</v>
      </c>
      <c r="O36" s="75">
        <f t="shared" si="13"/>
        <v>623439.49318559794</v>
      </c>
    </row>
    <row r="37" spans="1:15" x14ac:dyDescent="0.25">
      <c r="A37" s="216" t="s">
        <v>21</v>
      </c>
      <c r="B37" s="241" t="str">
        <f t="shared" si="6"/>
        <v>Q2/2014</v>
      </c>
      <c r="C37" s="242">
        <f t="shared" si="11"/>
        <v>41730</v>
      </c>
      <c r="D37" s="242">
        <f t="shared" si="7"/>
        <v>41820</v>
      </c>
      <c r="E37" s="241">
        <f t="shared" si="8"/>
        <v>91</v>
      </c>
      <c r="F37" s="74">
        <f>VLOOKUP(D37,'FERC Interest Rate'!$A:$B,2,TRUE)</f>
        <v>3.2500000000000001E-2</v>
      </c>
      <c r="G37" s="75">
        <f t="shared" si="14"/>
        <v>623439.49318559794</v>
      </c>
      <c r="H37" s="75">
        <f t="shared" si="12"/>
        <v>5051.5679482093319</v>
      </c>
      <c r="I37" s="99">
        <v>0</v>
      </c>
      <c r="J37" s="57">
        <v>0</v>
      </c>
      <c r="K37" s="243">
        <f t="shared" si="9"/>
        <v>0</v>
      </c>
      <c r="L37" s="57">
        <v>0</v>
      </c>
      <c r="M37" s="244">
        <f t="shared" si="15"/>
        <v>0</v>
      </c>
      <c r="N37" s="52">
        <f t="shared" si="10"/>
        <v>628491.06113380729</v>
      </c>
      <c r="O37" s="75">
        <f t="shared" si="13"/>
        <v>628491.06113380729</v>
      </c>
    </row>
    <row r="38" spans="1:15" x14ac:dyDescent="0.25">
      <c r="A38" s="216" t="s">
        <v>21</v>
      </c>
      <c r="B38" s="241" t="str">
        <f t="shared" si="6"/>
        <v>Q3/2014</v>
      </c>
      <c r="C38" s="242">
        <f t="shared" si="11"/>
        <v>41821</v>
      </c>
      <c r="D38" s="242">
        <f t="shared" si="7"/>
        <v>41912</v>
      </c>
      <c r="E38" s="241">
        <f t="shared" si="8"/>
        <v>92</v>
      </c>
      <c r="F38" s="74">
        <f>VLOOKUP(D38,'FERC Interest Rate'!$A:$B,2,TRUE)</f>
        <v>3.2500000000000001E-2</v>
      </c>
      <c r="G38" s="75">
        <f t="shared" si="14"/>
        <v>628491.06113380729</v>
      </c>
      <c r="H38" s="75">
        <f t="shared" si="12"/>
        <v>5148.4610213426959</v>
      </c>
      <c r="I38" s="99">
        <v>0</v>
      </c>
      <c r="J38" s="57">
        <v>0</v>
      </c>
      <c r="K38" s="243">
        <f t="shared" si="9"/>
        <v>0</v>
      </c>
      <c r="L38" s="57">
        <v>0</v>
      </c>
      <c r="M38" s="244">
        <f t="shared" si="15"/>
        <v>0</v>
      </c>
      <c r="N38" s="52">
        <f t="shared" si="10"/>
        <v>633639.52215514996</v>
      </c>
      <c r="O38" s="75">
        <f t="shared" si="13"/>
        <v>633639.52215514996</v>
      </c>
    </row>
    <row r="39" spans="1:15" x14ac:dyDescent="0.25">
      <c r="A39" s="216" t="s">
        <v>21</v>
      </c>
      <c r="B39" s="241" t="str">
        <f t="shared" si="6"/>
        <v>Q4/2014</v>
      </c>
      <c r="C39" s="242">
        <f t="shared" si="11"/>
        <v>41913</v>
      </c>
      <c r="D39" s="242">
        <f t="shared" si="7"/>
        <v>42004</v>
      </c>
      <c r="E39" s="241">
        <f t="shared" si="8"/>
        <v>92</v>
      </c>
      <c r="F39" s="74">
        <f>VLOOKUP(D39,'FERC Interest Rate'!$A:$B,2,TRUE)</f>
        <v>3.2500000000000001E-2</v>
      </c>
      <c r="G39" s="75">
        <f t="shared" si="14"/>
        <v>633639.52215514996</v>
      </c>
      <c r="H39" s="75">
        <f t="shared" si="12"/>
        <v>5190.6360855997218</v>
      </c>
      <c r="I39" s="99">
        <v>0</v>
      </c>
      <c r="J39" s="57">
        <v>0</v>
      </c>
      <c r="K39" s="243">
        <f t="shared" si="9"/>
        <v>0</v>
      </c>
      <c r="L39" s="57">
        <v>0</v>
      </c>
      <c r="M39" s="244">
        <f t="shared" si="15"/>
        <v>0</v>
      </c>
      <c r="N39" s="52">
        <f t="shared" si="10"/>
        <v>638830.15824074973</v>
      </c>
      <c r="O39" s="75">
        <f t="shared" si="13"/>
        <v>638830.15824074973</v>
      </c>
    </row>
    <row r="40" spans="1:15" x14ac:dyDescent="0.25">
      <c r="A40" s="216" t="s">
        <v>21</v>
      </c>
      <c r="B40" s="241" t="str">
        <f t="shared" si="6"/>
        <v>Q1/2015</v>
      </c>
      <c r="C40" s="242">
        <f t="shared" si="11"/>
        <v>42005</v>
      </c>
      <c r="D40" s="242">
        <f t="shared" si="7"/>
        <v>42094</v>
      </c>
      <c r="E40" s="241">
        <f t="shared" si="8"/>
        <v>90</v>
      </c>
      <c r="F40" s="74">
        <f>VLOOKUP(D40,'FERC Interest Rate'!$A:$B,2,TRUE)</f>
        <v>3.2500000000000001E-2</v>
      </c>
      <c r="G40" s="75">
        <f t="shared" si="14"/>
        <v>638830.15824074973</v>
      </c>
      <c r="H40" s="75">
        <f t="shared" si="12"/>
        <v>5119.3923639840905</v>
      </c>
      <c r="I40" s="99">
        <v>0</v>
      </c>
      <c r="J40" s="57">
        <v>0</v>
      </c>
      <c r="K40" s="243">
        <f t="shared" si="9"/>
        <v>0</v>
      </c>
      <c r="L40" s="57">
        <v>0</v>
      </c>
      <c r="M40" s="244">
        <f t="shared" si="15"/>
        <v>0</v>
      </c>
      <c r="N40" s="52">
        <f t="shared" si="10"/>
        <v>643949.55060473387</v>
      </c>
      <c r="O40" s="75">
        <f t="shared" si="13"/>
        <v>643949.55060473387</v>
      </c>
    </row>
    <row r="41" spans="1:15" x14ac:dyDescent="0.25">
      <c r="A41" s="216" t="s">
        <v>21</v>
      </c>
      <c r="B41" s="241" t="str">
        <f t="shared" si="6"/>
        <v>Q2/2015</v>
      </c>
      <c r="C41" s="242">
        <f t="shared" si="11"/>
        <v>42095</v>
      </c>
      <c r="D41" s="242">
        <f t="shared" si="7"/>
        <v>42185</v>
      </c>
      <c r="E41" s="241">
        <f t="shared" si="8"/>
        <v>91</v>
      </c>
      <c r="F41" s="74">
        <f>VLOOKUP(D41,'FERC Interest Rate'!$A:$B,2,TRUE)</f>
        <v>3.2500000000000001E-2</v>
      </c>
      <c r="G41" s="75">
        <f t="shared" si="14"/>
        <v>643949.55060473387</v>
      </c>
      <c r="H41" s="75">
        <f t="shared" si="12"/>
        <v>5217.7556052424679</v>
      </c>
      <c r="I41" s="99">
        <v>0</v>
      </c>
      <c r="J41" s="57">
        <v>0</v>
      </c>
      <c r="K41" s="243">
        <f t="shared" si="9"/>
        <v>0</v>
      </c>
      <c r="L41" s="57">
        <v>0</v>
      </c>
      <c r="M41" s="244">
        <f t="shared" si="15"/>
        <v>0</v>
      </c>
      <c r="N41" s="52">
        <f t="shared" si="10"/>
        <v>649167.30620997632</v>
      </c>
      <c r="O41" s="75">
        <f t="shared" si="13"/>
        <v>649167.30620997632</v>
      </c>
    </row>
    <row r="42" spans="1:15" x14ac:dyDescent="0.25">
      <c r="A42" s="216" t="s">
        <v>21</v>
      </c>
      <c r="B42" s="241" t="str">
        <f t="shared" si="6"/>
        <v>Q3/2015</v>
      </c>
      <c r="C42" s="242">
        <f t="shared" si="11"/>
        <v>42186</v>
      </c>
      <c r="D42" s="242">
        <f t="shared" si="7"/>
        <v>42277</v>
      </c>
      <c r="E42" s="241">
        <f t="shared" si="8"/>
        <v>92</v>
      </c>
      <c r="F42" s="74">
        <f>VLOOKUP(D42,'FERC Interest Rate'!$A:$B,2,TRUE)</f>
        <v>3.2500000000000001E-2</v>
      </c>
      <c r="G42" s="75">
        <f t="shared" si="14"/>
        <v>649167.30620997632</v>
      </c>
      <c r="H42" s="75">
        <f t="shared" si="12"/>
        <v>5317.8362892269297</v>
      </c>
      <c r="I42" s="99">
        <v>0</v>
      </c>
      <c r="J42" s="57">
        <v>0</v>
      </c>
      <c r="K42" s="243">
        <f t="shared" si="9"/>
        <v>0</v>
      </c>
      <c r="L42" s="57">
        <v>0</v>
      </c>
      <c r="M42" s="244">
        <f t="shared" si="15"/>
        <v>0</v>
      </c>
      <c r="N42" s="52">
        <f t="shared" si="10"/>
        <v>654485.14249920321</v>
      </c>
      <c r="O42" s="75">
        <f t="shared" si="13"/>
        <v>654485.14249920321</v>
      </c>
    </row>
    <row r="43" spans="1:15" x14ac:dyDescent="0.25">
      <c r="A43" s="216" t="s">
        <v>21</v>
      </c>
      <c r="B43" s="241" t="str">
        <f t="shared" si="6"/>
        <v>Q4/2015</v>
      </c>
      <c r="C43" s="242">
        <f t="shared" si="11"/>
        <v>42278</v>
      </c>
      <c r="D43" s="242">
        <f t="shared" si="7"/>
        <v>42369</v>
      </c>
      <c r="E43" s="241">
        <f t="shared" si="8"/>
        <v>92</v>
      </c>
      <c r="F43" s="74">
        <f>VLOOKUP(D43,'FERC Interest Rate'!$A:$B,2,TRUE)</f>
        <v>3.2500000000000001E-2</v>
      </c>
      <c r="G43" s="75">
        <f t="shared" si="14"/>
        <v>654485.14249920321</v>
      </c>
      <c r="H43" s="75">
        <f t="shared" si="12"/>
        <v>5361.3988385551165</v>
      </c>
      <c r="I43" s="99">
        <v>0</v>
      </c>
      <c r="J43" s="57">
        <v>0</v>
      </c>
      <c r="K43" s="243">
        <f t="shared" si="9"/>
        <v>0</v>
      </c>
      <c r="L43" s="57">
        <v>0</v>
      </c>
      <c r="M43" s="244">
        <f t="shared" si="15"/>
        <v>0</v>
      </c>
      <c r="N43" s="52">
        <f t="shared" si="10"/>
        <v>659846.5413377583</v>
      </c>
      <c r="O43" s="75">
        <f t="shared" si="13"/>
        <v>659846.5413377583</v>
      </c>
    </row>
    <row r="44" spans="1:15" x14ac:dyDescent="0.25">
      <c r="A44" s="216" t="s">
        <v>21</v>
      </c>
      <c r="B44" s="241" t="str">
        <f t="shared" si="6"/>
        <v>Q1/2016</v>
      </c>
      <c r="C44" s="242">
        <f t="shared" si="11"/>
        <v>42370</v>
      </c>
      <c r="D44" s="242">
        <f t="shared" si="7"/>
        <v>42460</v>
      </c>
      <c r="E44" s="241">
        <f t="shared" si="8"/>
        <v>91</v>
      </c>
      <c r="F44" s="74">
        <f>VLOOKUP(D44,'FERC Interest Rate'!$A:$B,2,TRUE)</f>
        <v>3.2500000000000001E-2</v>
      </c>
      <c r="G44" s="75">
        <f t="shared" si="14"/>
        <v>659846.5413377583</v>
      </c>
      <c r="H44" s="75">
        <f t="shared" si="12"/>
        <v>5331.9566830776512</v>
      </c>
      <c r="I44" s="99">
        <v>0</v>
      </c>
      <c r="J44" s="57">
        <v>0</v>
      </c>
      <c r="K44" s="243">
        <f t="shared" si="9"/>
        <v>0</v>
      </c>
      <c r="L44" s="57">
        <v>0</v>
      </c>
      <c r="M44" s="244">
        <f t="shared" si="15"/>
        <v>0</v>
      </c>
      <c r="N44" s="52">
        <f t="shared" si="10"/>
        <v>665178.49802083592</v>
      </c>
      <c r="O44" s="75">
        <f t="shared" si="13"/>
        <v>665178.49802083592</v>
      </c>
    </row>
    <row r="45" spans="1:15" x14ac:dyDescent="0.25">
      <c r="A45" s="48" t="s">
        <v>52</v>
      </c>
      <c r="B45" s="241" t="str">
        <f t="shared" si="6"/>
        <v>Q2/2016</v>
      </c>
      <c r="C45" s="242">
        <f t="shared" si="11"/>
        <v>42461</v>
      </c>
      <c r="D45" s="242">
        <f t="shared" si="7"/>
        <v>42551</v>
      </c>
      <c r="E45" s="241">
        <f t="shared" si="8"/>
        <v>91</v>
      </c>
      <c r="F45" s="74">
        <f>VLOOKUP(D45,'FERC Interest Rate'!$A:$B,2,TRUE)</f>
        <v>3.4599999999999999E-2</v>
      </c>
      <c r="G45" s="75">
        <f t="shared" si="14"/>
        <v>665178.49802083592</v>
      </c>
      <c r="H45" s="75">
        <f t="shared" si="12"/>
        <v>5722.3525105694098</v>
      </c>
      <c r="I45" s="99">
        <v>0</v>
      </c>
      <c r="J45" s="57">
        <v>0</v>
      </c>
      <c r="K45" s="243">
        <f t="shared" ref="K45:K64" si="16">+SUM(I45:J45)</f>
        <v>0</v>
      </c>
      <c r="L45" s="57">
        <v>0</v>
      </c>
      <c r="M45" s="244">
        <f t="shared" ref="M45:M52" si="17">+SUM(K45:L45)</f>
        <v>0</v>
      </c>
      <c r="N45" s="52">
        <f t="shared" si="10"/>
        <v>670900.8505314053</v>
      </c>
      <c r="O45" s="75">
        <f t="shared" si="13"/>
        <v>670900.8505314053</v>
      </c>
    </row>
    <row r="46" spans="1:15" x14ac:dyDescent="0.25">
      <c r="A46" s="48" t="s">
        <v>53</v>
      </c>
      <c r="B46" s="241" t="str">
        <f t="shared" si="6"/>
        <v>Q3/2016</v>
      </c>
      <c r="C46" s="242">
        <f t="shared" si="11"/>
        <v>42552</v>
      </c>
      <c r="D46" s="242">
        <f t="shared" si="7"/>
        <v>42643</v>
      </c>
      <c r="E46" s="241">
        <f t="shared" si="8"/>
        <v>92</v>
      </c>
      <c r="F46" s="74">
        <f>VLOOKUP(D46,'FERC Interest Rate'!$A:$B,2,TRUE)</f>
        <v>3.5000000000000003E-2</v>
      </c>
      <c r="G46" s="75">
        <f t="shared" si="14"/>
        <v>670900.8505314053</v>
      </c>
      <c r="H46" s="75">
        <f t="shared" si="12"/>
        <v>5902.4610347298503</v>
      </c>
      <c r="I46" s="99">
        <v>0</v>
      </c>
      <c r="J46" s="57">
        <v>0</v>
      </c>
      <c r="K46" s="243">
        <f t="shared" si="16"/>
        <v>0</v>
      </c>
      <c r="L46" s="57">
        <v>0</v>
      </c>
      <c r="M46" s="244">
        <f t="shared" si="17"/>
        <v>0</v>
      </c>
      <c r="N46" s="52">
        <f t="shared" si="10"/>
        <v>676803.31156613515</v>
      </c>
      <c r="O46" s="75">
        <f t="shared" si="13"/>
        <v>676803.31156613515</v>
      </c>
    </row>
    <row r="47" spans="1:15" x14ac:dyDescent="0.25">
      <c r="A47" s="48" t="s">
        <v>54</v>
      </c>
      <c r="B47" s="241" t="str">
        <f t="shared" si="6"/>
        <v>Q4/2016</v>
      </c>
      <c r="C47" s="242">
        <f t="shared" si="11"/>
        <v>42644</v>
      </c>
      <c r="D47" s="242">
        <f t="shared" si="7"/>
        <v>42735</v>
      </c>
      <c r="E47" s="241">
        <f t="shared" si="8"/>
        <v>92</v>
      </c>
      <c r="F47" s="74">
        <f>VLOOKUP(D47,'FERC Interest Rate'!$A:$B,2,TRUE)</f>
        <v>3.5000000000000003E-2</v>
      </c>
      <c r="G47" s="75">
        <f t="shared" si="14"/>
        <v>676803.31156613515</v>
      </c>
      <c r="H47" s="75">
        <f t="shared" si="12"/>
        <v>5954.3897902812987</v>
      </c>
      <c r="I47" s="99">
        <v>0</v>
      </c>
      <c r="J47" s="57">
        <v>0</v>
      </c>
      <c r="K47" s="243">
        <f t="shared" si="16"/>
        <v>0</v>
      </c>
      <c r="L47" s="57">
        <v>0</v>
      </c>
      <c r="M47" s="244">
        <f t="shared" si="17"/>
        <v>0</v>
      </c>
      <c r="N47" s="52">
        <f t="shared" si="10"/>
        <v>682757.70135641645</v>
      </c>
      <c r="O47" s="75">
        <f t="shared" si="13"/>
        <v>682757.70135641645</v>
      </c>
    </row>
    <row r="48" spans="1:15" x14ac:dyDescent="0.25">
      <c r="A48" s="48" t="s">
        <v>55</v>
      </c>
      <c r="B48" s="241" t="str">
        <f t="shared" si="6"/>
        <v>Q1/2017</v>
      </c>
      <c r="C48" s="242">
        <f t="shared" si="11"/>
        <v>42736</v>
      </c>
      <c r="D48" s="242">
        <f t="shared" si="7"/>
        <v>42825</v>
      </c>
      <c r="E48" s="241">
        <f t="shared" si="8"/>
        <v>90</v>
      </c>
      <c r="F48" s="74">
        <f>VLOOKUP(D48,'FERC Interest Rate'!$A:$B,2,TRUE)</f>
        <v>3.5000000000000003E-2</v>
      </c>
      <c r="G48" s="75">
        <f t="shared" si="14"/>
        <v>682757.70135641645</v>
      </c>
      <c r="H48" s="75">
        <f t="shared" si="12"/>
        <v>5892.2924911581149</v>
      </c>
      <c r="I48" s="99">
        <v>0</v>
      </c>
      <c r="J48" s="57">
        <v>0</v>
      </c>
      <c r="K48" s="243">
        <f t="shared" si="16"/>
        <v>0</v>
      </c>
      <c r="L48" s="57">
        <v>0</v>
      </c>
      <c r="M48" s="244">
        <f t="shared" si="17"/>
        <v>0</v>
      </c>
      <c r="N48" s="52">
        <f t="shared" si="10"/>
        <v>688649.99384757457</v>
      </c>
      <c r="O48" s="75">
        <f t="shared" si="13"/>
        <v>688649.99384757457</v>
      </c>
    </row>
    <row r="49" spans="1:15" x14ac:dyDescent="0.25">
      <c r="A49" s="48" t="s">
        <v>56</v>
      </c>
      <c r="B49" s="241" t="str">
        <f t="shared" si="6"/>
        <v>Q2/2017</v>
      </c>
      <c r="C49" s="242">
        <f t="shared" si="11"/>
        <v>42826</v>
      </c>
      <c r="D49" s="242">
        <f t="shared" si="7"/>
        <v>42916</v>
      </c>
      <c r="E49" s="241">
        <f t="shared" si="8"/>
        <v>91</v>
      </c>
      <c r="F49" s="74">
        <f>VLOOKUP(D49,'FERC Interest Rate'!$A:$B,2,TRUE)</f>
        <v>3.7100000000000001E-2</v>
      </c>
      <c r="G49" s="75">
        <f t="shared" si="14"/>
        <v>688649.99384757457</v>
      </c>
      <c r="H49" s="75">
        <f t="shared" si="12"/>
        <v>6369.7294362432785</v>
      </c>
      <c r="I49" s="99">
        <v>0</v>
      </c>
      <c r="J49" s="57">
        <v>0</v>
      </c>
      <c r="K49" s="243">
        <f t="shared" si="16"/>
        <v>0</v>
      </c>
      <c r="L49" s="57">
        <v>0</v>
      </c>
      <c r="M49" s="244">
        <f t="shared" si="17"/>
        <v>0</v>
      </c>
      <c r="N49" s="52">
        <f t="shared" si="10"/>
        <v>695019.72328381788</v>
      </c>
      <c r="O49" s="75">
        <f t="shared" si="13"/>
        <v>695019.72328381788</v>
      </c>
    </row>
    <row r="50" spans="1:15" x14ac:dyDescent="0.25">
      <c r="A50" s="48" t="s">
        <v>57</v>
      </c>
      <c r="B50" s="241" t="str">
        <f t="shared" si="6"/>
        <v>Q3/2017</v>
      </c>
      <c r="C50" s="242">
        <f t="shared" si="11"/>
        <v>42917</v>
      </c>
      <c r="D50" s="242">
        <f t="shared" si="7"/>
        <v>43008</v>
      </c>
      <c r="E50" s="241">
        <f t="shared" si="8"/>
        <v>92</v>
      </c>
      <c r="F50" s="74">
        <f>VLOOKUP(D50,'FERC Interest Rate'!$A:$B,2,TRUE)</f>
        <v>3.9600000000000003E-2</v>
      </c>
      <c r="G50" s="75">
        <f t="shared" si="14"/>
        <v>695019.72328381788</v>
      </c>
      <c r="H50" s="75">
        <f t="shared" si="12"/>
        <v>6937.2489201852213</v>
      </c>
      <c r="I50" s="99">
        <v>0</v>
      </c>
      <c r="J50" s="57">
        <v>0</v>
      </c>
      <c r="K50" s="243">
        <f t="shared" si="16"/>
        <v>0</v>
      </c>
      <c r="L50" s="57">
        <v>0</v>
      </c>
      <c r="M50" s="244">
        <f t="shared" si="17"/>
        <v>0</v>
      </c>
      <c r="N50" s="52">
        <f t="shared" si="10"/>
        <v>701956.97220400313</v>
      </c>
      <c r="O50" s="75">
        <f t="shared" si="13"/>
        <v>701956.97220400313</v>
      </c>
    </row>
    <row r="51" spans="1:15" x14ac:dyDescent="0.25">
      <c r="A51" s="48" t="s">
        <v>58</v>
      </c>
      <c r="B51" s="241" t="str">
        <f t="shared" si="6"/>
        <v>Q4/2017</v>
      </c>
      <c r="C51" s="242">
        <f t="shared" si="11"/>
        <v>43009</v>
      </c>
      <c r="D51" s="242">
        <f t="shared" si="7"/>
        <v>43100</v>
      </c>
      <c r="E51" s="241">
        <f t="shared" si="8"/>
        <v>92</v>
      </c>
      <c r="F51" s="74">
        <f>VLOOKUP(D51,'FERC Interest Rate'!$A:$B,2,TRUE)</f>
        <v>4.2099999999999999E-2</v>
      </c>
      <c r="G51" s="75">
        <f t="shared" si="14"/>
        <v>701956.97220400313</v>
      </c>
      <c r="H51" s="75">
        <f t="shared" si="12"/>
        <v>7448.8212184672466</v>
      </c>
      <c r="I51" s="99">
        <v>0</v>
      </c>
      <c r="J51" s="57">
        <v>0</v>
      </c>
      <c r="K51" s="243">
        <f t="shared" si="16"/>
        <v>0</v>
      </c>
      <c r="L51" s="57">
        <v>0</v>
      </c>
      <c r="M51" s="244">
        <f t="shared" si="17"/>
        <v>0</v>
      </c>
      <c r="N51" s="52">
        <f t="shared" si="10"/>
        <v>709405.79342247033</v>
      </c>
      <c r="O51" s="75">
        <f t="shared" si="13"/>
        <v>709405.79342247033</v>
      </c>
    </row>
    <row r="52" spans="1:15" x14ac:dyDescent="0.25">
      <c r="A52" s="48" t="s">
        <v>59</v>
      </c>
      <c r="B52" s="241" t="str">
        <f t="shared" si="6"/>
        <v>Q1/2018</v>
      </c>
      <c r="C52" s="242">
        <f t="shared" si="11"/>
        <v>43101</v>
      </c>
      <c r="D52" s="242">
        <f t="shared" si="7"/>
        <v>43190</v>
      </c>
      <c r="E52" s="241">
        <f t="shared" si="8"/>
        <v>90</v>
      </c>
      <c r="F52" s="74">
        <f>VLOOKUP(D52,'FERC Interest Rate'!$A:$B,2,TRUE)</f>
        <v>4.2500000000000003E-2</v>
      </c>
      <c r="G52" s="75">
        <f t="shared" si="14"/>
        <v>709405.79342247033</v>
      </c>
      <c r="H52" s="75">
        <f t="shared" si="12"/>
        <v>7434.183999564244</v>
      </c>
      <c r="I52" s="99">
        <v>0</v>
      </c>
      <c r="J52" s="57">
        <v>0</v>
      </c>
      <c r="K52" s="243">
        <f t="shared" si="16"/>
        <v>0</v>
      </c>
      <c r="L52" s="57">
        <v>0</v>
      </c>
      <c r="M52" s="244">
        <f t="shared" si="17"/>
        <v>0</v>
      </c>
      <c r="N52" s="52">
        <f t="shared" si="10"/>
        <v>716839.9774220346</v>
      </c>
      <c r="O52" s="75">
        <f t="shared" si="13"/>
        <v>716839.9774220346</v>
      </c>
    </row>
    <row r="53" spans="1:15" x14ac:dyDescent="0.25">
      <c r="A53" s="48" t="s">
        <v>60</v>
      </c>
      <c r="B53" s="241" t="str">
        <f t="shared" si="6"/>
        <v>Q2/2018</v>
      </c>
      <c r="C53" s="242">
        <f t="shared" si="11"/>
        <v>43191</v>
      </c>
      <c r="D53" s="242">
        <f t="shared" si="7"/>
        <v>43281</v>
      </c>
      <c r="E53" s="241">
        <f t="shared" si="8"/>
        <v>91</v>
      </c>
      <c r="F53" s="74">
        <f>VLOOKUP(D53,'FERC Interest Rate'!$A:$B,2,TRUE)</f>
        <v>4.4699999999999997E-2</v>
      </c>
      <c r="G53" s="75">
        <f t="shared" si="14"/>
        <v>716839.9774220346</v>
      </c>
      <c r="H53" s="75">
        <f t="shared" si="12"/>
        <v>7988.7396607112596</v>
      </c>
      <c r="I53" s="99">
        <f>(SUM($H$30:$H$65)/20)*9</f>
        <v>60812.097944967558</v>
      </c>
      <c r="J53" s="57">
        <v>0</v>
      </c>
      <c r="K53" s="243">
        <f t="shared" si="16"/>
        <v>60812.097944967558</v>
      </c>
      <c r="L53" s="57">
        <f>+VLOOKUP($L$28,$A$1:$F$21,3,FALSE)/20*9</f>
        <v>265360.82474226807</v>
      </c>
      <c r="M53" s="244">
        <f t="shared" ref="M53:M64" si="18">+SUM(K53:L53)</f>
        <v>326172.92268723564</v>
      </c>
      <c r="N53" s="52">
        <f t="shared" si="10"/>
        <v>724828.71708274586</v>
      </c>
      <c r="O53" s="75">
        <f t="shared" si="13"/>
        <v>398655.79439551022</v>
      </c>
    </row>
    <row r="54" spans="1:15" x14ac:dyDescent="0.25">
      <c r="A54" s="48" t="s">
        <v>61</v>
      </c>
      <c r="B54" s="241" t="str">
        <f t="shared" si="6"/>
        <v>Q3/2018</v>
      </c>
      <c r="C54" s="242">
        <f t="shared" si="11"/>
        <v>43282</v>
      </c>
      <c r="D54" s="242">
        <f t="shared" si="7"/>
        <v>43373</v>
      </c>
      <c r="E54" s="241">
        <f t="shared" si="8"/>
        <v>92</v>
      </c>
      <c r="F54" s="74">
        <f>VLOOKUP(D54,'FERC Interest Rate'!$A:$B,2,TRUE)</f>
        <v>4.6899999999999997E-2</v>
      </c>
      <c r="G54" s="75">
        <f t="shared" si="14"/>
        <v>398655.79439551022</v>
      </c>
      <c r="H54" s="75">
        <v>0</v>
      </c>
      <c r="I54" s="99">
        <f t="shared" ref="I54:I64" si="19">(SUM($H$30:$H$65)/20)</f>
        <v>6756.899771663062</v>
      </c>
      <c r="J54" s="57">
        <f t="shared" ref="J54:J64" si="20">G54*F54*(E54/(DATE(YEAR(D54),12,31)-DATE(YEAR(D54),1,1)+1))</f>
        <v>4712.6575935828705</v>
      </c>
      <c r="K54" s="243">
        <f t="shared" si="16"/>
        <v>11469.557365245932</v>
      </c>
      <c r="L54" s="57">
        <f t="shared" ref="L54:L64" si="21">+VLOOKUP($L$28,$A$1:$F$21,3,FALSE)/20</f>
        <v>29484.536082474231</v>
      </c>
      <c r="M54" s="244">
        <f t="shared" si="18"/>
        <v>40954.093447720166</v>
      </c>
      <c r="N54" s="52">
        <f t="shared" si="10"/>
        <v>403368.4519890931</v>
      </c>
      <c r="O54" s="75">
        <f t="shared" si="13"/>
        <v>362414.35854137293</v>
      </c>
    </row>
    <row r="55" spans="1:15" x14ac:dyDescent="0.25">
      <c r="A55" s="48" t="s">
        <v>62</v>
      </c>
      <c r="B55" s="241" t="str">
        <f t="shared" si="6"/>
        <v>Q4/2018</v>
      </c>
      <c r="C55" s="242">
        <f t="shared" si="11"/>
        <v>43374</v>
      </c>
      <c r="D55" s="242">
        <f t="shared" si="7"/>
        <v>43465</v>
      </c>
      <c r="E55" s="241">
        <f t="shared" si="8"/>
        <v>92</v>
      </c>
      <c r="F55" s="74">
        <f>VLOOKUP(D55,'FERC Interest Rate'!$A:$B,2,TRUE)</f>
        <v>4.9599999999999998E-2</v>
      </c>
      <c r="G55" s="75">
        <f t="shared" si="14"/>
        <v>362414.35854137293</v>
      </c>
      <c r="H55" s="75">
        <v>0</v>
      </c>
      <c r="I55" s="99">
        <f t="shared" si="19"/>
        <v>6756.899771663062</v>
      </c>
      <c r="J55" s="57">
        <f t="shared" si="20"/>
        <v>4530.8745230027207</v>
      </c>
      <c r="K55" s="243">
        <f t="shared" si="16"/>
        <v>11287.774294665782</v>
      </c>
      <c r="L55" s="57">
        <f t="shared" si="21"/>
        <v>29484.536082474231</v>
      </c>
      <c r="M55" s="244">
        <f t="shared" si="18"/>
        <v>40772.310377140013</v>
      </c>
      <c r="N55" s="52">
        <f t="shared" si="10"/>
        <v>366945.23306437564</v>
      </c>
      <c r="O55" s="75">
        <f t="shared" si="13"/>
        <v>326172.92268723564</v>
      </c>
    </row>
    <row r="56" spans="1:15" x14ac:dyDescent="0.25">
      <c r="A56" s="48" t="s">
        <v>63</v>
      </c>
      <c r="B56" s="241" t="str">
        <f t="shared" si="6"/>
        <v>Q1/2019</v>
      </c>
      <c r="C56" s="242">
        <f t="shared" si="11"/>
        <v>43466</v>
      </c>
      <c r="D56" s="242">
        <f t="shared" si="7"/>
        <v>43555</v>
      </c>
      <c r="E56" s="241">
        <f t="shared" si="8"/>
        <v>90</v>
      </c>
      <c r="F56" s="74">
        <f>VLOOKUP(D56,'FERC Interest Rate'!$A:$B,2,TRUE)</f>
        <v>5.1799999999999999E-2</v>
      </c>
      <c r="G56" s="75">
        <f t="shared" si="14"/>
        <v>326172.92268723564</v>
      </c>
      <c r="H56" s="75">
        <v>0</v>
      </c>
      <c r="I56" s="99">
        <f t="shared" si="19"/>
        <v>6756.899771663062</v>
      </c>
      <c r="J56" s="57">
        <f t="shared" si="20"/>
        <v>4166.0771659394313</v>
      </c>
      <c r="K56" s="243">
        <f t="shared" si="16"/>
        <v>10922.976937602492</v>
      </c>
      <c r="L56" s="57">
        <f t="shared" si="21"/>
        <v>29484.536082474231</v>
      </c>
      <c r="M56" s="244">
        <f t="shared" si="18"/>
        <v>40407.513020076723</v>
      </c>
      <c r="N56" s="52">
        <f t="shared" si="10"/>
        <v>330338.99985317508</v>
      </c>
      <c r="O56" s="75">
        <f t="shared" si="13"/>
        <v>289931.48683309834</v>
      </c>
    </row>
    <row r="57" spans="1:15" x14ac:dyDescent="0.25">
      <c r="A57" s="48" t="s">
        <v>64</v>
      </c>
      <c r="B57" s="241" t="str">
        <f t="shared" si="6"/>
        <v>Q2/2019</v>
      </c>
      <c r="C57" s="242">
        <f t="shared" si="11"/>
        <v>43556</v>
      </c>
      <c r="D57" s="242">
        <f t="shared" si="7"/>
        <v>43646</v>
      </c>
      <c r="E57" s="241">
        <f t="shared" si="8"/>
        <v>91</v>
      </c>
      <c r="F57" s="74">
        <f>VLOOKUP(D57,'FERC Interest Rate'!$A:$B,2,TRUE)</f>
        <v>5.45E-2</v>
      </c>
      <c r="G57" s="75">
        <f t="shared" si="14"/>
        <v>289931.48683309834</v>
      </c>
      <c r="H57" s="75">
        <v>0</v>
      </c>
      <c r="I57" s="99">
        <f t="shared" si="19"/>
        <v>6756.899771663062</v>
      </c>
      <c r="J57" s="57">
        <f t="shared" si="20"/>
        <v>3939.4937231472636</v>
      </c>
      <c r="K57" s="243">
        <f t="shared" si="16"/>
        <v>10696.393494810325</v>
      </c>
      <c r="L57" s="57">
        <f t="shared" si="21"/>
        <v>29484.536082474231</v>
      </c>
      <c r="M57" s="244">
        <f t="shared" si="18"/>
        <v>40180.929577284558</v>
      </c>
      <c r="N57" s="52">
        <f t="shared" si="10"/>
        <v>293870.9805562456</v>
      </c>
      <c r="O57" s="75">
        <f t="shared" si="13"/>
        <v>253690.05097896105</v>
      </c>
    </row>
    <row r="58" spans="1:15" x14ac:dyDescent="0.25">
      <c r="A58" s="48" t="s">
        <v>65</v>
      </c>
      <c r="B58" s="241" t="str">
        <f t="shared" si="6"/>
        <v>Q3/2019</v>
      </c>
      <c r="C58" s="242">
        <f t="shared" si="11"/>
        <v>43647</v>
      </c>
      <c r="D58" s="242">
        <f t="shared" si="7"/>
        <v>43738</v>
      </c>
      <c r="E58" s="241">
        <f t="shared" si="8"/>
        <v>92</v>
      </c>
      <c r="F58" s="74">
        <f>VLOOKUP(D58,'FERC Interest Rate'!$A:$B,2,TRUE)</f>
        <v>5.5E-2</v>
      </c>
      <c r="G58" s="75">
        <f t="shared" si="14"/>
        <v>253690.05097896105</v>
      </c>
      <c r="H58" s="75">
        <v>0</v>
      </c>
      <c r="I58" s="99">
        <f t="shared" si="19"/>
        <v>6756.899771663062</v>
      </c>
      <c r="J58" s="57">
        <f t="shared" si="20"/>
        <v>3516.9086519275152</v>
      </c>
      <c r="K58" s="243">
        <f t="shared" si="16"/>
        <v>10273.808423590577</v>
      </c>
      <c r="L58" s="57">
        <f t="shared" si="21"/>
        <v>29484.536082474231</v>
      </c>
      <c r="M58" s="244">
        <f t="shared" si="18"/>
        <v>39758.344506064808</v>
      </c>
      <c r="N58" s="52">
        <f t="shared" si="10"/>
        <v>257206.95963088857</v>
      </c>
      <c r="O58" s="75">
        <f t="shared" si="13"/>
        <v>217448.61512482376</v>
      </c>
    </row>
    <row r="59" spans="1:15" x14ac:dyDescent="0.25">
      <c r="A59" s="48" t="s">
        <v>66</v>
      </c>
      <c r="B59" s="241" t="str">
        <f t="shared" si="6"/>
        <v>Q4/2019</v>
      </c>
      <c r="C59" s="242">
        <f t="shared" si="11"/>
        <v>43739</v>
      </c>
      <c r="D59" s="242">
        <f t="shared" si="7"/>
        <v>43830</v>
      </c>
      <c r="E59" s="241">
        <f t="shared" si="8"/>
        <v>92</v>
      </c>
      <c r="F59" s="74">
        <f>VLOOKUP(D59,'FERC Interest Rate'!$A:$B,2,TRUE)</f>
        <v>5.4199999999999998E-2</v>
      </c>
      <c r="G59" s="75">
        <f t="shared" si="14"/>
        <v>217448.61512482376</v>
      </c>
      <c r="H59" s="75">
        <v>0</v>
      </c>
      <c r="I59" s="99">
        <f t="shared" si="19"/>
        <v>6756.899771663062</v>
      </c>
      <c r="J59" s="57">
        <f t="shared" si="20"/>
        <v>2970.6459574203318</v>
      </c>
      <c r="K59" s="243">
        <f t="shared" si="16"/>
        <v>9727.5457290833947</v>
      </c>
      <c r="L59" s="57">
        <f t="shared" si="21"/>
        <v>29484.536082474231</v>
      </c>
      <c r="M59" s="244">
        <f t="shared" si="18"/>
        <v>39212.081811557626</v>
      </c>
      <c r="N59" s="52">
        <f t="shared" si="10"/>
        <v>220419.26108224408</v>
      </c>
      <c r="O59" s="75">
        <f t="shared" si="13"/>
        <v>181207.17927068647</v>
      </c>
    </row>
    <row r="60" spans="1:15" x14ac:dyDescent="0.25">
      <c r="A60" s="48" t="s">
        <v>67</v>
      </c>
      <c r="B60" s="241" t="str">
        <f t="shared" si="6"/>
        <v>Q1/2020</v>
      </c>
      <c r="C60" s="242">
        <f t="shared" si="11"/>
        <v>43831</v>
      </c>
      <c r="D60" s="242">
        <f t="shared" si="7"/>
        <v>43921</v>
      </c>
      <c r="E60" s="241">
        <f t="shared" si="8"/>
        <v>91</v>
      </c>
      <c r="F60" s="74">
        <f>VLOOKUP(D60,'FERC Interest Rate'!$A:$B,2,TRUE)</f>
        <v>4.9599999999999998E-2</v>
      </c>
      <c r="G60" s="75">
        <f t="shared" si="14"/>
        <v>181207.17927068647</v>
      </c>
      <c r="H60" s="75">
        <v>0</v>
      </c>
      <c r="I60" s="99">
        <f t="shared" si="19"/>
        <v>6756.899771663062</v>
      </c>
      <c r="J60" s="57">
        <f t="shared" si="20"/>
        <v>2234.6905037053839</v>
      </c>
      <c r="K60" s="243">
        <f t="shared" si="16"/>
        <v>8991.5902753684459</v>
      </c>
      <c r="L60" s="57">
        <f t="shared" si="21"/>
        <v>29484.536082474231</v>
      </c>
      <c r="M60" s="244">
        <f t="shared" si="18"/>
        <v>38476.126357842673</v>
      </c>
      <c r="N60" s="52">
        <f t="shared" si="10"/>
        <v>183441.86977439185</v>
      </c>
      <c r="O60" s="75">
        <f t="shared" si="13"/>
        <v>144965.74341654917</v>
      </c>
    </row>
    <row r="61" spans="1:15" x14ac:dyDescent="0.25">
      <c r="A61" s="48" t="s">
        <v>68</v>
      </c>
      <c r="B61" s="241" t="str">
        <f t="shared" si="6"/>
        <v>Q2/2020</v>
      </c>
      <c r="C61" s="242">
        <f t="shared" si="11"/>
        <v>43922</v>
      </c>
      <c r="D61" s="242">
        <f t="shared" si="7"/>
        <v>44012</v>
      </c>
      <c r="E61" s="241">
        <f t="shared" si="8"/>
        <v>91</v>
      </c>
      <c r="F61" s="74">
        <f>VLOOKUP(D61,'FERC Interest Rate'!$A:$B,2,TRUE)</f>
        <v>4.7503500000000004E-2</v>
      </c>
      <c r="G61" s="75">
        <f t="shared" si="14"/>
        <v>144965.74341654917</v>
      </c>
      <c r="H61" s="75">
        <v>0</v>
      </c>
      <c r="I61" s="99">
        <f t="shared" si="19"/>
        <v>6756.899771663062</v>
      </c>
      <c r="J61" s="57">
        <f t="shared" si="20"/>
        <v>1712.1874248833662</v>
      </c>
      <c r="K61" s="243">
        <f t="shared" si="16"/>
        <v>8469.0871965464285</v>
      </c>
      <c r="L61" s="57">
        <f t="shared" si="21"/>
        <v>29484.536082474231</v>
      </c>
      <c r="M61" s="244">
        <f t="shared" si="18"/>
        <v>37953.623279020656</v>
      </c>
      <c r="N61" s="52">
        <f t="shared" si="10"/>
        <v>146677.93084143254</v>
      </c>
      <c r="O61" s="75">
        <f t="shared" si="13"/>
        <v>108724.30756241188</v>
      </c>
    </row>
    <row r="62" spans="1:15" x14ac:dyDescent="0.25">
      <c r="A62" s="48" t="s">
        <v>69</v>
      </c>
      <c r="B62" s="241" t="str">
        <f t="shared" si="6"/>
        <v>Q3/2020</v>
      </c>
      <c r="C62" s="242">
        <f t="shared" si="11"/>
        <v>44013</v>
      </c>
      <c r="D62" s="242">
        <f t="shared" si="7"/>
        <v>44104</v>
      </c>
      <c r="E62" s="241">
        <f t="shared" si="8"/>
        <v>92</v>
      </c>
      <c r="F62" s="74">
        <f>VLOOKUP(D62,'FERC Interest Rate'!$A:$B,2,TRUE)</f>
        <v>4.7507929999999997E-2</v>
      </c>
      <c r="G62" s="75">
        <f t="shared" si="14"/>
        <v>108724.30756241188</v>
      </c>
      <c r="H62" s="75">
        <v>0</v>
      </c>
      <c r="I62" s="99">
        <f t="shared" si="19"/>
        <v>6756.899771663062</v>
      </c>
      <c r="J62" s="57">
        <f t="shared" si="20"/>
        <v>1298.3730736436205</v>
      </c>
      <c r="K62" s="243">
        <f t="shared" si="16"/>
        <v>8055.2728453066829</v>
      </c>
      <c r="L62" s="57">
        <f t="shared" si="21"/>
        <v>29484.536082474231</v>
      </c>
      <c r="M62" s="244">
        <f t="shared" si="18"/>
        <v>37539.808927780912</v>
      </c>
      <c r="N62" s="52">
        <f t="shared" si="10"/>
        <v>110022.68063605551</v>
      </c>
      <c r="O62" s="75">
        <f t="shared" si="13"/>
        <v>72482.871708274586</v>
      </c>
    </row>
    <row r="63" spans="1:15" x14ac:dyDescent="0.25">
      <c r="A63" s="48" t="s">
        <v>70</v>
      </c>
      <c r="B63" s="241" t="str">
        <f t="shared" si="6"/>
        <v>Q4/2020</v>
      </c>
      <c r="C63" s="242">
        <f t="shared" si="11"/>
        <v>44105</v>
      </c>
      <c r="D63" s="242">
        <f t="shared" si="7"/>
        <v>44196</v>
      </c>
      <c r="E63" s="241">
        <f t="shared" si="8"/>
        <v>92</v>
      </c>
      <c r="F63" s="74">
        <f>VLOOKUP(D63,'FERC Interest Rate'!$A:$B,2,TRUE)</f>
        <v>4.7922320000000004E-2</v>
      </c>
      <c r="G63" s="75">
        <f t="shared" si="14"/>
        <v>72482.871708274586</v>
      </c>
      <c r="H63" s="75">
        <v>0</v>
      </c>
      <c r="I63" s="99">
        <f t="shared" si="19"/>
        <v>6756.899771663062</v>
      </c>
      <c r="J63" s="57">
        <f t="shared" si="20"/>
        <v>873.13212642651672</v>
      </c>
      <c r="K63" s="243">
        <f t="shared" si="16"/>
        <v>7630.031898089579</v>
      </c>
      <c r="L63" s="57">
        <f t="shared" si="21"/>
        <v>29484.536082474231</v>
      </c>
      <c r="M63" s="244">
        <f t="shared" si="18"/>
        <v>37114.567980563806</v>
      </c>
      <c r="N63" s="52">
        <f t="shared" si="10"/>
        <v>73356.0038347011</v>
      </c>
      <c r="O63" s="75">
        <f t="shared" si="13"/>
        <v>36241.435854137293</v>
      </c>
    </row>
    <row r="64" spans="1:15" x14ac:dyDescent="0.25">
      <c r="A64" s="48" t="s">
        <v>71</v>
      </c>
      <c r="B64" s="241" t="str">
        <f t="shared" si="6"/>
        <v>Q1/2021</v>
      </c>
      <c r="C64" s="242">
        <f t="shared" si="11"/>
        <v>44197</v>
      </c>
      <c r="D64" s="242">
        <f t="shared" si="7"/>
        <v>44286</v>
      </c>
      <c r="E64" s="241">
        <f t="shared" si="8"/>
        <v>90</v>
      </c>
      <c r="F64" s="74">
        <f>VLOOKUP(D64,'FERC Interest Rate'!$A:$B,2,TRUE)</f>
        <v>5.0023470000000007E-2</v>
      </c>
      <c r="G64" s="75">
        <f t="shared" si="14"/>
        <v>36241.435854137293</v>
      </c>
      <c r="H64" s="75">
        <v>0</v>
      </c>
      <c r="I64" s="99">
        <f t="shared" si="19"/>
        <v>6756.899771663062</v>
      </c>
      <c r="J64" s="57">
        <f t="shared" si="20"/>
        <v>447.02195651663703</v>
      </c>
      <c r="K64" s="243">
        <f t="shared" si="16"/>
        <v>7203.9217281796991</v>
      </c>
      <c r="L64" s="57">
        <f t="shared" si="21"/>
        <v>29484.536082474231</v>
      </c>
      <c r="M64" s="244">
        <f t="shared" si="18"/>
        <v>36688.457810653927</v>
      </c>
      <c r="N64" s="52">
        <f t="shared" si="10"/>
        <v>36688.457810653927</v>
      </c>
      <c r="O64" s="75">
        <f t="shared" si="13"/>
        <v>0</v>
      </c>
    </row>
    <row r="65" spans="1:15" x14ac:dyDescent="0.25">
      <c r="B65" s="54"/>
      <c r="C65" s="55"/>
      <c r="D65" s="55"/>
      <c r="E65" s="56"/>
      <c r="F65" s="54"/>
      <c r="G65" s="57"/>
      <c r="H65" s="59"/>
      <c r="I65" s="245"/>
      <c r="J65" s="57"/>
      <c r="K65" s="246"/>
      <c r="L65" s="58"/>
      <c r="M65" s="247"/>
      <c r="O65" s="57"/>
    </row>
    <row r="66" spans="1:15" ht="13.5" thickBot="1" x14ac:dyDescent="0.35">
      <c r="A66" s="218"/>
      <c r="B66" s="248"/>
      <c r="C66" s="249"/>
      <c r="D66" s="249"/>
      <c r="E66" s="250"/>
      <c r="F66" s="248"/>
      <c r="G66" s="251">
        <f t="shared" ref="G66:O66" si="22">+SUM(G30:G65)</f>
        <v>17957700.494393863</v>
      </c>
      <c r="H66" s="251">
        <f t="shared" si="22"/>
        <v>135137.99543326124</v>
      </c>
      <c r="I66" s="252">
        <f t="shared" si="22"/>
        <v>135137.9954332613</v>
      </c>
      <c r="J66" s="251">
        <f t="shared" si="22"/>
        <v>30402.06270019566</v>
      </c>
      <c r="K66" s="251">
        <f t="shared" si="22"/>
        <v>165540.05813345691</v>
      </c>
      <c r="L66" s="251">
        <f t="shared" si="22"/>
        <v>589690.72164948471</v>
      </c>
      <c r="M66" s="253">
        <f t="shared" si="22"/>
        <v>755230.77978294168</v>
      </c>
      <c r="N66" s="251">
        <f t="shared" si="22"/>
        <v>18123240.55252732</v>
      </c>
      <c r="O66" s="251">
        <f t="shared" si="22"/>
        <v>17368009.772744376</v>
      </c>
    </row>
    <row r="67" spans="1:15" ht="13.5" thickTop="1" thickBot="1" x14ac:dyDescent="0.3">
      <c r="H67" s="243"/>
      <c r="I67" s="254"/>
      <c r="J67" s="255"/>
      <c r="K67" s="255"/>
      <c r="L67" s="255"/>
      <c r="M67" s="256"/>
    </row>
  </sheetData>
  <mergeCells count="1">
    <mergeCell ref="J28:K28"/>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69"/>
  <sheetViews>
    <sheetView view="pageLayout" zoomScale="50" zoomScaleNormal="40" zoomScalePageLayoutView="50" workbookViewId="0"/>
  </sheetViews>
  <sheetFormatPr defaultColWidth="9.1796875" defaultRowHeight="12.5" outlineLevelRow="1" x14ac:dyDescent="0.25"/>
  <cols>
    <col min="1" max="1" width="10.26953125" style="47" customWidth="1"/>
    <col min="2" max="2" width="13.54296875" style="47" customWidth="1"/>
    <col min="3" max="3" width="15.453125" style="47" bestFit="1" customWidth="1"/>
    <col min="4" max="4" width="13.54296875" style="47" customWidth="1"/>
    <col min="5" max="5" width="12.453125" style="47" customWidth="1"/>
    <col min="6" max="6" width="15.453125" style="47" bestFit="1" customWidth="1"/>
    <col min="7" max="9" width="16.1796875" style="47" customWidth="1"/>
    <col min="10" max="10" width="17.26953125" style="47" bestFit="1" customWidth="1"/>
    <col min="11" max="11" width="16.1796875" style="47" customWidth="1"/>
    <col min="12" max="12" width="17.81640625" style="47" customWidth="1"/>
    <col min="13" max="14" width="16.1796875" style="47" customWidth="1"/>
    <col min="15" max="15" width="17.26953125" style="47" customWidth="1"/>
    <col min="16" max="18" width="16.1796875" style="47" customWidth="1"/>
    <col min="19" max="19" width="16" style="47" customWidth="1"/>
    <col min="20" max="16384" width="9.1796875" style="47"/>
  </cols>
  <sheetData>
    <row r="1" spans="1:14" ht="26" x14ac:dyDescent="0.3">
      <c r="A1" s="211" t="s">
        <v>8</v>
      </c>
      <c r="B1" s="212" t="s">
        <v>86</v>
      </c>
      <c r="C1" s="211" t="s">
        <v>2</v>
      </c>
      <c r="D1" s="211" t="s">
        <v>1</v>
      </c>
      <c r="E1" s="212" t="s">
        <v>72</v>
      </c>
      <c r="F1" s="212" t="s">
        <v>47</v>
      </c>
      <c r="G1" s="270" t="s">
        <v>51</v>
      </c>
      <c r="H1" s="270" t="s">
        <v>3</v>
      </c>
      <c r="I1" s="213" t="s">
        <v>145</v>
      </c>
      <c r="J1" s="214" t="s">
        <v>146</v>
      </c>
      <c r="K1" s="214" t="s">
        <v>147</v>
      </c>
      <c r="L1" s="214" t="s">
        <v>148</v>
      </c>
      <c r="M1" s="215" t="s">
        <v>149</v>
      </c>
    </row>
    <row r="2" spans="1:14" ht="12.75" customHeight="1" outlineLevel="1" x14ac:dyDescent="0.25">
      <c r="A2" s="216" t="s">
        <v>52</v>
      </c>
      <c r="B2" s="49">
        <v>41102</v>
      </c>
      <c r="C2" s="43">
        <v>670103.0927835051</v>
      </c>
      <c r="D2" s="43">
        <v>0</v>
      </c>
      <c r="E2" s="43">
        <v>0</v>
      </c>
      <c r="F2" s="7">
        <f>SUM(C2:E2)</f>
        <v>670103.0927835051</v>
      </c>
      <c r="G2" s="216" t="s">
        <v>52</v>
      </c>
      <c r="H2" s="49" t="s">
        <v>153</v>
      </c>
      <c r="I2" s="264">
        <f t="shared" ref="I2:I21" si="0">+SUMIF($A$29:$A$68,G2,$I$29:$I$68)</f>
        <v>0</v>
      </c>
      <c r="J2" s="265">
        <f t="shared" ref="J2:J21" si="1">+SUMIF($A$29:$A$68,G2,$J$29:$J$68)</f>
        <v>0</v>
      </c>
      <c r="K2" s="265">
        <f t="shared" ref="K2:K21" si="2">+SUMIF($A$29:$A$68,G2,$K$29:$K$68)</f>
        <v>0</v>
      </c>
      <c r="L2" s="265">
        <f t="shared" ref="L2:L21" si="3">+SUMIF($A$29:$A$68,G2,$L$29:$L$68)</f>
        <v>0</v>
      </c>
      <c r="M2" s="266">
        <f t="shared" ref="M2:M21" si="4">+SUMIF($A$29:$A$68,G2,$M$29:$M$68)</f>
        <v>0</v>
      </c>
    </row>
    <row r="3" spans="1:14" ht="12.75" customHeight="1" outlineLevel="1" x14ac:dyDescent="0.25">
      <c r="A3" s="216" t="s">
        <v>53</v>
      </c>
      <c r="B3" s="50" t="s">
        <v>21</v>
      </c>
      <c r="C3" s="43">
        <v>0</v>
      </c>
      <c r="D3" s="43">
        <v>0</v>
      </c>
      <c r="E3" s="43">
        <v>0</v>
      </c>
      <c r="F3" s="7">
        <f t="shared" ref="F3:F21" si="5">SUM(C3:E3)</f>
        <v>0</v>
      </c>
      <c r="G3" s="216" t="s">
        <v>53</v>
      </c>
      <c r="H3" s="49" t="s">
        <v>154</v>
      </c>
      <c r="I3" s="264">
        <f t="shared" si="0"/>
        <v>0</v>
      </c>
      <c r="J3" s="265">
        <f t="shared" si="1"/>
        <v>0</v>
      </c>
      <c r="K3" s="265">
        <f t="shared" si="2"/>
        <v>0</v>
      </c>
      <c r="L3" s="265">
        <f t="shared" si="3"/>
        <v>0</v>
      </c>
      <c r="M3" s="266">
        <f t="shared" si="4"/>
        <v>0</v>
      </c>
    </row>
    <row r="4" spans="1:14" outlineLevel="1" collapsed="1" x14ac:dyDescent="0.25">
      <c r="A4" s="216" t="s">
        <v>54</v>
      </c>
      <c r="B4" s="50" t="s">
        <v>21</v>
      </c>
      <c r="C4" s="43">
        <v>0</v>
      </c>
      <c r="D4" s="43">
        <v>0</v>
      </c>
      <c r="E4" s="43">
        <v>0</v>
      </c>
      <c r="F4" s="7">
        <f t="shared" si="5"/>
        <v>0</v>
      </c>
      <c r="G4" s="216" t="s">
        <v>54</v>
      </c>
      <c r="H4" s="49" t="s">
        <v>155</v>
      </c>
      <c r="I4" s="264">
        <f t="shared" si="0"/>
        <v>0</v>
      </c>
      <c r="J4" s="265">
        <f t="shared" si="1"/>
        <v>0</v>
      </c>
      <c r="K4" s="265">
        <f t="shared" si="2"/>
        <v>0</v>
      </c>
      <c r="L4" s="265">
        <f t="shared" si="3"/>
        <v>0</v>
      </c>
      <c r="M4" s="266">
        <f t="shared" si="4"/>
        <v>0</v>
      </c>
    </row>
    <row r="5" spans="1:14" outlineLevel="1" x14ac:dyDescent="0.25">
      <c r="A5" s="216" t="s">
        <v>55</v>
      </c>
      <c r="B5" s="50" t="s">
        <v>21</v>
      </c>
      <c r="C5" s="43">
        <v>0</v>
      </c>
      <c r="D5" s="43">
        <v>0</v>
      </c>
      <c r="E5" s="43">
        <v>0</v>
      </c>
      <c r="F5" s="7">
        <f t="shared" si="5"/>
        <v>0</v>
      </c>
      <c r="G5" s="216" t="s">
        <v>55</v>
      </c>
      <c r="H5" s="49" t="s">
        <v>125</v>
      </c>
      <c r="I5" s="264">
        <f t="shared" si="0"/>
        <v>0</v>
      </c>
      <c r="J5" s="265">
        <f t="shared" si="1"/>
        <v>0</v>
      </c>
      <c r="K5" s="265">
        <f t="shared" si="2"/>
        <v>0</v>
      </c>
      <c r="L5" s="265">
        <f t="shared" si="3"/>
        <v>0</v>
      </c>
      <c r="M5" s="266">
        <f t="shared" si="4"/>
        <v>0</v>
      </c>
    </row>
    <row r="6" spans="1:14" ht="12.75" customHeight="1" outlineLevel="1" x14ac:dyDescent="0.25">
      <c r="A6" s="216" t="s">
        <v>56</v>
      </c>
      <c r="B6" s="50" t="s">
        <v>21</v>
      </c>
      <c r="C6" s="43">
        <v>0</v>
      </c>
      <c r="D6" s="43">
        <v>0</v>
      </c>
      <c r="E6" s="43">
        <v>0</v>
      </c>
      <c r="F6" s="7">
        <f t="shared" si="5"/>
        <v>0</v>
      </c>
      <c r="G6" s="216" t="s">
        <v>56</v>
      </c>
      <c r="H6" s="49" t="s">
        <v>156</v>
      </c>
      <c r="I6" s="264">
        <f t="shared" si="0"/>
        <v>0</v>
      </c>
      <c r="J6" s="265">
        <f t="shared" si="1"/>
        <v>0</v>
      </c>
      <c r="K6" s="265">
        <f t="shared" si="2"/>
        <v>0</v>
      </c>
      <c r="L6" s="265">
        <f t="shared" si="3"/>
        <v>0</v>
      </c>
      <c r="M6" s="266">
        <f t="shared" si="4"/>
        <v>0</v>
      </c>
    </row>
    <row r="7" spans="1:14" outlineLevel="1" x14ac:dyDescent="0.25">
      <c r="A7" s="216" t="s">
        <v>57</v>
      </c>
      <c r="B7" s="50" t="s">
        <v>21</v>
      </c>
      <c r="C7" s="43">
        <v>0</v>
      </c>
      <c r="D7" s="43">
        <v>0</v>
      </c>
      <c r="E7" s="43">
        <v>0</v>
      </c>
      <c r="F7" s="7">
        <f t="shared" si="5"/>
        <v>0</v>
      </c>
      <c r="G7" s="216" t="s">
        <v>57</v>
      </c>
      <c r="H7" s="49" t="s">
        <v>157</v>
      </c>
      <c r="I7" s="264">
        <f t="shared" si="0"/>
        <v>0</v>
      </c>
      <c r="J7" s="265">
        <f t="shared" si="1"/>
        <v>0</v>
      </c>
      <c r="K7" s="265">
        <f t="shared" si="2"/>
        <v>0</v>
      </c>
      <c r="L7" s="265">
        <f t="shared" si="3"/>
        <v>0</v>
      </c>
      <c r="M7" s="266">
        <f t="shared" si="4"/>
        <v>0</v>
      </c>
    </row>
    <row r="8" spans="1:14" outlineLevel="1" x14ac:dyDescent="0.25">
      <c r="A8" s="216" t="s">
        <v>58</v>
      </c>
      <c r="B8" s="50" t="s">
        <v>21</v>
      </c>
      <c r="C8" s="43">
        <v>0</v>
      </c>
      <c r="D8" s="43">
        <v>0</v>
      </c>
      <c r="E8" s="43">
        <v>0</v>
      </c>
      <c r="F8" s="7">
        <f t="shared" si="5"/>
        <v>0</v>
      </c>
      <c r="G8" s="216" t="s">
        <v>58</v>
      </c>
      <c r="H8" s="49" t="s">
        <v>158</v>
      </c>
      <c r="I8" s="264">
        <f t="shared" si="0"/>
        <v>53748.066365501618</v>
      </c>
      <c r="J8" s="265">
        <f t="shared" si="1"/>
        <v>0</v>
      </c>
      <c r="K8" s="265">
        <f t="shared" si="2"/>
        <v>53748.066365501618</v>
      </c>
      <c r="L8" s="265">
        <f t="shared" si="3"/>
        <v>234536.0824742268</v>
      </c>
      <c r="M8" s="266">
        <f t="shared" si="4"/>
        <v>288284.14883972844</v>
      </c>
      <c r="N8" s="52"/>
    </row>
    <row r="9" spans="1:14" outlineLevel="1" x14ac:dyDescent="0.25">
      <c r="A9" s="216" t="s">
        <v>59</v>
      </c>
      <c r="B9" s="50" t="s">
        <v>21</v>
      </c>
      <c r="C9" s="43">
        <v>0</v>
      </c>
      <c r="D9" s="43">
        <v>0</v>
      </c>
      <c r="E9" s="43">
        <v>0</v>
      </c>
      <c r="F9" s="7">
        <f t="shared" si="5"/>
        <v>0</v>
      </c>
      <c r="G9" s="216" t="s">
        <v>59</v>
      </c>
      <c r="H9" s="49" t="s">
        <v>159</v>
      </c>
      <c r="I9" s="264">
        <f t="shared" si="0"/>
        <v>7678.2951950716597</v>
      </c>
      <c r="J9" s="265">
        <f t="shared" si="1"/>
        <v>6328.9823054315375</v>
      </c>
      <c r="K9" s="265">
        <f t="shared" si="2"/>
        <v>14007.277500503198</v>
      </c>
      <c r="L9" s="265">
        <f t="shared" si="3"/>
        <v>33505.154639175256</v>
      </c>
      <c r="M9" s="266">
        <f t="shared" si="4"/>
        <v>47512.432139678451</v>
      </c>
    </row>
    <row r="10" spans="1:14" outlineLevel="1" x14ac:dyDescent="0.25">
      <c r="A10" s="216" t="s">
        <v>60</v>
      </c>
      <c r="B10" s="50" t="s">
        <v>21</v>
      </c>
      <c r="C10" s="43">
        <v>0</v>
      </c>
      <c r="D10" s="43">
        <v>0</v>
      </c>
      <c r="E10" s="43">
        <v>0</v>
      </c>
      <c r="F10" s="7">
        <f t="shared" si="5"/>
        <v>0</v>
      </c>
      <c r="G10" s="216" t="s">
        <v>60</v>
      </c>
      <c r="H10" s="49" t="s">
        <v>160</v>
      </c>
      <c r="I10" s="264">
        <f t="shared" si="0"/>
        <v>7678.2951950716597</v>
      </c>
      <c r="J10" s="265">
        <f t="shared" si="1"/>
        <v>6178.4652586400698</v>
      </c>
      <c r="K10" s="265">
        <f t="shared" si="2"/>
        <v>13856.760453711729</v>
      </c>
      <c r="L10" s="265">
        <f t="shared" si="3"/>
        <v>33505.154639175256</v>
      </c>
      <c r="M10" s="266">
        <f t="shared" si="4"/>
        <v>47361.915092886986</v>
      </c>
    </row>
    <row r="11" spans="1:14" outlineLevel="1" x14ac:dyDescent="0.25">
      <c r="A11" s="216" t="s">
        <v>61</v>
      </c>
      <c r="B11" s="50" t="s">
        <v>21</v>
      </c>
      <c r="C11" s="43">
        <v>0</v>
      </c>
      <c r="D11" s="43">
        <v>0</v>
      </c>
      <c r="E11" s="43">
        <v>0</v>
      </c>
      <c r="F11" s="7">
        <f t="shared" si="5"/>
        <v>0</v>
      </c>
      <c r="G11" s="216" t="s">
        <v>61</v>
      </c>
      <c r="H11" s="50" t="s">
        <v>161</v>
      </c>
      <c r="I11" s="264">
        <f t="shared" si="0"/>
        <v>7678.2951950716597</v>
      </c>
      <c r="J11" s="265">
        <f t="shared" si="1"/>
        <v>5786.2182860269841</v>
      </c>
      <c r="K11" s="265">
        <f t="shared" si="2"/>
        <v>13464.513481098644</v>
      </c>
      <c r="L11" s="265">
        <f t="shared" si="3"/>
        <v>33505.154639175256</v>
      </c>
      <c r="M11" s="266">
        <f t="shared" si="4"/>
        <v>46969.668120273898</v>
      </c>
    </row>
    <row r="12" spans="1:14" outlineLevel="1" collapsed="1" x14ac:dyDescent="0.25">
      <c r="A12" s="216" t="s">
        <v>62</v>
      </c>
      <c r="B12" s="50" t="s">
        <v>21</v>
      </c>
      <c r="C12" s="43">
        <v>0</v>
      </c>
      <c r="D12" s="43">
        <v>0</v>
      </c>
      <c r="E12" s="43">
        <v>0</v>
      </c>
      <c r="F12" s="7">
        <f t="shared" si="5"/>
        <v>0</v>
      </c>
      <c r="G12" s="216" t="s">
        <v>62</v>
      </c>
      <c r="H12" s="50" t="s">
        <v>162</v>
      </c>
      <c r="I12" s="264">
        <f t="shared" si="0"/>
        <v>7678.2951950716597</v>
      </c>
      <c r="J12" s="265">
        <f t="shared" si="1"/>
        <v>5595.8717658341766</v>
      </c>
      <c r="K12" s="265">
        <f t="shared" si="2"/>
        <v>13274.166960905837</v>
      </c>
      <c r="L12" s="265">
        <f t="shared" si="3"/>
        <v>33505.154639175256</v>
      </c>
      <c r="M12" s="266">
        <f t="shared" si="4"/>
        <v>46779.321600081093</v>
      </c>
    </row>
    <row r="13" spans="1:14" outlineLevel="1" x14ac:dyDescent="0.25">
      <c r="A13" s="216" t="s">
        <v>63</v>
      </c>
      <c r="B13" s="50" t="s">
        <v>21</v>
      </c>
      <c r="C13" s="43">
        <v>0</v>
      </c>
      <c r="D13" s="43">
        <v>0</v>
      </c>
      <c r="E13" s="43">
        <v>0</v>
      </c>
      <c r="F13" s="7">
        <f t="shared" si="5"/>
        <v>0</v>
      </c>
      <c r="G13" s="216" t="s">
        <v>63</v>
      </c>
      <c r="H13" s="50" t="s">
        <v>163</v>
      </c>
      <c r="I13" s="264">
        <f t="shared" si="0"/>
        <v>7678.2951950716597</v>
      </c>
      <c r="J13" s="265">
        <f t="shared" si="1"/>
        <v>5138.3405628811051</v>
      </c>
      <c r="K13" s="265">
        <f t="shared" si="2"/>
        <v>12816.635757952765</v>
      </c>
      <c r="L13" s="265">
        <f t="shared" si="3"/>
        <v>33505.154639175256</v>
      </c>
      <c r="M13" s="266">
        <f t="shared" si="4"/>
        <v>46321.790397128018</v>
      </c>
    </row>
    <row r="14" spans="1:14" outlineLevel="1" x14ac:dyDescent="0.25">
      <c r="A14" s="216" t="s">
        <v>64</v>
      </c>
      <c r="B14" s="50" t="s">
        <v>21</v>
      </c>
      <c r="C14" s="43">
        <v>0</v>
      </c>
      <c r="D14" s="43">
        <v>0</v>
      </c>
      <c r="E14" s="43">
        <v>0</v>
      </c>
      <c r="F14" s="7">
        <f t="shared" si="5"/>
        <v>0</v>
      </c>
      <c r="G14" s="216" t="s">
        <v>64</v>
      </c>
      <c r="H14" s="50" t="s">
        <v>164</v>
      </c>
      <c r="I14" s="264">
        <f t="shared" si="0"/>
        <v>7678.2951950716597</v>
      </c>
      <c r="J14" s="265">
        <f t="shared" si="1"/>
        <v>4500.9787233641346</v>
      </c>
      <c r="K14" s="265">
        <f t="shared" si="2"/>
        <v>12179.273918435794</v>
      </c>
      <c r="L14" s="265">
        <f t="shared" si="3"/>
        <v>33505.154639175256</v>
      </c>
      <c r="M14" s="266">
        <f t="shared" si="4"/>
        <v>45684.428557611049</v>
      </c>
    </row>
    <row r="15" spans="1:14" outlineLevel="1" x14ac:dyDescent="0.25">
      <c r="A15" s="216" t="s">
        <v>65</v>
      </c>
      <c r="B15" s="50" t="s">
        <v>21</v>
      </c>
      <c r="C15" s="43">
        <v>0</v>
      </c>
      <c r="D15" s="43">
        <v>0</v>
      </c>
      <c r="E15" s="43">
        <v>0</v>
      </c>
      <c r="F15" s="7">
        <f t="shared" si="5"/>
        <v>0</v>
      </c>
      <c r="G15" s="216" t="s">
        <v>65</v>
      </c>
      <c r="H15" s="50" t="s">
        <v>165</v>
      </c>
      <c r="I15" s="264">
        <f t="shared" si="0"/>
        <v>7678.2951950716597</v>
      </c>
      <c r="J15" s="265">
        <f t="shared" si="1"/>
        <v>3555.1894377131057</v>
      </c>
      <c r="K15" s="265">
        <f t="shared" si="2"/>
        <v>11233.484632784766</v>
      </c>
      <c r="L15" s="265">
        <f t="shared" si="3"/>
        <v>33505.154639175256</v>
      </c>
      <c r="M15" s="266">
        <f t="shared" si="4"/>
        <v>44738.639271960026</v>
      </c>
    </row>
    <row r="16" spans="1:14" outlineLevel="1" x14ac:dyDescent="0.25">
      <c r="A16" s="216" t="s">
        <v>66</v>
      </c>
      <c r="B16" s="50" t="s">
        <v>21</v>
      </c>
      <c r="C16" s="43">
        <v>0</v>
      </c>
      <c r="D16" s="43">
        <v>0</v>
      </c>
      <c r="E16" s="43">
        <v>0</v>
      </c>
      <c r="F16" s="7">
        <f t="shared" si="5"/>
        <v>0</v>
      </c>
      <c r="G16" s="216" t="s">
        <v>66</v>
      </c>
      <c r="H16" s="54" t="s">
        <v>166</v>
      </c>
      <c r="I16" s="264">
        <f t="shared" si="0"/>
        <v>7678.2951950716597</v>
      </c>
      <c r="J16" s="265">
        <f t="shared" si="1"/>
        <v>2918.5012924148245</v>
      </c>
      <c r="K16" s="265">
        <f t="shared" si="2"/>
        <v>10596.796487486485</v>
      </c>
      <c r="L16" s="265">
        <f t="shared" si="3"/>
        <v>33505.154639175256</v>
      </c>
      <c r="M16" s="266">
        <f t="shared" si="4"/>
        <v>44101.951126661741</v>
      </c>
    </row>
    <row r="17" spans="1:18" outlineLevel="1" x14ac:dyDescent="0.25">
      <c r="A17" s="216" t="s">
        <v>67</v>
      </c>
      <c r="B17" s="50" t="s">
        <v>21</v>
      </c>
      <c r="C17" s="43">
        <v>0</v>
      </c>
      <c r="D17" s="43">
        <v>0</v>
      </c>
      <c r="E17" s="43">
        <v>0</v>
      </c>
      <c r="F17" s="7">
        <f t="shared" si="5"/>
        <v>0</v>
      </c>
      <c r="G17" s="216" t="s">
        <v>67</v>
      </c>
      <c r="H17" s="48" t="s">
        <v>167</v>
      </c>
      <c r="I17" s="264">
        <f t="shared" si="0"/>
        <v>7678.2951950716597</v>
      </c>
      <c r="J17" s="265">
        <f t="shared" si="1"/>
        <v>2459.039912203823</v>
      </c>
      <c r="K17" s="265">
        <f t="shared" si="2"/>
        <v>10137.335107275483</v>
      </c>
      <c r="L17" s="265">
        <f t="shared" si="3"/>
        <v>33505.154639175256</v>
      </c>
      <c r="M17" s="266">
        <f t="shared" si="4"/>
        <v>43642.489746450738</v>
      </c>
    </row>
    <row r="18" spans="1:18" outlineLevel="1" x14ac:dyDescent="0.25">
      <c r="A18" s="216" t="s">
        <v>68</v>
      </c>
      <c r="B18" s="50" t="s">
        <v>21</v>
      </c>
      <c r="C18" s="43">
        <v>0</v>
      </c>
      <c r="D18" s="43">
        <v>0</v>
      </c>
      <c r="E18" s="43">
        <v>0</v>
      </c>
      <c r="F18" s="7">
        <f t="shared" si="5"/>
        <v>0</v>
      </c>
      <c r="G18" s="216" t="s">
        <v>68</v>
      </c>
      <c r="H18" s="48" t="s">
        <v>168</v>
      </c>
      <c r="I18" s="264">
        <f t="shared" si="0"/>
        <v>7678.2951950716597</v>
      </c>
      <c r="J18" s="265">
        <f t="shared" si="1"/>
        <v>1984.3911964238978</v>
      </c>
      <c r="K18" s="265">
        <f t="shared" si="2"/>
        <v>9662.6863914955575</v>
      </c>
      <c r="L18" s="265">
        <f t="shared" si="3"/>
        <v>33505.154639175256</v>
      </c>
      <c r="M18" s="266">
        <f t="shared" si="4"/>
        <v>43167.84103067081</v>
      </c>
    </row>
    <row r="19" spans="1:18" outlineLevel="1" x14ac:dyDescent="0.25">
      <c r="A19" s="216" t="s">
        <v>69</v>
      </c>
      <c r="B19" s="50" t="s">
        <v>21</v>
      </c>
      <c r="C19" s="43">
        <v>0</v>
      </c>
      <c r="D19" s="43">
        <v>0</v>
      </c>
      <c r="E19" s="43">
        <v>0</v>
      </c>
      <c r="F19" s="7">
        <f t="shared" si="5"/>
        <v>0</v>
      </c>
      <c r="G19" s="216" t="s">
        <v>69</v>
      </c>
      <c r="H19" s="48" t="s">
        <v>169</v>
      </c>
      <c r="I19" s="264">
        <f t="shared" si="0"/>
        <v>7678.2951950716597</v>
      </c>
      <c r="J19" s="265">
        <f t="shared" si="1"/>
        <v>1523.9384881248955</v>
      </c>
      <c r="K19" s="265">
        <f t="shared" si="2"/>
        <v>9202.2336831965549</v>
      </c>
      <c r="L19" s="265">
        <f t="shared" si="3"/>
        <v>33505.154639175256</v>
      </c>
      <c r="M19" s="266">
        <f t="shared" si="4"/>
        <v>42707.388322371815</v>
      </c>
    </row>
    <row r="20" spans="1:18" outlineLevel="1" x14ac:dyDescent="0.25">
      <c r="A20" s="216" t="s">
        <v>70</v>
      </c>
      <c r="B20" s="50" t="s">
        <v>21</v>
      </c>
      <c r="C20" s="43">
        <v>0</v>
      </c>
      <c r="D20" s="43">
        <v>0</v>
      </c>
      <c r="E20" s="43">
        <v>0</v>
      </c>
      <c r="F20" s="7">
        <f t="shared" si="5"/>
        <v>0</v>
      </c>
      <c r="G20" s="216" t="s">
        <v>70</v>
      </c>
      <c r="H20" s="48" t="s">
        <v>170</v>
      </c>
      <c r="I20" s="264">
        <f t="shared" si="0"/>
        <v>7678.2951950716597</v>
      </c>
      <c r="J20" s="265">
        <f t="shared" si="1"/>
        <v>1035.0561820173516</v>
      </c>
      <c r="K20" s="265">
        <f t="shared" si="2"/>
        <v>8713.3513770890113</v>
      </c>
      <c r="L20" s="265">
        <f t="shared" si="3"/>
        <v>33505.154639175256</v>
      </c>
      <c r="M20" s="266">
        <f t="shared" si="4"/>
        <v>42218.506016264269</v>
      </c>
    </row>
    <row r="21" spans="1:18" outlineLevel="1" x14ac:dyDescent="0.25">
      <c r="A21" s="216" t="s">
        <v>71</v>
      </c>
      <c r="B21" s="50" t="s">
        <v>21</v>
      </c>
      <c r="C21" s="43">
        <v>0</v>
      </c>
      <c r="D21" s="43">
        <v>0</v>
      </c>
      <c r="E21" s="43">
        <v>0</v>
      </c>
      <c r="F21" s="7">
        <f t="shared" si="5"/>
        <v>0</v>
      </c>
      <c r="G21" s="216" t="s">
        <v>71</v>
      </c>
      <c r="H21" s="48" t="s">
        <v>171</v>
      </c>
      <c r="I21" s="264">
        <f t="shared" si="0"/>
        <v>7678.2951950716597</v>
      </c>
      <c r="J21" s="265">
        <f t="shared" si="1"/>
        <v>545.1919473777624</v>
      </c>
      <c r="K21" s="265">
        <f t="shared" si="2"/>
        <v>8223.4871424494213</v>
      </c>
      <c r="L21" s="265">
        <f t="shared" si="3"/>
        <v>33505.154639175256</v>
      </c>
      <c r="M21" s="266">
        <f t="shared" si="4"/>
        <v>41728.641781624676</v>
      </c>
    </row>
    <row r="22" spans="1:18" ht="13.5" thickBot="1" x14ac:dyDescent="0.35">
      <c r="B22" s="46" t="s">
        <v>0</v>
      </c>
      <c r="C22" s="217">
        <f>SUM(C2:C21)</f>
        <v>670103.0927835051</v>
      </c>
      <c r="D22" s="217">
        <f>SUM(D2:D21)</f>
        <v>0</v>
      </c>
      <c r="E22" s="217">
        <f>SUM(E2:E21)</f>
        <v>0</v>
      </c>
      <c r="F22" s="217">
        <f>SUM(F2:F21)</f>
        <v>670103.0927835051</v>
      </c>
      <c r="G22" s="218"/>
      <c r="H22" s="218"/>
      <c r="I22" s="267">
        <f>+SUM(I2:I21)</f>
        <v>153565.90390143328</v>
      </c>
      <c r="J22" s="168">
        <f>+SUM(J2:J21)</f>
        <v>47550.165358453669</v>
      </c>
      <c r="K22" s="168">
        <f>+SUM(K2:K21)</f>
        <v>201116.06925988689</v>
      </c>
      <c r="L22" s="168">
        <f>+SUM(L2:L21)</f>
        <v>670103.09278350533</v>
      </c>
      <c r="M22" s="268">
        <f>+SUM(M2:M21)</f>
        <v>871219.16204339208</v>
      </c>
    </row>
    <row r="23" spans="1:18" ht="14" thickTop="1" thickBot="1" x14ac:dyDescent="0.35">
      <c r="B23" s="46"/>
      <c r="C23" s="271"/>
      <c r="D23" s="271"/>
      <c r="E23" s="271"/>
      <c r="F23" s="271"/>
      <c r="G23" s="272"/>
      <c r="H23" s="272"/>
      <c r="I23" s="182"/>
      <c r="J23" s="182"/>
      <c r="K23" s="182"/>
      <c r="L23" s="182"/>
      <c r="M23" s="182"/>
      <c r="Q23" s="52"/>
    </row>
    <row r="24" spans="1:18" ht="13" outlineLevel="1" x14ac:dyDescent="0.3">
      <c r="A24" s="48" t="s">
        <v>18</v>
      </c>
      <c r="B24" s="50" t="s">
        <v>21</v>
      </c>
      <c r="C24" s="52">
        <v>0</v>
      </c>
      <c r="D24" s="52">
        <v>0</v>
      </c>
      <c r="E24" s="52">
        <v>0</v>
      </c>
      <c r="F24" s="52">
        <f>SUM(C24:E24)</f>
        <v>0</v>
      </c>
      <c r="H24" s="219"/>
      <c r="I24" s="220" t="s">
        <v>13</v>
      </c>
      <c r="J24" s="220" t="s">
        <v>12</v>
      </c>
      <c r="K24" s="221" t="s">
        <v>20</v>
      </c>
      <c r="L24" s="222"/>
      <c r="M24" s="223"/>
      <c r="O24" s="273"/>
      <c r="Q24" s="165"/>
    </row>
    <row r="25" spans="1:18" ht="13" outlineLevel="1" x14ac:dyDescent="0.3">
      <c r="A25" s="48" t="s">
        <v>19</v>
      </c>
      <c r="B25" s="50" t="s">
        <v>21</v>
      </c>
      <c r="C25" s="52">
        <v>0</v>
      </c>
      <c r="D25" s="52">
        <v>0</v>
      </c>
      <c r="E25" s="52">
        <v>0</v>
      </c>
      <c r="F25" s="52">
        <f>SUM(C25:E25)</f>
        <v>0</v>
      </c>
      <c r="H25" s="225" t="s">
        <v>10</v>
      </c>
      <c r="I25" s="226">
        <v>42339</v>
      </c>
      <c r="J25" s="227">
        <f>I25</f>
        <v>42339</v>
      </c>
      <c r="K25" s="228"/>
      <c r="L25" s="229"/>
      <c r="M25" s="230"/>
      <c r="O25" s="273"/>
      <c r="Q25" s="165"/>
    </row>
    <row r="26" spans="1:18" ht="13.5" outlineLevel="1" thickBot="1" x14ac:dyDescent="0.35">
      <c r="B26" s="46" t="s">
        <v>50</v>
      </c>
      <c r="C26" s="217">
        <f>+SUM(C22:C25)</f>
        <v>670103.0927835051</v>
      </c>
      <c r="D26" s="217">
        <f>+SUM(D22:D25)</f>
        <v>0</v>
      </c>
      <c r="E26" s="217">
        <f>+SUM(E22:E25)</f>
        <v>0</v>
      </c>
      <c r="F26" s="217">
        <f>+SUM(F22:F25)</f>
        <v>670103.0927835051</v>
      </c>
      <c r="H26" s="231" t="s">
        <v>16</v>
      </c>
      <c r="I26" s="232">
        <v>44166</v>
      </c>
      <c r="J26" s="233">
        <v>42671</v>
      </c>
      <c r="K26" s="234"/>
      <c r="L26" s="235"/>
      <c r="M26" s="236"/>
      <c r="O26" s="274"/>
      <c r="Q26" s="165"/>
    </row>
    <row r="27" spans="1:18" ht="14" thickTop="1" thickBot="1" x14ac:dyDescent="0.35">
      <c r="B27" s="46"/>
      <c r="C27" s="51"/>
      <c r="D27" s="51"/>
      <c r="E27" s="51"/>
      <c r="F27" s="51"/>
      <c r="I27" s="52"/>
      <c r="J27" s="52"/>
      <c r="K27" s="52"/>
      <c r="L27" s="52"/>
      <c r="M27" s="52"/>
      <c r="N27" s="52"/>
      <c r="O27" s="275"/>
      <c r="P27" s="276"/>
      <c r="Q27" s="52"/>
      <c r="R27" s="52"/>
    </row>
    <row r="28" spans="1:18" ht="13" x14ac:dyDescent="0.3">
      <c r="B28" s="261"/>
      <c r="C28" s="53"/>
      <c r="D28" s="48"/>
      <c r="I28" s="237"/>
      <c r="J28" s="341" t="s">
        <v>2</v>
      </c>
      <c r="K28" s="341"/>
      <c r="L28" s="238" t="s">
        <v>52</v>
      </c>
      <c r="M28" s="239"/>
    </row>
    <row r="29" spans="1:18" ht="37" x14ac:dyDescent="0.3">
      <c r="A29" s="240" t="s">
        <v>51</v>
      </c>
      <c r="B29" s="240" t="s">
        <v>3</v>
      </c>
      <c r="C29" s="240" t="s">
        <v>4</v>
      </c>
      <c r="D29" s="240" t="s">
        <v>5</v>
      </c>
      <c r="E29" s="240" t="s">
        <v>6</v>
      </c>
      <c r="F29" s="240" t="s">
        <v>7</v>
      </c>
      <c r="G29" s="240" t="s">
        <v>78</v>
      </c>
      <c r="H29" s="240" t="s">
        <v>79</v>
      </c>
      <c r="I29" s="213" t="s">
        <v>80</v>
      </c>
      <c r="J29" s="214" t="s">
        <v>81</v>
      </c>
      <c r="K29" s="214" t="s">
        <v>82</v>
      </c>
      <c r="L29" s="214" t="s">
        <v>83</v>
      </c>
      <c r="M29" s="215" t="s">
        <v>73</v>
      </c>
      <c r="N29" s="240" t="s">
        <v>84</v>
      </c>
      <c r="O29" s="240" t="s">
        <v>85</v>
      </c>
    </row>
    <row r="30" spans="1:18" x14ac:dyDescent="0.25">
      <c r="A30" s="216" t="s">
        <v>21</v>
      </c>
      <c r="B30" s="241" t="str">
        <f t="shared" ref="B30:B66" si="6">+IF(MONTH(C30)&lt;4,"Q1",IF(MONTH(C30)&lt;7,"Q2",IF(MONTH(C30)&lt;10,"Q3","Q4")))&amp;"/"&amp;YEAR(C30)</f>
        <v>Q3/2012</v>
      </c>
      <c r="C30" s="242">
        <f>+VLOOKUP(L28,$A$1:$F$21,2,FALSE)</f>
        <v>41102</v>
      </c>
      <c r="D30" s="242">
        <f t="shared" ref="D30:D66" si="7">DATE(YEAR(C30),IF(MONTH(C30)&lt;=3,3,IF(MONTH(C30)&lt;=6,6,IF(MONTH(C30)&lt;=9,9,12))),IF(OR(MONTH(C30)&lt;=3,MONTH(C30)&gt;=10),31,30))</f>
        <v>41182</v>
      </c>
      <c r="E30" s="241">
        <f t="shared" ref="E30:E66" si="8">D30-C30+1</f>
        <v>81</v>
      </c>
      <c r="F30" s="74">
        <f>VLOOKUP(D30,'FERC Interest Rate'!$A:$B,2,TRUE)</f>
        <v>3.2500000000000001E-2</v>
      </c>
      <c r="G30" s="75">
        <f>+VLOOKUP(L28,$A$1:$F$21,3,FALSE)</f>
        <v>670103.0927835051</v>
      </c>
      <c r="H30" s="75">
        <f>G30*F30*(E30/(DATE(YEAR(D30),12,31)-DATE(YEAR(D30),1,1)+1))</f>
        <v>4819.7988845698828</v>
      </c>
      <c r="I30" s="99">
        <v>0</v>
      </c>
      <c r="J30" s="57">
        <v>0</v>
      </c>
      <c r="K30" s="243">
        <f t="shared" ref="K30:K44" si="9">+SUM(I30:J30)</f>
        <v>0</v>
      </c>
      <c r="L30" s="57">
        <v>0</v>
      </c>
      <c r="M30" s="244">
        <v>0</v>
      </c>
      <c r="N30" s="52">
        <f t="shared" ref="N30:N66" si="10">+G30+H30+J30</f>
        <v>674922.891668075</v>
      </c>
      <c r="O30" s="75">
        <f>+N30-M30</f>
        <v>674922.891668075</v>
      </c>
    </row>
    <row r="31" spans="1:18" x14ac:dyDescent="0.25">
      <c r="A31" s="216" t="s">
        <v>21</v>
      </c>
      <c r="B31" s="241" t="str">
        <f t="shared" si="6"/>
        <v>Q4/2012</v>
      </c>
      <c r="C31" s="242">
        <f t="shared" ref="C31:C66" si="11">D30+1</f>
        <v>41183</v>
      </c>
      <c r="D31" s="242">
        <f t="shared" si="7"/>
        <v>41274</v>
      </c>
      <c r="E31" s="241">
        <f t="shared" si="8"/>
        <v>92</v>
      </c>
      <c r="F31" s="74">
        <f>VLOOKUP(D31,'FERC Interest Rate'!$A:$B,2,TRUE)</f>
        <v>3.2500000000000001E-2</v>
      </c>
      <c r="G31" s="75">
        <f>O30</f>
        <v>674922.891668075</v>
      </c>
      <c r="H31" s="75">
        <f t="shared" ref="H31:H53" si="12">G31*F31*(E31/(DATE(YEAR(D31),12,31)-DATE(YEAR(D31),1,1)+1))</f>
        <v>5513.7143335725259</v>
      </c>
      <c r="I31" s="99">
        <v>0</v>
      </c>
      <c r="J31" s="57">
        <v>0</v>
      </c>
      <c r="K31" s="243">
        <f t="shared" si="9"/>
        <v>0</v>
      </c>
      <c r="L31" s="57">
        <v>0</v>
      </c>
      <c r="M31" s="244">
        <v>0</v>
      </c>
      <c r="N31" s="52">
        <f t="shared" si="10"/>
        <v>680436.60600164754</v>
      </c>
      <c r="O31" s="75">
        <f t="shared" ref="O31:O66" si="13">+N31-M31</f>
        <v>680436.60600164754</v>
      </c>
    </row>
    <row r="32" spans="1:18" x14ac:dyDescent="0.25">
      <c r="A32" s="216" t="s">
        <v>21</v>
      </c>
      <c r="B32" s="241" t="str">
        <f t="shared" si="6"/>
        <v>Q1/2013</v>
      </c>
      <c r="C32" s="242">
        <f t="shared" si="11"/>
        <v>41275</v>
      </c>
      <c r="D32" s="242">
        <f t="shared" si="7"/>
        <v>41364</v>
      </c>
      <c r="E32" s="241">
        <f t="shared" si="8"/>
        <v>90</v>
      </c>
      <c r="F32" s="74">
        <f>VLOOKUP(D32,'FERC Interest Rate'!$A:$B,2,TRUE)</f>
        <v>3.2500000000000001E-2</v>
      </c>
      <c r="G32" s="75">
        <f>O31</f>
        <v>680436.60600164754</v>
      </c>
      <c r="H32" s="75">
        <f t="shared" si="12"/>
        <v>5452.8138974104631</v>
      </c>
      <c r="I32" s="99">
        <v>0</v>
      </c>
      <c r="J32" s="57">
        <v>0</v>
      </c>
      <c r="K32" s="243">
        <f t="shared" si="9"/>
        <v>0</v>
      </c>
      <c r="L32" s="57">
        <v>0</v>
      </c>
      <c r="M32" s="244">
        <v>0</v>
      </c>
      <c r="N32" s="52">
        <f t="shared" si="10"/>
        <v>685889.41989905795</v>
      </c>
      <c r="O32" s="75">
        <f t="shared" si="13"/>
        <v>685889.41989905795</v>
      </c>
    </row>
    <row r="33" spans="1:15" x14ac:dyDescent="0.25">
      <c r="A33" s="216" t="s">
        <v>21</v>
      </c>
      <c r="B33" s="241" t="str">
        <f t="shared" si="6"/>
        <v>Q2/2013</v>
      </c>
      <c r="C33" s="242">
        <f t="shared" si="11"/>
        <v>41365</v>
      </c>
      <c r="D33" s="242">
        <f t="shared" si="7"/>
        <v>41455</v>
      </c>
      <c r="E33" s="241">
        <f t="shared" si="8"/>
        <v>91</v>
      </c>
      <c r="F33" s="74">
        <f>VLOOKUP(D33,'FERC Interest Rate'!$A:$B,2,TRUE)</f>
        <v>3.2500000000000001E-2</v>
      </c>
      <c r="G33" s="75">
        <f>O32</f>
        <v>685889.41989905795</v>
      </c>
      <c r="H33" s="75">
        <f t="shared" si="12"/>
        <v>5557.5834502779835</v>
      </c>
      <c r="I33" s="99">
        <v>0</v>
      </c>
      <c r="J33" s="57">
        <v>0</v>
      </c>
      <c r="K33" s="243">
        <f t="shared" si="9"/>
        <v>0</v>
      </c>
      <c r="L33" s="57">
        <v>0</v>
      </c>
      <c r="M33" s="244">
        <v>0</v>
      </c>
      <c r="N33" s="52">
        <f t="shared" si="10"/>
        <v>691447.00334933598</v>
      </c>
      <c r="O33" s="75">
        <f t="shared" si="13"/>
        <v>691447.00334933598</v>
      </c>
    </row>
    <row r="34" spans="1:15" x14ac:dyDescent="0.25">
      <c r="A34" s="216" t="s">
        <v>21</v>
      </c>
      <c r="B34" s="241" t="str">
        <f t="shared" si="6"/>
        <v>Q3/2013</v>
      </c>
      <c r="C34" s="242">
        <f t="shared" si="11"/>
        <v>41456</v>
      </c>
      <c r="D34" s="242">
        <f t="shared" si="7"/>
        <v>41547</v>
      </c>
      <c r="E34" s="241">
        <f t="shared" si="8"/>
        <v>92</v>
      </c>
      <c r="F34" s="74">
        <f>VLOOKUP(D34,'FERC Interest Rate'!$A:$B,2,TRUE)</f>
        <v>3.2500000000000001E-2</v>
      </c>
      <c r="G34" s="75">
        <f>O33</f>
        <v>691447.00334933598</v>
      </c>
      <c r="H34" s="75">
        <f t="shared" si="12"/>
        <v>5664.182301409629</v>
      </c>
      <c r="I34" s="99">
        <v>0</v>
      </c>
      <c r="J34" s="57">
        <v>0</v>
      </c>
      <c r="K34" s="243">
        <f t="shared" si="9"/>
        <v>0</v>
      </c>
      <c r="L34" s="57">
        <v>0</v>
      </c>
      <c r="M34" s="244">
        <v>0</v>
      </c>
      <c r="N34" s="52">
        <f t="shared" si="10"/>
        <v>697111.18565074564</v>
      </c>
      <c r="O34" s="75">
        <f t="shared" si="13"/>
        <v>697111.18565074564</v>
      </c>
    </row>
    <row r="35" spans="1:15" x14ac:dyDescent="0.25">
      <c r="A35" s="216" t="s">
        <v>21</v>
      </c>
      <c r="B35" s="241" t="str">
        <f t="shared" si="6"/>
        <v>Q4/2013</v>
      </c>
      <c r="C35" s="242">
        <f t="shared" si="11"/>
        <v>41548</v>
      </c>
      <c r="D35" s="242">
        <f t="shared" si="7"/>
        <v>41639</v>
      </c>
      <c r="E35" s="241">
        <f t="shared" si="8"/>
        <v>92</v>
      </c>
      <c r="F35" s="74">
        <f>VLOOKUP(D35,'FERC Interest Rate'!$A:$B,2,TRUE)</f>
        <v>3.2500000000000001E-2</v>
      </c>
      <c r="G35" s="75">
        <f t="shared" ref="G35:G66" si="14">O34</f>
        <v>697111.18565074564</v>
      </c>
      <c r="H35" s="75">
        <f t="shared" si="12"/>
        <v>5710.5820413581632</v>
      </c>
      <c r="I35" s="99">
        <v>0</v>
      </c>
      <c r="J35" s="57">
        <v>0</v>
      </c>
      <c r="K35" s="243">
        <f t="shared" si="9"/>
        <v>0</v>
      </c>
      <c r="L35" s="57">
        <v>0</v>
      </c>
      <c r="M35" s="244">
        <v>0</v>
      </c>
      <c r="N35" s="52">
        <f t="shared" si="10"/>
        <v>702821.76769210375</v>
      </c>
      <c r="O35" s="75">
        <f t="shared" si="13"/>
        <v>702821.76769210375</v>
      </c>
    </row>
    <row r="36" spans="1:15" x14ac:dyDescent="0.25">
      <c r="A36" s="216" t="s">
        <v>21</v>
      </c>
      <c r="B36" s="241" t="str">
        <f t="shared" si="6"/>
        <v>Q1/2014</v>
      </c>
      <c r="C36" s="242">
        <f t="shared" si="11"/>
        <v>41640</v>
      </c>
      <c r="D36" s="242">
        <f t="shared" si="7"/>
        <v>41729</v>
      </c>
      <c r="E36" s="241">
        <f t="shared" si="8"/>
        <v>90</v>
      </c>
      <c r="F36" s="74">
        <f>VLOOKUP(D36,'FERC Interest Rate'!$A:$B,2,TRUE)</f>
        <v>3.2500000000000001E-2</v>
      </c>
      <c r="G36" s="75">
        <f t="shared" si="14"/>
        <v>702821.76769210375</v>
      </c>
      <c r="H36" s="75">
        <f t="shared" si="12"/>
        <v>5632.2018369846674</v>
      </c>
      <c r="I36" s="99">
        <v>0</v>
      </c>
      <c r="J36" s="57">
        <v>0</v>
      </c>
      <c r="K36" s="243">
        <f t="shared" si="9"/>
        <v>0</v>
      </c>
      <c r="L36" s="57">
        <v>0</v>
      </c>
      <c r="M36" s="244">
        <f t="shared" ref="M36:M44" si="15">+SUM(K36:L36)</f>
        <v>0</v>
      </c>
      <c r="N36" s="52">
        <f t="shared" si="10"/>
        <v>708453.96952908847</v>
      </c>
      <c r="O36" s="75">
        <f t="shared" si="13"/>
        <v>708453.96952908847</v>
      </c>
    </row>
    <row r="37" spans="1:15" x14ac:dyDescent="0.25">
      <c r="A37" s="216" t="s">
        <v>21</v>
      </c>
      <c r="B37" s="241" t="str">
        <f t="shared" si="6"/>
        <v>Q2/2014</v>
      </c>
      <c r="C37" s="242">
        <f t="shared" si="11"/>
        <v>41730</v>
      </c>
      <c r="D37" s="242">
        <f t="shared" si="7"/>
        <v>41820</v>
      </c>
      <c r="E37" s="241">
        <f t="shared" si="8"/>
        <v>91</v>
      </c>
      <c r="F37" s="74">
        <f>VLOOKUP(D37,'FERC Interest Rate'!$A:$B,2,TRUE)</f>
        <v>3.2500000000000001E-2</v>
      </c>
      <c r="G37" s="75">
        <f t="shared" si="14"/>
        <v>708453.96952908847</v>
      </c>
      <c r="H37" s="75">
        <f t="shared" si="12"/>
        <v>5740.4181229651485</v>
      </c>
      <c r="I37" s="99">
        <v>0</v>
      </c>
      <c r="J37" s="57">
        <v>0</v>
      </c>
      <c r="K37" s="243">
        <f t="shared" si="9"/>
        <v>0</v>
      </c>
      <c r="L37" s="57">
        <v>0</v>
      </c>
      <c r="M37" s="244">
        <f t="shared" si="15"/>
        <v>0</v>
      </c>
      <c r="N37" s="52">
        <f t="shared" si="10"/>
        <v>714194.38765205361</v>
      </c>
      <c r="O37" s="75">
        <f t="shared" si="13"/>
        <v>714194.38765205361</v>
      </c>
    </row>
    <row r="38" spans="1:15" x14ac:dyDescent="0.25">
      <c r="A38" s="216" t="s">
        <v>21</v>
      </c>
      <c r="B38" s="241" t="str">
        <f t="shared" si="6"/>
        <v>Q3/2014</v>
      </c>
      <c r="C38" s="242">
        <f t="shared" si="11"/>
        <v>41821</v>
      </c>
      <c r="D38" s="242">
        <f t="shared" si="7"/>
        <v>41912</v>
      </c>
      <c r="E38" s="241">
        <f t="shared" si="8"/>
        <v>92</v>
      </c>
      <c r="F38" s="74">
        <f>VLOOKUP(D38,'FERC Interest Rate'!$A:$B,2,TRUE)</f>
        <v>3.2500000000000001E-2</v>
      </c>
      <c r="G38" s="75">
        <f t="shared" si="14"/>
        <v>714194.38765205361</v>
      </c>
      <c r="H38" s="75">
        <f t="shared" si="12"/>
        <v>5850.523887889427</v>
      </c>
      <c r="I38" s="99">
        <v>0</v>
      </c>
      <c r="J38" s="57">
        <v>0</v>
      </c>
      <c r="K38" s="243">
        <f t="shared" si="9"/>
        <v>0</v>
      </c>
      <c r="L38" s="57">
        <v>0</v>
      </c>
      <c r="M38" s="244">
        <f t="shared" si="15"/>
        <v>0</v>
      </c>
      <c r="N38" s="52">
        <f t="shared" si="10"/>
        <v>720044.91153994307</v>
      </c>
      <c r="O38" s="75">
        <f t="shared" si="13"/>
        <v>720044.91153994307</v>
      </c>
    </row>
    <row r="39" spans="1:15" x14ac:dyDescent="0.25">
      <c r="A39" s="216" t="s">
        <v>21</v>
      </c>
      <c r="B39" s="241" t="str">
        <f t="shared" si="6"/>
        <v>Q4/2014</v>
      </c>
      <c r="C39" s="242">
        <f t="shared" si="11"/>
        <v>41913</v>
      </c>
      <c r="D39" s="242">
        <f t="shared" si="7"/>
        <v>42004</v>
      </c>
      <c r="E39" s="241">
        <f t="shared" si="8"/>
        <v>92</v>
      </c>
      <c r="F39" s="74">
        <f>VLOOKUP(D39,'FERC Interest Rate'!$A:$B,2,TRUE)</f>
        <v>3.2500000000000001E-2</v>
      </c>
      <c r="G39" s="75">
        <f t="shared" si="14"/>
        <v>720044.91153994307</v>
      </c>
      <c r="H39" s="75">
        <f t="shared" si="12"/>
        <v>5898.4500972724118</v>
      </c>
      <c r="I39" s="99">
        <v>0</v>
      </c>
      <c r="J39" s="57">
        <v>0</v>
      </c>
      <c r="K39" s="243">
        <f t="shared" si="9"/>
        <v>0</v>
      </c>
      <c r="L39" s="57">
        <v>0</v>
      </c>
      <c r="M39" s="244">
        <f t="shared" si="15"/>
        <v>0</v>
      </c>
      <c r="N39" s="52">
        <f t="shared" si="10"/>
        <v>725943.36163721548</v>
      </c>
      <c r="O39" s="75">
        <f t="shared" si="13"/>
        <v>725943.36163721548</v>
      </c>
    </row>
    <row r="40" spans="1:15" x14ac:dyDescent="0.25">
      <c r="A40" s="216" t="s">
        <v>21</v>
      </c>
      <c r="B40" s="241" t="str">
        <f t="shared" si="6"/>
        <v>Q1/2015</v>
      </c>
      <c r="C40" s="242">
        <f t="shared" si="11"/>
        <v>42005</v>
      </c>
      <c r="D40" s="242">
        <f t="shared" si="7"/>
        <v>42094</v>
      </c>
      <c r="E40" s="241">
        <f t="shared" si="8"/>
        <v>90</v>
      </c>
      <c r="F40" s="74">
        <f>VLOOKUP(D40,'FERC Interest Rate'!$A:$B,2,TRUE)</f>
        <v>3.2500000000000001E-2</v>
      </c>
      <c r="G40" s="75">
        <f t="shared" si="14"/>
        <v>725943.36163721548</v>
      </c>
      <c r="H40" s="75">
        <f t="shared" si="12"/>
        <v>5817.4913227091929</v>
      </c>
      <c r="I40" s="99">
        <v>0</v>
      </c>
      <c r="J40" s="57">
        <v>0</v>
      </c>
      <c r="K40" s="243">
        <f t="shared" si="9"/>
        <v>0</v>
      </c>
      <c r="L40" s="57">
        <v>0</v>
      </c>
      <c r="M40" s="244">
        <f t="shared" si="15"/>
        <v>0</v>
      </c>
      <c r="N40" s="52">
        <f t="shared" si="10"/>
        <v>731760.85295992473</v>
      </c>
      <c r="O40" s="75">
        <f t="shared" si="13"/>
        <v>731760.85295992473</v>
      </c>
    </row>
    <row r="41" spans="1:15" x14ac:dyDescent="0.25">
      <c r="A41" s="216" t="s">
        <v>21</v>
      </c>
      <c r="B41" s="241" t="str">
        <f t="shared" si="6"/>
        <v>Q2/2015</v>
      </c>
      <c r="C41" s="242">
        <f t="shared" si="11"/>
        <v>42095</v>
      </c>
      <c r="D41" s="242">
        <f t="shared" si="7"/>
        <v>42185</v>
      </c>
      <c r="E41" s="241">
        <f t="shared" si="8"/>
        <v>91</v>
      </c>
      <c r="F41" s="74">
        <f>VLOOKUP(D41,'FERC Interest Rate'!$A:$B,2,TRUE)</f>
        <v>3.2500000000000001E-2</v>
      </c>
      <c r="G41" s="75">
        <f t="shared" si="14"/>
        <v>731760.85295992473</v>
      </c>
      <c r="H41" s="75">
        <f t="shared" si="12"/>
        <v>5929.2677332300755</v>
      </c>
      <c r="I41" s="99">
        <v>0</v>
      </c>
      <c r="J41" s="57">
        <v>0</v>
      </c>
      <c r="K41" s="243">
        <f t="shared" si="9"/>
        <v>0</v>
      </c>
      <c r="L41" s="57">
        <v>0</v>
      </c>
      <c r="M41" s="244">
        <f t="shared" si="15"/>
        <v>0</v>
      </c>
      <c r="N41" s="52">
        <f t="shared" si="10"/>
        <v>737690.12069315475</v>
      </c>
      <c r="O41" s="75">
        <f t="shared" si="13"/>
        <v>737690.12069315475</v>
      </c>
    </row>
    <row r="42" spans="1:15" x14ac:dyDescent="0.25">
      <c r="A42" s="216" t="s">
        <v>21</v>
      </c>
      <c r="B42" s="241" t="str">
        <f t="shared" si="6"/>
        <v>Q3/2015</v>
      </c>
      <c r="C42" s="242">
        <f t="shared" si="11"/>
        <v>42186</v>
      </c>
      <c r="D42" s="242">
        <f t="shared" si="7"/>
        <v>42277</v>
      </c>
      <c r="E42" s="241">
        <f t="shared" si="8"/>
        <v>92</v>
      </c>
      <c r="F42" s="74">
        <f>VLOOKUP(D42,'FERC Interest Rate'!$A:$B,2,TRUE)</f>
        <v>3.2500000000000001E-2</v>
      </c>
      <c r="G42" s="75">
        <f t="shared" si="14"/>
        <v>737690.12069315475</v>
      </c>
      <c r="H42" s="75">
        <f t="shared" si="12"/>
        <v>6042.9957832124192</v>
      </c>
      <c r="I42" s="99">
        <v>0</v>
      </c>
      <c r="J42" s="57">
        <v>0</v>
      </c>
      <c r="K42" s="243">
        <f t="shared" si="9"/>
        <v>0</v>
      </c>
      <c r="L42" s="57">
        <v>0</v>
      </c>
      <c r="M42" s="244">
        <f t="shared" si="15"/>
        <v>0</v>
      </c>
      <c r="N42" s="52">
        <f t="shared" si="10"/>
        <v>743733.11647636711</v>
      </c>
      <c r="O42" s="75">
        <f t="shared" si="13"/>
        <v>743733.11647636711</v>
      </c>
    </row>
    <row r="43" spans="1:15" x14ac:dyDescent="0.25">
      <c r="A43" s="216" t="s">
        <v>21</v>
      </c>
      <c r="B43" s="241" t="str">
        <f t="shared" si="6"/>
        <v>Q4/2015</v>
      </c>
      <c r="C43" s="242">
        <f t="shared" si="11"/>
        <v>42278</v>
      </c>
      <c r="D43" s="242">
        <f t="shared" si="7"/>
        <v>42369</v>
      </c>
      <c r="E43" s="241">
        <f t="shared" si="8"/>
        <v>92</v>
      </c>
      <c r="F43" s="74">
        <f>VLOOKUP(D43,'FERC Interest Rate'!$A:$B,2,TRUE)</f>
        <v>3.2500000000000001E-2</v>
      </c>
      <c r="G43" s="75">
        <f t="shared" si="14"/>
        <v>743733.11647636711</v>
      </c>
      <c r="H43" s="75">
        <f t="shared" si="12"/>
        <v>6092.4986801762689</v>
      </c>
      <c r="I43" s="99">
        <v>0</v>
      </c>
      <c r="J43" s="57">
        <v>0</v>
      </c>
      <c r="K43" s="243">
        <f t="shared" si="9"/>
        <v>0</v>
      </c>
      <c r="L43" s="57">
        <v>0</v>
      </c>
      <c r="M43" s="244">
        <f t="shared" si="15"/>
        <v>0</v>
      </c>
      <c r="N43" s="52">
        <f t="shared" si="10"/>
        <v>749825.61515654332</v>
      </c>
      <c r="O43" s="75">
        <f t="shared" si="13"/>
        <v>749825.61515654332</v>
      </c>
    </row>
    <row r="44" spans="1:15" x14ac:dyDescent="0.25">
      <c r="A44" s="216" t="s">
        <v>21</v>
      </c>
      <c r="B44" s="241" t="str">
        <f t="shared" si="6"/>
        <v>Q1/2016</v>
      </c>
      <c r="C44" s="242">
        <f t="shared" si="11"/>
        <v>42370</v>
      </c>
      <c r="D44" s="242">
        <f t="shared" si="7"/>
        <v>42460</v>
      </c>
      <c r="E44" s="241">
        <f t="shared" si="8"/>
        <v>91</v>
      </c>
      <c r="F44" s="74">
        <f>VLOOKUP(D44,'FERC Interest Rate'!$A:$B,2,TRUE)</f>
        <v>3.2500000000000001E-2</v>
      </c>
      <c r="G44" s="75">
        <f t="shared" si="14"/>
        <v>749825.61515654332</v>
      </c>
      <c r="H44" s="75">
        <f t="shared" si="12"/>
        <v>6059.0416853155111</v>
      </c>
      <c r="I44" s="99">
        <v>0</v>
      </c>
      <c r="J44" s="57">
        <v>0</v>
      </c>
      <c r="K44" s="243">
        <f t="shared" si="9"/>
        <v>0</v>
      </c>
      <c r="L44" s="57">
        <v>0</v>
      </c>
      <c r="M44" s="244">
        <f t="shared" si="15"/>
        <v>0</v>
      </c>
      <c r="N44" s="52">
        <f t="shared" si="10"/>
        <v>755884.65684185887</v>
      </c>
      <c r="O44" s="75">
        <f t="shared" si="13"/>
        <v>755884.65684185887</v>
      </c>
    </row>
    <row r="45" spans="1:15" x14ac:dyDescent="0.25">
      <c r="A45" s="216" t="s">
        <v>21</v>
      </c>
      <c r="B45" s="241" t="str">
        <f t="shared" si="6"/>
        <v>Q2/2016</v>
      </c>
      <c r="C45" s="242">
        <f t="shared" si="11"/>
        <v>42461</v>
      </c>
      <c r="D45" s="242">
        <f t="shared" si="7"/>
        <v>42551</v>
      </c>
      <c r="E45" s="241">
        <f t="shared" si="8"/>
        <v>91</v>
      </c>
      <c r="F45" s="74">
        <f>VLOOKUP(D45,'FERC Interest Rate'!$A:$B,2,TRUE)</f>
        <v>3.4599999999999999E-2</v>
      </c>
      <c r="G45" s="75">
        <f t="shared" si="14"/>
        <v>755884.65684185887</v>
      </c>
      <c r="H45" s="75">
        <f t="shared" si="12"/>
        <v>6502.6733074652366</v>
      </c>
      <c r="I45" s="99">
        <v>0</v>
      </c>
      <c r="J45" s="57">
        <v>0</v>
      </c>
      <c r="K45" s="243">
        <f>+SUM(I45:J45)</f>
        <v>0</v>
      </c>
      <c r="L45" s="57">
        <v>0</v>
      </c>
      <c r="M45" s="244">
        <f t="shared" ref="M45:M54" si="16">+SUM(K45:L45)</f>
        <v>0</v>
      </c>
      <c r="N45" s="52">
        <f t="shared" si="10"/>
        <v>762387.33014932415</v>
      </c>
      <c r="O45" s="75">
        <f t="shared" si="13"/>
        <v>762387.33014932415</v>
      </c>
    </row>
    <row r="46" spans="1:15" x14ac:dyDescent="0.25">
      <c r="A46" s="216" t="s">
        <v>21</v>
      </c>
      <c r="B46" s="241" t="str">
        <f t="shared" si="6"/>
        <v>Q3/2016</v>
      </c>
      <c r="C46" s="242">
        <f t="shared" si="11"/>
        <v>42552</v>
      </c>
      <c r="D46" s="242">
        <f t="shared" si="7"/>
        <v>42643</v>
      </c>
      <c r="E46" s="241">
        <f t="shared" si="8"/>
        <v>92</v>
      </c>
      <c r="F46" s="74">
        <f>VLOOKUP(D46,'FERC Interest Rate'!$A:$B,2,TRUE)</f>
        <v>3.5000000000000003E-2</v>
      </c>
      <c r="G46" s="75">
        <f t="shared" si="14"/>
        <v>762387.33014932415</v>
      </c>
      <c r="H46" s="75">
        <f t="shared" si="12"/>
        <v>6707.3420849202839</v>
      </c>
      <c r="I46" s="99">
        <v>0</v>
      </c>
      <c r="J46" s="57">
        <v>0</v>
      </c>
      <c r="K46" s="243">
        <f>+SUM(I46:J46)</f>
        <v>0</v>
      </c>
      <c r="L46" s="57">
        <v>0</v>
      </c>
      <c r="M46" s="244">
        <f t="shared" si="16"/>
        <v>0</v>
      </c>
      <c r="N46" s="52">
        <f t="shared" si="10"/>
        <v>769094.67223424441</v>
      </c>
      <c r="O46" s="75">
        <f t="shared" si="13"/>
        <v>769094.67223424441</v>
      </c>
    </row>
    <row r="47" spans="1:15" x14ac:dyDescent="0.25">
      <c r="A47" s="48" t="s">
        <v>52</v>
      </c>
      <c r="B47" s="241" t="str">
        <f t="shared" si="6"/>
        <v>Q4/2016</v>
      </c>
      <c r="C47" s="242">
        <f t="shared" si="11"/>
        <v>42644</v>
      </c>
      <c r="D47" s="242">
        <f t="shared" si="7"/>
        <v>42735</v>
      </c>
      <c r="E47" s="241">
        <f t="shared" si="8"/>
        <v>92</v>
      </c>
      <c r="F47" s="74">
        <f>VLOOKUP(D47,'FERC Interest Rate'!$A:$B,2,TRUE)</f>
        <v>3.5000000000000003E-2</v>
      </c>
      <c r="G47" s="75">
        <f t="shared" si="14"/>
        <v>769094.67223424441</v>
      </c>
      <c r="H47" s="75">
        <f t="shared" si="12"/>
        <v>6766.3520344105664</v>
      </c>
      <c r="I47" s="99">
        <v>0</v>
      </c>
      <c r="J47" s="57">
        <v>0</v>
      </c>
      <c r="K47" s="243">
        <f t="shared" ref="K47:K66" si="17">+SUM(I47:J47)</f>
        <v>0</v>
      </c>
      <c r="L47" s="57">
        <v>0</v>
      </c>
      <c r="M47" s="244">
        <f t="shared" si="16"/>
        <v>0</v>
      </c>
      <c r="N47" s="52">
        <f t="shared" si="10"/>
        <v>775861.02426865499</v>
      </c>
      <c r="O47" s="75">
        <f t="shared" si="13"/>
        <v>775861.02426865499</v>
      </c>
    </row>
    <row r="48" spans="1:15" x14ac:dyDescent="0.25">
      <c r="A48" s="48" t="s">
        <v>53</v>
      </c>
      <c r="B48" s="241" t="str">
        <f t="shared" si="6"/>
        <v>Q1/2017</v>
      </c>
      <c r="C48" s="242">
        <f t="shared" si="11"/>
        <v>42736</v>
      </c>
      <c r="D48" s="242">
        <f t="shared" si="7"/>
        <v>42825</v>
      </c>
      <c r="E48" s="241">
        <f t="shared" si="8"/>
        <v>90</v>
      </c>
      <c r="F48" s="74">
        <f>VLOOKUP(D48,'FERC Interest Rate'!$A:$B,2,TRUE)</f>
        <v>3.5000000000000003E-2</v>
      </c>
      <c r="G48" s="75">
        <f t="shared" si="14"/>
        <v>775861.02426865499</v>
      </c>
      <c r="H48" s="75">
        <f t="shared" si="12"/>
        <v>6695.7869217705838</v>
      </c>
      <c r="I48" s="99">
        <v>0</v>
      </c>
      <c r="J48" s="57">
        <v>0</v>
      </c>
      <c r="K48" s="243">
        <f t="shared" si="17"/>
        <v>0</v>
      </c>
      <c r="L48" s="57">
        <v>0</v>
      </c>
      <c r="M48" s="244">
        <f t="shared" si="16"/>
        <v>0</v>
      </c>
      <c r="N48" s="52">
        <f t="shared" si="10"/>
        <v>782556.81119042553</v>
      </c>
      <c r="O48" s="75">
        <f t="shared" si="13"/>
        <v>782556.81119042553</v>
      </c>
    </row>
    <row r="49" spans="1:15" x14ac:dyDescent="0.25">
      <c r="A49" s="48" t="s">
        <v>54</v>
      </c>
      <c r="B49" s="241" t="str">
        <f t="shared" si="6"/>
        <v>Q2/2017</v>
      </c>
      <c r="C49" s="242">
        <f t="shared" si="11"/>
        <v>42826</v>
      </c>
      <c r="D49" s="242">
        <f t="shared" si="7"/>
        <v>42916</v>
      </c>
      <c r="E49" s="241">
        <f t="shared" si="8"/>
        <v>91</v>
      </c>
      <c r="F49" s="74">
        <f>VLOOKUP(D49,'FERC Interest Rate'!$A:$B,2,TRUE)</f>
        <v>3.7100000000000001E-2</v>
      </c>
      <c r="G49" s="75">
        <f t="shared" si="14"/>
        <v>782556.81119042553</v>
      </c>
      <c r="H49" s="75">
        <f t="shared" si="12"/>
        <v>7238.3289048219058</v>
      </c>
      <c r="I49" s="99">
        <v>0</v>
      </c>
      <c r="J49" s="57">
        <v>0</v>
      </c>
      <c r="K49" s="243">
        <f t="shared" si="17"/>
        <v>0</v>
      </c>
      <c r="L49" s="57">
        <v>0</v>
      </c>
      <c r="M49" s="244">
        <f t="shared" si="16"/>
        <v>0</v>
      </c>
      <c r="N49" s="52">
        <f t="shared" si="10"/>
        <v>789795.14009524742</v>
      </c>
      <c r="O49" s="75">
        <f t="shared" si="13"/>
        <v>789795.14009524742</v>
      </c>
    </row>
    <row r="50" spans="1:15" x14ac:dyDescent="0.25">
      <c r="A50" s="48" t="s">
        <v>55</v>
      </c>
      <c r="B50" s="241" t="str">
        <f t="shared" si="6"/>
        <v>Q3/2017</v>
      </c>
      <c r="C50" s="242">
        <f t="shared" si="11"/>
        <v>42917</v>
      </c>
      <c r="D50" s="242">
        <f t="shared" si="7"/>
        <v>43008</v>
      </c>
      <c r="E50" s="241">
        <f t="shared" si="8"/>
        <v>92</v>
      </c>
      <c r="F50" s="74">
        <f>VLOOKUP(D50,'FERC Interest Rate'!$A:$B,2,TRUE)</f>
        <v>3.9600000000000003E-2</v>
      </c>
      <c r="G50" s="75">
        <f t="shared" si="14"/>
        <v>789795.14009524742</v>
      </c>
      <c r="H50" s="75">
        <f t="shared" si="12"/>
        <v>7883.2374093013859</v>
      </c>
      <c r="I50" s="99">
        <v>0</v>
      </c>
      <c r="J50" s="57">
        <v>0</v>
      </c>
      <c r="K50" s="243">
        <f t="shared" si="17"/>
        <v>0</v>
      </c>
      <c r="L50" s="57">
        <v>0</v>
      </c>
      <c r="M50" s="244">
        <f t="shared" si="16"/>
        <v>0</v>
      </c>
      <c r="N50" s="52">
        <f t="shared" si="10"/>
        <v>797678.37750454876</v>
      </c>
      <c r="O50" s="75">
        <f t="shared" si="13"/>
        <v>797678.37750454876</v>
      </c>
    </row>
    <row r="51" spans="1:15" x14ac:dyDescent="0.25">
      <c r="A51" s="48" t="s">
        <v>56</v>
      </c>
      <c r="B51" s="241" t="str">
        <f t="shared" si="6"/>
        <v>Q4/2017</v>
      </c>
      <c r="C51" s="242">
        <f t="shared" si="11"/>
        <v>43009</v>
      </c>
      <c r="D51" s="242">
        <f t="shared" si="7"/>
        <v>43100</v>
      </c>
      <c r="E51" s="241">
        <f t="shared" si="8"/>
        <v>92</v>
      </c>
      <c r="F51" s="74">
        <f>VLOOKUP(D51,'FERC Interest Rate'!$A:$B,2,TRUE)</f>
        <v>4.2099999999999999E-2</v>
      </c>
      <c r="G51" s="75">
        <f t="shared" si="14"/>
        <v>797678.37750454876</v>
      </c>
      <c r="H51" s="75">
        <f t="shared" si="12"/>
        <v>8464.56956644005</v>
      </c>
      <c r="I51" s="99">
        <v>0</v>
      </c>
      <c r="J51" s="57">
        <v>0</v>
      </c>
      <c r="K51" s="243">
        <f t="shared" si="17"/>
        <v>0</v>
      </c>
      <c r="L51" s="57">
        <v>0</v>
      </c>
      <c r="M51" s="244">
        <f t="shared" si="16"/>
        <v>0</v>
      </c>
      <c r="N51" s="52">
        <f t="shared" si="10"/>
        <v>806142.94707098883</v>
      </c>
      <c r="O51" s="75">
        <f t="shared" si="13"/>
        <v>806142.94707098883</v>
      </c>
    </row>
    <row r="52" spans="1:15" x14ac:dyDescent="0.25">
      <c r="A52" s="48" t="s">
        <v>57</v>
      </c>
      <c r="B52" s="241" t="str">
        <f t="shared" si="6"/>
        <v>Q1/2018</v>
      </c>
      <c r="C52" s="242">
        <f t="shared" si="11"/>
        <v>43101</v>
      </c>
      <c r="D52" s="242">
        <f t="shared" si="7"/>
        <v>43190</v>
      </c>
      <c r="E52" s="241">
        <f t="shared" si="8"/>
        <v>90</v>
      </c>
      <c r="F52" s="74">
        <f>VLOOKUP(D52,'FERC Interest Rate'!$A:$B,2,TRUE)</f>
        <v>4.2500000000000003E-2</v>
      </c>
      <c r="G52" s="75">
        <f t="shared" si="14"/>
        <v>806142.94707098883</v>
      </c>
      <c r="H52" s="75">
        <f t="shared" si="12"/>
        <v>8447.9363631411834</v>
      </c>
      <c r="I52" s="99">
        <v>0</v>
      </c>
      <c r="J52" s="57">
        <v>0</v>
      </c>
      <c r="K52" s="243">
        <f t="shared" si="17"/>
        <v>0</v>
      </c>
      <c r="L52" s="57">
        <v>0</v>
      </c>
      <c r="M52" s="244">
        <f t="shared" si="16"/>
        <v>0</v>
      </c>
      <c r="N52" s="52">
        <f t="shared" si="10"/>
        <v>814590.88343413</v>
      </c>
      <c r="O52" s="75">
        <f t="shared" si="13"/>
        <v>814590.88343413</v>
      </c>
    </row>
    <row r="53" spans="1:15" x14ac:dyDescent="0.25">
      <c r="A53" s="48" t="s">
        <v>58</v>
      </c>
      <c r="B53" s="241" t="str">
        <f t="shared" si="6"/>
        <v>Q2/2018</v>
      </c>
      <c r="C53" s="242">
        <f t="shared" si="11"/>
        <v>43191</v>
      </c>
      <c r="D53" s="242">
        <f t="shared" si="7"/>
        <v>43281</v>
      </c>
      <c r="E53" s="241">
        <f t="shared" si="8"/>
        <v>91</v>
      </c>
      <c r="F53" s="74">
        <f>VLOOKUP(D53,'FERC Interest Rate'!$A:$B,2,TRUE)</f>
        <v>4.4699999999999997E-2</v>
      </c>
      <c r="G53" s="75">
        <f t="shared" si="14"/>
        <v>814590.88343413</v>
      </c>
      <c r="H53" s="75">
        <f t="shared" si="12"/>
        <v>9078.1132508082483</v>
      </c>
      <c r="I53" s="99">
        <f>(SUM($H$30:$H$67)/20)*7</f>
        <v>53748.066365501618</v>
      </c>
      <c r="J53" s="57">
        <v>0</v>
      </c>
      <c r="K53" s="243">
        <f t="shared" si="17"/>
        <v>53748.066365501618</v>
      </c>
      <c r="L53" s="57">
        <f>+VLOOKUP($L$28,$A$1:$F$21,3,FALSE)/20*7</f>
        <v>234536.0824742268</v>
      </c>
      <c r="M53" s="244">
        <f t="shared" si="16"/>
        <v>288284.14883972844</v>
      </c>
      <c r="N53" s="52">
        <f t="shared" si="10"/>
        <v>823668.9966849382</v>
      </c>
      <c r="O53" s="75">
        <f t="shared" si="13"/>
        <v>535384.84784520976</v>
      </c>
    </row>
    <row r="54" spans="1:15" x14ac:dyDescent="0.25">
      <c r="A54" s="48" t="s">
        <v>59</v>
      </c>
      <c r="B54" s="241" t="str">
        <f t="shared" si="6"/>
        <v>Q3/2018</v>
      </c>
      <c r="C54" s="242">
        <f t="shared" si="11"/>
        <v>43282</v>
      </c>
      <c r="D54" s="242">
        <f t="shared" si="7"/>
        <v>43373</v>
      </c>
      <c r="E54" s="241">
        <f t="shared" si="8"/>
        <v>92</v>
      </c>
      <c r="F54" s="74">
        <f>VLOOKUP(D54,'FERC Interest Rate'!$A:$B,2,TRUE)</f>
        <v>4.6899999999999997E-2</v>
      </c>
      <c r="G54" s="75">
        <f t="shared" si="14"/>
        <v>535384.84784520976</v>
      </c>
      <c r="H54" s="75">
        <v>0</v>
      </c>
      <c r="I54" s="99">
        <f t="shared" ref="I54:I66" si="18">(SUM($H$30:$H$67)/20)</f>
        <v>7678.2951950716597</v>
      </c>
      <c r="J54" s="57">
        <f t="shared" ref="J54:J66" si="19">G54*F54*(E54/(DATE(YEAR(D54),12,31)-DATE(YEAR(D54),1,1)+1))</f>
        <v>6328.9823054315375</v>
      </c>
      <c r="K54" s="243">
        <f t="shared" si="17"/>
        <v>14007.277500503198</v>
      </c>
      <c r="L54" s="57">
        <f t="shared" ref="L54:L66" si="20">+VLOOKUP($L$28,$A$1:$F$21,3,FALSE)/20</f>
        <v>33505.154639175256</v>
      </c>
      <c r="M54" s="244">
        <f t="shared" si="16"/>
        <v>47512.432139678451</v>
      </c>
      <c r="N54" s="52">
        <f t="shared" si="10"/>
        <v>541713.83015064127</v>
      </c>
      <c r="O54" s="75">
        <f t="shared" si="13"/>
        <v>494201.39801096282</v>
      </c>
    </row>
    <row r="55" spans="1:15" x14ac:dyDescent="0.25">
      <c r="A55" s="48" t="s">
        <v>60</v>
      </c>
      <c r="B55" s="241" t="str">
        <f t="shared" si="6"/>
        <v>Q4/2018</v>
      </c>
      <c r="C55" s="242">
        <f t="shared" si="11"/>
        <v>43374</v>
      </c>
      <c r="D55" s="242">
        <f t="shared" si="7"/>
        <v>43465</v>
      </c>
      <c r="E55" s="241">
        <f t="shared" si="8"/>
        <v>92</v>
      </c>
      <c r="F55" s="74">
        <f>VLOOKUP(D55,'FERC Interest Rate'!$A:$B,2,TRUE)</f>
        <v>4.9599999999999998E-2</v>
      </c>
      <c r="G55" s="75">
        <f t="shared" si="14"/>
        <v>494201.39801096282</v>
      </c>
      <c r="H55" s="75">
        <v>0</v>
      </c>
      <c r="I55" s="99">
        <f t="shared" si="18"/>
        <v>7678.2951950716597</v>
      </c>
      <c r="J55" s="57">
        <f t="shared" si="19"/>
        <v>6178.4652586400698</v>
      </c>
      <c r="K55" s="243">
        <f t="shared" si="17"/>
        <v>13856.760453711729</v>
      </c>
      <c r="L55" s="57">
        <f t="shared" si="20"/>
        <v>33505.154639175256</v>
      </c>
      <c r="M55" s="244">
        <f t="shared" ref="M55:M66" si="21">+SUM(K55:L55)</f>
        <v>47361.915092886986</v>
      </c>
      <c r="N55" s="52">
        <f t="shared" si="10"/>
        <v>500379.86326960288</v>
      </c>
      <c r="O55" s="75">
        <f t="shared" si="13"/>
        <v>453017.94817671587</v>
      </c>
    </row>
    <row r="56" spans="1:15" x14ac:dyDescent="0.25">
      <c r="A56" s="48" t="s">
        <v>61</v>
      </c>
      <c r="B56" s="241" t="str">
        <f t="shared" si="6"/>
        <v>Q1/2019</v>
      </c>
      <c r="C56" s="242">
        <f t="shared" si="11"/>
        <v>43466</v>
      </c>
      <c r="D56" s="242">
        <f t="shared" si="7"/>
        <v>43555</v>
      </c>
      <c r="E56" s="241">
        <f t="shared" si="8"/>
        <v>90</v>
      </c>
      <c r="F56" s="74">
        <f>VLOOKUP(D56,'FERC Interest Rate'!$A:$B,2,TRUE)</f>
        <v>5.1799999999999999E-2</v>
      </c>
      <c r="G56" s="75">
        <f t="shared" si="14"/>
        <v>453017.94817671587</v>
      </c>
      <c r="H56" s="75">
        <v>0</v>
      </c>
      <c r="I56" s="99">
        <f t="shared" si="18"/>
        <v>7678.2951950716597</v>
      </c>
      <c r="J56" s="57">
        <f t="shared" si="19"/>
        <v>5786.2182860269841</v>
      </c>
      <c r="K56" s="243">
        <f t="shared" si="17"/>
        <v>13464.513481098644</v>
      </c>
      <c r="L56" s="57">
        <f t="shared" si="20"/>
        <v>33505.154639175256</v>
      </c>
      <c r="M56" s="244">
        <f t="shared" si="21"/>
        <v>46969.668120273898</v>
      </c>
      <c r="N56" s="52">
        <f t="shared" si="10"/>
        <v>458804.16646274284</v>
      </c>
      <c r="O56" s="75">
        <f t="shared" si="13"/>
        <v>411834.49834246893</v>
      </c>
    </row>
    <row r="57" spans="1:15" x14ac:dyDescent="0.25">
      <c r="A57" s="48" t="s">
        <v>62</v>
      </c>
      <c r="B57" s="241" t="str">
        <f t="shared" si="6"/>
        <v>Q2/2019</v>
      </c>
      <c r="C57" s="242">
        <f t="shared" si="11"/>
        <v>43556</v>
      </c>
      <c r="D57" s="242">
        <f t="shared" si="7"/>
        <v>43646</v>
      </c>
      <c r="E57" s="241">
        <f t="shared" si="8"/>
        <v>91</v>
      </c>
      <c r="F57" s="74">
        <f>VLOOKUP(D57,'FERC Interest Rate'!$A:$B,2,TRUE)</f>
        <v>5.45E-2</v>
      </c>
      <c r="G57" s="75">
        <f t="shared" si="14"/>
        <v>411834.49834246893</v>
      </c>
      <c r="H57" s="75">
        <v>0</v>
      </c>
      <c r="I57" s="99">
        <f t="shared" si="18"/>
        <v>7678.2951950716597</v>
      </c>
      <c r="J57" s="57">
        <f t="shared" si="19"/>
        <v>5595.8717658341766</v>
      </c>
      <c r="K57" s="243">
        <f t="shared" si="17"/>
        <v>13274.166960905837</v>
      </c>
      <c r="L57" s="57">
        <f t="shared" si="20"/>
        <v>33505.154639175256</v>
      </c>
      <c r="M57" s="244">
        <f t="shared" si="21"/>
        <v>46779.321600081093</v>
      </c>
      <c r="N57" s="52">
        <f t="shared" si="10"/>
        <v>417430.37010830309</v>
      </c>
      <c r="O57" s="75">
        <f t="shared" si="13"/>
        <v>370651.04850822198</v>
      </c>
    </row>
    <row r="58" spans="1:15" x14ac:dyDescent="0.25">
      <c r="A58" s="48" t="s">
        <v>63</v>
      </c>
      <c r="B58" s="241" t="str">
        <f t="shared" si="6"/>
        <v>Q3/2019</v>
      </c>
      <c r="C58" s="242">
        <f t="shared" si="11"/>
        <v>43647</v>
      </c>
      <c r="D58" s="242">
        <f t="shared" si="7"/>
        <v>43738</v>
      </c>
      <c r="E58" s="241">
        <f t="shared" si="8"/>
        <v>92</v>
      </c>
      <c r="F58" s="74">
        <f>VLOOKUP(D58,'FERC Interest Rate'!$A:$B,2,TRUE)</f>
        <v>5.5E-2</v>
      </c>
      <c r="G58" s="75">
        <f t="shared" si="14"/>
        <v>370651.04850822198</v>
      </c>
      <c r="H58" s="75">
        <v>0</v>
      </c>
      <c r="I58" s="99">
        <f t="shared" si="18"/>
        <v>7678.2951950716597</v>
      </c>
      <c r="J58" s="57">
        <f t="shared" si="19"/>
        <v>5138.3405628811051</v>
      </c>
      <c r="K58" s="243">
        <f t="shared" si="17"/>
        <v>12816.635757952765</v>
      </c>
      <c r="L58" s="57">
        <f t="shared" si="20"/>
        <v>33505.154639175256</v>
      </c>
      <c r="M58" s="244">
        <f t="shared" si="21"/>
        <v>46321.790397128018</v>
      </c>
      <c r="N58" s="52">
        <f t="shared" si="10"/>
        <v>375789.38907110307</v>
      </c>
      <c r="O58" s="75">
        <f t="shared" si="13"/>
        <v>329467.59867397504</v>
      </c>
    </row>
    <row r="59" spans="1:15" x14ac:dyDescent="0.25">
      <c r="A59" s="48" t="s">
        <v>64</v>
      </c>
      <c r="B59" s="241" t="str">
        <f t="shared" si="6"/>
        <v>Q4/2019</v>
      </c>
      <c r="C59" s="242">
        <f t="shared" si="11"/>
        <v>43739</v>
      </c>
      <c r="D59" s="242">
        <f t="shared" si="7"/>
        <v>43830</v>
      </c>
      <c r="E59" s="241">
        <f t="shared" si="8"/>
        <v>92</v>
      </c>
      <c r="F59" s="74">
        <f>VLOOKUP(D59,'FERC Interest Rate'!$A:$B,2,TRUE)</f>
        <v>5.4199999999999998E-2</v>
      </c>
      <c r="G59" s="75">
        <f t="shared" si="14"/>
        <v>329467.59867397504</v>
      </c>
      <c r="H59" s="75">
        <v>0</v>
      </c>
      <c r="I59" s="99">
        <f t="shared" si="18"/>
        <v>7678.2951950716597</v>
      </c>
      <c r="J59" s="57">
        <f t="shared" si="19"/>
        <v>4500.9787233641346</v>
      </c>
      <c r="K59" s="243">
        <f t="shared" si="17"/>
        <v>12179.273918435794</v>
      </c>
      <c r="L59" s="57">
        <f t="shared" si="20"/>
        <v>33505.154639175256</v>
      </c>
      <c r="M59" s="244">
        <f t="shared" si="21"/>
        <v>45684.428557611049</v>
      </c>
      <c r="N59" s="52">
        <f t="shared" si="10"/>
        <v>333968.57739733916</v>
      </c>
      <c r="O59" s="75">
        <f t="shared" si="13"/>
        <v>288284.14883972809</v>
      </c>
    </row>
    <row r="60" spans="1:15" x14ac:dyDescent="0.25">
      <c r="A60" s="48" t="s">
        <v>65</v>
      </c>
      <c r="B60" s="241" t="str">
        <f t="shared" si="6"/>
        <v>Q1/2020</v>
      </c>
      <c r="C60" s="242">
        <f t="shared" si="11"/>
        <v>43831</v>
      </c>
      <c r="D60" s="242">
        <f t="shared" si="7"/>
        <v>43921</v>
      </c>
      <c r="E60" s="241">
        <f t="shared" si="8"/>
        <v>91</v>
      </c>
      <c r="F60" s="74">
        <f>VLOOKUP(D60,'FERC Interest Rate'!$A:$B,2,TRUE)</f>
        <v>4.9599999999999998E-2</v>
      </c>
      <c r="G60" s="75">
        <f t="shared" si="14"/>
        <v>288284.14883972809</v>
      </c>
      <c r="H60" s="75">
        <v>0</v>
      </c>
      <c r="I60" s="99">
        <f t="shared" si="18"/>
        <v>7678.2951950716597</v>
      </c>
      <c r="J60" s="57">
        <f t="shared" si="19"/>
        <v>3555.1894377131057</v>
      </c>
      <c r="K60" s="243">
        <f t="shared" si="17"/>
        <v>11233.484632784766</v>
      </c>
      <c r="L60" s="57">
        <f t="shared" si="20"/>
        <v>33505.154639175256</v>
      </c>
      <c r="M60" s="244">
        <f t="shared" si="21"/>
        <v>44738.639271960026</v>
      </c>
      <c r="N60" s="52">
        <f t="shared" si="10"/>
        <v>291839.33827744122</v>
      </c>
      <c r="O60" s="75">
        <f t="shared" si="13"/>
        <v>247100.6990054812</v>
      </c>
    </row>
    <row r="61" spans="1:15" x14ac:dyDescent="0.25">
      <c r="A61" s="48" t="s">
        <v>66</v>
      </c>
      <c r="B61" s="241" t="str">
        <f t="shared" si="6"/>
        <v>Q2/2020</v>
      </c>
      <c r="C61" s="242">
        <f t="shared" si="11"/>
        <v>43922</v>
      </c>
      <c r="D61" s="242">
        <f t="shared" si="7"/>
        <v>44012</v>
      </c>
      <c r="E61" s="241">
        <f t="shared" si="8"/>
        <v>91</v>
      </c>
      <c r="F61" s="74">
        <f>VLOOKUP(D61,'FERC Interest Rate'!$A:$B,2,TRUE)</f>
        <v>4.7503500000000004E-2</v>
      </c>
      <c r="G61" s="75">
        <f t="shared" si="14"/>
        <v>247100.6990054812</v>
      </c>
      <c r="H61" s="75">
        <v>0</v>
      </c>
      <c r="I61" s="99">
        <f t="shared" si="18"/>
        <v>7678.2951950716597</v>
      </c>
      <c r="J61" s="57">
        <f t="shared" si="19"/>
        <v>2918.5012924148245</v>
      </c>
      <c r="K61" s="243">
        <f t="shared" si="17"/>
        <v>10596.796487486485</v>
      </c>
      <c r="L61" s="57">
        <f t="shared" si="20"/>
        <v>33505.154639175256</v>
      </c>
      <c r="M61" s="244">
        <f t="shared" si="21"/>
        <v>44101.951126661741</v>
      </c>
      <c r="N61" s="52">
        <f t="shared" si="10"/>
        <v>250019.20029789602</v>
      </c>
      <c r="O61" s="75">
        <f t="shared" si="13"/>
        <v>205917.24917123429</v>
      </c>
    </row>
    <row r="62" spans="1:15" x14ac:dyDescent="0.25">
      <c r="A62" s="48" t="s">
        <v>67</v>
      </c>
      <c r="B62" s="241" t="str">
        <f t="shared" si="6"/>
        <v>Q3/2020</v>
      </c>
      <c r="C62" s="242">
        <f t="shared" si="11"/>
        <v>44013</v>
      </c>
      <c r="D62" s="242">
        <f t="shared" si="7"/>
        <v>44104</v>
      </c>
      <c r="E62" s="241">
        <f t="shared" si="8"/>
        <v>92</v>
      </c>
      <c r="F62" s="74">
        <f>VLOOKUP(D62,'FERC Interest Rate'!$A:$B,2,TRUE)</f>
        <v>4.7507929999999997E-2</v>
      </c>
      <c r="G62" s="75">
        <f t="shared" si="14"/>
        <v>205917.24917123429</v>
      </c>
      <c r="H62" s="75">
        <v>0</v>
      </c>
      <c r="I62" s="99">
        <f t="shared" si="18"/>
        <v>7678.2951950716597</v>
      </c>
      <c r="J62" s="57">
        <f t="shared" si="19"/>
        <v>2459.039912203823</v>
      </c>
      <c r="K62" s="243">
        <f t="shared" si="17"/>
        <v>10137.335107275483</v>
      </c>
      <c r="L62" s="57">
        <f t="shared" si="20"/>
        <v>33505.154639175256</v>
      </c>
      <c r="M62" s="244">
        <f t="shared" si="21"/>
        <v>43642.489746450738</v>
      </c>
      <c r="N62" s="52">
        <f t="shared" si="10"/>
        <v>208376.28908343811</v>
      </c>
      <c r="O62" s="75">
        <f t="shared" si="13"/>
        <v>164733.79933698737</v>
      </c>
    </row>
    <row r="63" spans="1:15" x14ac:dyDescent="0.25">
      <c r="A63" s="48" t="s">
        <v>68</v>
      </c>
      <c r="B63" s="241" t="str">
        <f t="shared" si="6"/>
        <v>Q4/2020</v>
      </c>
      <c r="C63" s="242">
        <f t="shared" si="11"/>
        <v>44105</v>
      </c>
      <c r="D63" s="242">
        <f t="shared" si="7"/>
        <v>44196</v>
      </c>
      <c r="E63" s="241">
        <f t="shared" si="8"/>
        <v>92</v>
      </c>
      <c r="F63" s="74">
        <f>VLOOKUP(D63,'FERC Interest Rate'!$A:$B,2,TRUE)</f>
        <v>4.7922320000000004E-2</v>
      </c>
      <c r="G63" s="75">
        <f t="shared" si="14"/>
        <v>164733.79933698737</v>
      </c>
      <c r="H63" s="75">
        <v>0</v>
      </c>
      <c r="I63" s="99">
        <f t="shared" si="18"/>
        <v>7678.2951950716597</v>
      </c>
      <c r="J63" s="57">
        <f t="shared" si="19"/>
        <v>1984.3911964238978</v>
      </c>
      <c r="K63" s="243">
        <f t="shared" si="17"/>
        <v>9662.6863914955575</v>
      </c>
      <c r="L63" s="57">
        <f t="shared" si="20"/>
        <v>33505.154639175256</v>
      </c>
      <c r="M63" s="244">
        <f t="shared" si="21"/>
        <v>43167.84103067081</v>
      </c>
      <c r="N63" s="52">
        <f t="shared" si="10"/>
        <v>166718.19053341128</v>
      </c>
      <c r="O63" s="75">
        <f t="shared" si="13"/>
        <v>123550.34950274047</v>
      </c>
    </row>
    <row r="64" spans="1:15" x14ac:dyDescent="0.25">
      <c r="A64" s="48" t="s">
        <v>69</v>
      </c>
      <c r="B64" s="241" t="str">
        <f t="shared" si="6"/>
        <v>Q1/2021</v>
      </c>
      <c r="C64" s="242">
        <f t="shared" si="11"/>
        <v>44197</v>
      </c>
      <c r="D64" s="242">
        <f t="shared" si="7"/>
        <v>44286</v>
      </c>
      <c r="E64" s="241">
        <f t="shared" si="8"/>
        <v>90</v>
      </c>
      <c r="F64" s="74">
        <f>VLOOKUP(D64,'FERC Interest Rate'!$A:$B,2,TRUE)</f>
        <v>5.0023470000000007E-2</v>
      </c>
      <c r="G64" s="75">
        <f t="shared" si="14"/>
        <v>123550.34950274047</v>
      </c>
      <c r="H64" s="75">
        <v>0</v>
      </c>
      <c r="I64" s="99">
        <f t="shared" si="18"/>
        <v>7678.2951950716597</v>
      </c>
      <c r="J64" s="57">
        <f t="shared" si="19"/>
        <v>1523.9384881248955</v>
      </c>
      <c r="K64" s="243">
        <f t="shared" si="17"/>
        <v>9202.2336831965549</v>
      </c>
      <c r="L64" s="57">
        <f t="shared" si="20"/>
        <v>33505.154639175256</v>
      </c>
      <c r="M64" s="244">
        <f t="shared" si="21"/>
        <v>42707.388322371815</v>
      </c>
      <c r="N64" s="52">
        <f t="shared" si="10"/>
        <v>125074.28799086537</v>
      </c>
      <c r="O64" s="75">
        <f t="shared" si="13"/>
        <v>82366.899668493556</v>
      </c>
    </row>
    <row r="65" spans="1:15" x14ac:dyDescent="0.25">
      <c r="A65" s="48" t="s">
        <v>70</v>
      </c>
      <c r="B65" s="241" t="str">
        <f t="shared" si="6"/>
        <v>Q2/2021</v>
      </c>
      <c r="C65" s="242">
        <f t="shared" si="11"/>
        <v>44287</v>
      </c>
      <c r="D65" s="242">
        <f t="shared" si="7"/>
        <v>44377</v>
      </c>
      <c r="E65" s="241">
        <f t="shared" si="8"/>
        <v>91</v>
      </c>
      <c r="F65" s="74">
        <f>VLOOKUP(D65,'FERC Interest Rate'!$A:$B,2,TRUE)</f>
        <v>5.0403730000000001E-2</v>
      </c>
      <c r="G65" s="75">
        <f t="shared" si="14"/>
        <v>82366.899668493556</v>
      </c>
      <c r="H65" s="75">
        <v>0</v>
      </c>
      <c r="I65" s="99">
        <f t="shared" si="18"/>
        <v>7678.2951950716597</v>
      </c>
      <c r="J65" s="57">
        <f t="shared" si="19"/>
        <v>1035.0561820173516</v>
      </c>
      <c r="K65" s="243">
        <f t="shared" si="17"/>
        <v>8713.3513770890113</v>
      </c>
      <c r="L65" s="57">
        <f t="shared" si="20"/>
        <v>33505.154639175256</v>
      </c>
      <c r="M65" s="244">
        <f t="shared" si="21"/>
        <v>42218.506016264269</v>
      </c>
      <c r="N65" s="52">
        <f t="shared" si="10"/>
        <v>83401.955850510902</v>
      </c>
      <c r="O65" s="75">
        <f t="shared" si="13"/>
        <v>41183.449834246632</v>
      </c>
    </row>
    <row r="66" spans="1:15" x14ac:dyDescent="0.25">
      <c r="A66" s="48" t="s">
        <v>71</v>
      </c>
      <c r="B66" s="241" t="str">
        <f t="shared" si="6"/>
        <v>Q3/2021</v>
      </c>
      <c r="C66" s="242">
        <f t="shared" si="11"/>
        <v>44378</v>
      </c>
      <c r="D66" s="242">
        <f t="shared" si="7"/>
        <v>44469</v>
      </c>
      <c r="E66" s="241">
        <f t="shared" si="8"/>
        <v>92</v>
      </c>
      <c r="F66" s="74">
        <f>VLOOKUP(D66,'FERC Interest Rate'!$A:$B,2,TRUE)</f>
        <v>5.2520850000000001E-2</v>
      </c>
      <c r="G66" s="75">
        <f t="shared" si="14"/>
        <v>41183.449834246632</v>
      </c>
      <c r="H66" s="75">
        <v>0</v>
      </c>
      <c r="I66" s="99">
        <f t="shared" si="18"/>
        <v>7678.2951950716597</v>
      </c>
      <c r="J66" s="57">
        <f t="shared" si="19"/>
        <v>545.1919473777624</v>
      </c>
      <c r="K66" s="243">
        <f t="shared" si="17"/>
        <v>8223.4871424494213</v>
      </c>
      <c r="L66" s="57">
        <f t="shared" si="20"/>
        <v>33505.154639175256</v>
      </c>
      <c r="M66" s="244">
        <f t="shared" si="21"/>
        <v>41728.641781624676</v>
      </c>
      <c r="N66" s="52">
        <f t="shared" si="10"/>
        <v>41728.641781624392</v>
      </c>
      <c r="O66" s="75">
        <f t="shared" si="13"/>
        <v>-2.8376234695315361E-10</v>
      </c>
    </row>
    <row r="67" spans="1:15" x14ac:dyDescent="0.25">
      <c r="B67" s="54"/>
      <c r="C67" s="55"/>
      <c r="D67" s="55"/>
      <c r="E67" s="56"/>
      <c r="F67" s="54"/>
      <c r="G67" s="57"/>
      <c r="H67" s="59"/>
      <c r="I67" s="245"/>
      <c r="J67" s="57"/>
      <c r="K67" s="246"/>
      <c r="L67" s="58"/>
      <c r="M67" s="247"/>
      <c r="O67" s="57"/>
    </row>
    <row r="68" spans="1:15" ht="13.5" thickBot="1" x14ac:dyDescent="0.35">
      <c r="A68" s="218"/>
      <c r="B68" s="248"/>
      <c r="C68" s="249"/>
      <c r="D68" s="249"/>
      <c r="E68" s="250"/>
      <c r="F68" s="248"/>
      <c r="G68" s="251">
        <f t="shared" ref="G68:O68" si="22">+SUM(G30:G67)</f>
        <v>21436064.080394648</v>
      </c>
      <c r="H68" s="251">
        <f t="shared" si="22"/>
        <v>153565.90390143319</v>
      </c>
      <c r="I68" s="252">
        <f t="shared" si="22"/>
        <v>153565.90390143328</v>
      </c>
      <c r="J68" s="251">
        <f t="shared" si="22"/>
        <v>47550.165358453669</v>
      </c>
      <c r="K68" s="251">
        <f t="shared" si="22"/>
        <v>201116.06925988689</v>
      </c>
      <c r="L68" s="251">
        <f t="shared" si="22"/>
        <v>670103.09278350533</v>
      </c>
      <c r="M68" s="253">
        <f t="shared" si="22"/>
        <v>871219.16204339208</v>
      </c>
      <c r="N68" s="251">
        <f t="shared" si="22"/>
        <v>21637180.149654537</v>
      </c>
      <c r="O68" s="251">
        <f t="shared" si="22"/>
        <v>20765960.987611145</v>
      </c>
    </row>
    <row r="69" spans="1:15" ht="13.5" thickTop="1" thickBot="1" x14ac:dyDescent="0.3">
      <c r="H69" s="243"/>
      <c r="I69" s="254"/>
      <c r="J69" s="255"/>
      <c r="K69" s="255"/>
      <c r="L69" s="255"/>
      <c r="M69" s="256"/>
    </row>
  </sheetData>
  <mergeCells count="1">
    <mergeCell ref="J28:K28"/>
  </mergeCells>
  <pageMargins left="0.25" right="0.25" top="0.75" bottom="0.75" header="0.3" footer="0.3"/>
  <pageSetup scale="59" fitToHeight="0" orientation="landscape" r:id="rId1"/>
  <headerFooter alignWithMargins="0">
    <oddHeader>&amp;RTO2021 Annual Update
Attachment 4
WP- Schedule 22 NUCs
Page &amp;P of &amp;N</oddHeader>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54"/>
  <sheetViews>
    <sheetView view="pageLayout" zoomScale="60" zoomScaleNormal="40" zoomScalePageLayoutView="60" workbookViewId="0"/>
  </sheetViews>
  <sheetFormatPr defaultColWidth="9.1796875" defaultRowHeight="12.5" outlineLevelRow="1" x14ac:dyDescent="0.25"/>
  <cols>
    <col min="1" max="1" width="10.26953125" style="47" customWidth="1"/>
    <col min="2" max="2" width="13.54296875" style="47" customWidth="1"/>
    <col min="3" max="3" width="16.26953125" style="47" bestFit="1" customWidth="1"/>
    <col min="4" max="4" width="13.54296875" style="47" customWidth="1"/>
    <col min="5" max="5" width="12.453125" style="47" customWidth="1"/>
    <col min="6" max="6" width="18.7265625" style="47" bestFit="1" customWidth="1"/>
    <col min="7" max="7" width="17" style="47" bestFit="1" customWidth="1"/>
    <col min="8" max="9" width="16.1796875" style="47" customWidth="1"/>
    <col min="10" max="10" width="17.26953125" style="47" bestFit="1" customWidth="1"/>
    <col min="11" max="11" width="16.1796875" style="47" customWidth="1"/>
    <col min="12" max="12" width="17.81640625" style="47" customWidth="1"/>
    <col min="13" max="13" width="16.1796875" style="47" customWidth="1"/>
    <col min="14" max="14" width="17" style="47" bestFit="1" customWidth="1"/>
    <col min="15" max="15" width="17.26953125" style="47" customWidth="1"/>
    <col min="16" max="18" width="16.1796875" style="47" customWidth="1"/>
    <col min="19" max="19" width="16" style="47" customWidth="1"/>
    <col min="20" max="16384" width="9.1796875" style="47"/>
  </cols>
  <sheetData>
    <row r="1" spans="1:13" ht="26" x14ac:dyDescent="0.3">
      <c r="A1" s="211" t="s">
        <v>8</v>
      </c>
      <c r="B1" s="212" t="s">
        <v>86</v>
      </c>
      <c r="C1" s="211" t="s">
        <v>2</v>
      </c>
      <c r="D1" s="211" t="s">
        <v>1</v>
      </c>
      <c r="E1" s="212" t="s">
        <v>72</v>
      </c>
      <c r="F1" s="212" t="s">
        <v>47</v>
      </c>
      <c r="G1"/>
      <c r="H1"/>
      <c r="I1"/>
      <c r="J1"/>
      <c r="K1"/>
      <c r="L1"/>
      <c r="M1"/>
    </row>
    <row r="2" spans="1:13" ht="12.75" customHeight="1" outlineLevel="1" x14ac:dyDescent="0.25">
      <c r="A2" s="216" t="s">
        <v>52</v>
      </c>
      <c r="B2" s="49">
        <v>40869</v>
      </c>
      <c r="C2" s="43">
        <v>91000</v>
      </c>
      <c r="D2" s="43">
        <v>0</v>
      </c>
      <c r="E2" s="43">
        <v>0</v>
      </c>
      <c r="F2" s="7">
        <f>SUM(C2:E2)</f>
        <v>91000</v>
      </c>
      <c r="G2"/>
      <c r="H2"/>
      <c r="I2"/>
      <c r="J2"/>
      <c r="K2"/>
      <c r="L2"/>
      <c r="M2"/>
    </row>
    <row r="3" spans="1:13" ht="12.75" customHeight="1" outlineLevel="1" x14ac:dyDescent="0.25">
      <c r="A3" s="216" t="s">
        <v>53</v>
      </c>
      <c r="B3" s="49">
        <v>40897</v>
      </c>
      <c r="C3" s="43">
        <v>214000</v>
      </c>
      <c r="D3" s="43">
        <v>0</v>
      </c>
      <c r="E3" s="43">
        <v>0</v>
      </c>
      <c r="F3" s="7">
        <f t="shared" ref="F3:F21" si="0">SUM(C3:E3)</f>
        <v>214000</v>
      </c>
      <c r="G3"/>
      <c r="H3"/>
      <c r="I3"/>
      <c r="J3"/>
      <c r="K3"/>
      <c r="L3"/>
      <c r="M3"/>
    </row>
    <row r="4" spans="1:13" outlineLevel="1" collapsed="1" x14ac:dyDescent="0.25">
      <c r="A4" s="216" t="s">
        <v>54</v>
      </c>
      <c r="B4" s="49">
        <v>41002</v>
      </c>
      <c r="C4" s="43">
        <v>265000</v>
      </c>
      <c r="D4" s="43">
        <v>0</v>
      </c>
      <c r="E4" s="43">
        <v>0</v>
      </c>
      <c r="F4" s="7">
        <f t="shared" si="0"/>
        <v>265000</v>
      </c>
      <c r="G4"/>
      <c r="H4"/>
      <c r="I4"/>
      <c r="J4"/>
      <c r="K4"/>
      <c r="L4"/>
      <c r="M4"/>
    </row>
    <row r="5" spans="1:13" outlineLevel="1" x14ac:dyDescent="0.25">
      <c r="A5" s="216" t="s">
        <v>55</v>
      </c>
      <c r="B5" s="49">
        <v>41086</v>
      </c>
      <c r="C5" s="43">
        <v>297000</v>
      </c>
      <c r="D5" s="43">
        <v>0</v>
      </c>
      <c r="E5" s="43">
        <v>0</v>
      </c>
      <c r="F5" s="7">
        <f t="shared" si="0"/>
        <v>297000</v>
      </c>
      <c r="G5"/>
      <c r="H5"/>
      <c r="I5"/>
      <c r="J5"/>
      <c r="K5"/>
      <c r="L5"/>
      <c r="M5"/>
    </row>
    <row r="6" spans="1:13" ht="12.75" customHeight="1" outlineLevel="1" x14ac:dyDescent="0.25">
      <c r="A6" s="216" t="s">
        <v>56</v>
      </c>
      <c r="B6" s="49">
        <v>41166</v>
      </c>
      <c r="C6" s="43">
        <v>741985</v>
      </c>
      <c r="D6" s="43">
        <v>0</v>
      </c>
      <c r="E6" s="43">
        <v>0</v>
      </c>
      <c r="F6" s="7">
        <f t="shared" si="0"/>
        <v>741985</v>
      </c>
      <c r="G6"/>
      <c r="H6"/>
      <c r="I6"/>
      <c r="J6"/>
      <c r="K6"/>
      <c r="L6"/>
      <c r="M6"/>
    </row>
    <row r="7" spans="1:13" outlineLevel="1" x14ac:dyDescent="0.25">
      <c r="A7" s="216" t="s">
        <v>57</v>
      </c>
      <c r="B7" s="49">
        <v>41288</v>
      </c>
      <c r="C7" s="43">
        <v>781673</v>
      </c>
      <c r="D7" s="43">
        <v>0</v>
      </c>
      <c r="E7" s="43">
        <v>0</v>
      </c>
      <c r="F7" s="7">
        <f t="shared" si="0"/>
        <v>781673</v>
      </c>
      <c r="G7"/>
      <c r="H7"/>
      <c r="I7"/>
      <c r="J7"/>
      <c r="K7"/>
      <c r="L7"/>
      <c r="M7"/>
    </row>
    <row r="8" spans="1:13" outlineLevel="1" x14ac:dyDescent="0.25">
      <c r="A8" s="216" t="s">
        <v>58</v>
      </c>
      <c r="B8" s="49">
        <v>41387</v>
      </c>
      <c r="C8" s="43">
        <v>819534</v>
      </c>
      <c r="D8" s="43">
        <v>0</v>
      </c>
      <c r="E8" s="43">
        <v>0</v>
      </c>
      <c r="F8" s="7">
        <f t="shared" si="0"/>
        <v>819534</v>
      </c>
      <c r="G8"/>
      <c r="H8"/>
      <c r="I8"/>
      <c r="J8"/>
      <c r="K8"/>
      <c r="L8"/>
      <c r="M8"/>
    </row>
    <row r="9" spans="1:13" outlineLevel="1" x14ac:dyDescent="0.25">
      <c r="A9" s="216" t="s">
        <v>59</v>
      </c>
      <c r="B9" s="49">
        <v>41506</v>
      </c>
      <c r="C9" s="43">
        <v>788835</v>
      </c>
      <c r="D9" s="43">
        <v>0</v>
      </c>
      <c r="E9" s="43">
        <v>0</v>
      </c>
      <c r="F9" s="7">
        <f t="shared" si="0"/>
        <v>788835</v>
      </c>
      <c r="G9"/>
      <c r="H9"/>
      <c r="I9"/>
      <c r="J9"/>
      <c r="K9"/>
      <c r="L9"/>
      <c r="M9"/>
    </row>
    <row r="10" spans="1:13" outlineLevel="1" x14ac:dyDescent="0.25">
      <c r="A10" s="216" t="s">
        <v>60</v>
      </c>
      <c r="B10" s="49">
        <v>41540</v>
      </c>
      <c r="C10" s="43">
        <v>983920</v>
      </c>
      <c r="D10" s="43">
        <v>0</v>
      </c>
      <c r="E10" s="43">
        <v>0</v>
      </c>
      <c r="F10" s="7">
        <f t="shared" si="0"/>
        <v>983920</v>
      </c>
      <c r="G10"/>
      <c r="H10"/>
      <c r="I10"/>
      <c r="J10"/>
      <c r="K10"/>
      <c r="L10"/>
      <c r="M10"/>
    </row>
    <row r="11" spans="1:13" outlineLevel="1" x14ac:dyDescent="0.25">
      <c r="A11" s="216" t="s">
        <v>61</v>
      </c>
      <c r="B11" s="49">
        <v>41652</v>
      </c>
      <c r="C11" s="43">
        <v>2233611</v>
      </c>
      <c r="D11" s="43">
        <v>0</v>
      </c>
      <c r="E11" s="43">
        <v>0</v>
      </c>
      <c r="F11" s="7">
        <f t="shared" si="0"/>
        <v>2233611</v>
      </c>
      <c r="G11"/>
      <c r="H11"/>
      <c r="I11"/>
      <c r="J11"/>
      <c r="K11"/>
      <c r="L11"/>
      <c r="M11"/>
    </row>
    <row r="12" spans="1:13" outlineLevel="1" collapsed="1" x14ac:dyDescent="0.25">
      <c r="A12" s="216" t="s">
        <v>62</v>
      </c>
      <c r="B12" s="49">
        <v>41724</v>
      </c>
      <c r="C12" s="43">
        <v>3766542</v>
      </c>
      <c r="D12" s="43">
        <v>0</v>
      </c>
      <c r="E12" s="43">
        <v>0</v>
      </c>
      <c r="F12" s="7">
        <f t="shared" si="0"/>
        <v>3766542</v>
      </c>
      <c r="G12"/>
      <c r="H12"/>
      <c r="I12"/>
      <c r="J12"/>
      <c r="K12"/>
      <c r="L12"/>
      <c r="M12"/>
    </row>
    <row r="13" spans="1:13" outlineLevel="1" x14ac:dyDescent="0.25">
      <c r="A13" s="216" t="s">
        <v>63</v>
      </c>
      <c r="B13" s="49">
        <v>41800</v>
      </c>
      <c r="C13" s="43">
        <v>8973966</v>
      </c>
      <c r="D13" s="43">
        <v>0</v>
      </c>
      <c r="E13" s="43">
        <v>0</v>
      </c>
      <c r="F13" s="7">
        <f t="shared" si="0"/>
        <v>8973966</v>
      </c>
      <c r="G13"/>
      <c r="H13"/>
      <c r="I13"/>
      <c r="J13"/>
      <c r="K13"/>
      <c r="L13"/>
      <c r="M13"/>
    </row>
    <row r="14" spans="1:13" outlineLevel="1" x14ac:dyDescent="0.25">
      <c r="A14" s="216" t="s">
        <v>64</v>
      </c>
      <c r="B14" s="49">
        <v>41912</v>
      </c>
      <c r="C14" s="43">
        <v>18500660</v>
      </c>
      <c r="D14" s="43">
        <v>0</v>
      </c>
      <c r="E14" s="43">
        <v>0</v>
      </c>
      <c r="F14" s="7">
        <f t="shared" si="0"/>
        <v>18500660</v>
      </c>
      <c r="G14"/>
      <c r="H14"/>
      <c r="I14"/>
      <c r="J14"/>
      <c r="K14"/>
      <c r="L14"/>
      <c r="M14"/>
    </row>
    <row r="15" spans="1:13" outlineLevel="1" x14ac:dyDescent="0.25">
      <c r="A15" s="216" t="s">
        <v>65</v>
      </c>
      <c r="B15" s="49">
        <v>41992</v>
      </c>
      <c r="C15" s="43">
        <v>9211791</v>
      </c>
      <c r="D15" s="43">
        <v>0</v>
      </c>
      <c r="E15" s="43">
        <v>0</v>
      </c>
      <c r="F15" s="7">
        <f t="shared" si="0"/>
        <v>9211791</v>
      </c>
      <c r="G15"/>
      <c r="H15"/>
      <c r="I15"/>
      <c r="J15"/>
      <c r="K15"/>
      <c r="L15"/>
      <c r="M15"/>
    </row>
    <row r="16" spans="1:13" outlineLevel="1" x14ac:dyDescent="0.25">
      <c r="A16" s="216" t="s">
        <v>66</v>
      </c>
      <c r="B16" s="49">
        <v>42093</v>
      </c>
      <c r="C16" s="43">
        <v>11141790</v>
      </c>
      <c r="D16" s="43">
        <v>0</v>
      </c>
      <c r="E16" s="43">
        <v>0</v>
      </c>
      <c r="F16" s="7">
        <f t="shared" si="0"/>
        <v>11141790</v>
      </c>
      <c r="G16"/>
      <c r="H16"/>
      <c r="I16"/>
      <c r="J16"/>
      <c r="K16"/>
      <c r="L16"/>
      <c r="M16"/>
    </row>
    <row r="17" spans="1:18" outlineLevel="1" x14ac:dyDescent="0.25">
      <c r="A17" s="216" t="s">
        <v>67</v>
      </c>
      <c r="B17" s="49">
        <v>42233</v>
      </c>
      <c r="C17" s="43">
        <v>4526487</v>
      </c>
      <c r="D17" s="43">
        <v>0</v>
      </c>
      <c r="E17" s="43">
        <v>0</v>
      </c>
      <c r="F17" s="7">
        <f t="shared" si="0"/>
        <v>4526487</v>
      </c>
      <c r="G17"/>
      <c r="H17"/>
      <c r="I17"/>
      <c r="J17"/>
      <c r="K17"/>
      <c r="L17"/>
      <c r="M17"/>
    </row>
    <row r="18" spans="1:18" outlineLevel="1" x14ac:dyDescent="0.25">
      <c r="A18" s="216" t="s">
        <v>68</v>
      </c>
      <c r="B18" s="49">
        <v>42341</v>
      </c>
      <c r="C18" s="43">
        <v>-10794</v>
      </c>
      <c r="D18" s="43">
        <v>0</v>
      </c>
      <c r="E18" s="43">
        <v>0</v>
      </c>
      <c r="F18" s="7">
        <f t="shared" si="0"/>
        <v>-10794</v>
      </c>
      <c r="G18"/>
      <c r="H18"/>
      <c r="I18"/>
      <c r="J18"/>
      <c r="K18"/>
      <c r="L18"/>
      <c r="M18"/>
    </row>
    <row r="19" spans="1:18" outlineLevel="1" x14ac:dyDescent="0.25">
      <c r="A19" s="216" t="s">
        <v>69</v>
      </c>
      <c r="B19" s="50" t="s">
        <v>21</v>
      </c>
      <c r="C19" s="43">
        <v>0</v>
      </c>
      <c r="D19" s="43">
        <v>0</v>
      </c>
      <c r="E19" s="43">
        <v>0</v>
      </c>
      <c r="F19" s="7">
        <f t="shared" si="0"/>
        <v>0</v>
      </c>
      <c r="G19"/>
      <c r="H19"/>
      <c r="I19"/>
      <c r="J19"/>
      <c r="K19"/>
      <c r="L19"/>
      <c r="M19"/>
    </row>
    <row r="20" spans="1:18" outlineLevel="1" x14ac:dyDescent="0.25">
      <c r="A20" s="216" t="s">
        <v>70</v>
      </c>
      <c r="B20" s="50" t="s">
        <v>21</v>
      </c>
      <c r="C20" s="43">
        <v>0</v>
      </c>
      <c r="D20" s="43">
        <v>0</v>
      </c>
      <c r="E20" s="43">
        <v>0</v>
      </c>
      <c r="F20" s="7">
        <f t="shared" si="0"/>
        <v>0</v>
      </c>
      <c r="G20"/>
      <c r="H20"/>
      <c r="I20"/>
      <c r="J20"/>
      <c r="K20"/>
      <c r="L20"/>
      <c r="M20"/>
    </row>
    <row r="21" spans="1:18" x14ac:dyDescent="0.25">
      <c r="A21" s="216" t="s">
        <v>71</v>
      </c>
      <c r="B21" s="50" t="s">
        <v>21</v>
      </c>
      <c r="C21" s="43">
        <v>0</v>
      </c>
      <c r="D21" s="43">
        <v>0</v>
      </c>
      <c r="E21" s="43">
        <v>0</v>
      </c>
      <c r="F21" s="7">
        <f t="shared" si="0"/>
        <v>0</v>
      </c>
      <c r="G21"/>
      <c r="H21"/>
      <c r="I21"/>
      <c r="J21"/>
      <c r="K21"/>
      <c r="L21"/>
      <c r="M21"/>
    </row>
    <row r="22" spans="1:18" ht="13.5" thickBot="1" x14ac:dyDescent="0.35">
      <c r="B22" s="46" t="s">
        <v>0</v>
      </c>
      <c r="C22" s="217">
        <f>SUM(C2:C21)</f>
        <v>63327000</v>
      </c>
      <c r="D22" s="217">
        <f>SUM(D2:D21)</f>
        <v>0</v>
      </c>
      <c r="E22" s="217">
        <f>SUM(E2:E21)</f>
        <v>0</v>
      </c>
      <c r="F22" s="217">
        <f>SUM(F2:F21)</f>
        <v>63327000</v>
      </c>
      <c r="G22"/>
      <c r="H22"/>
      <c r="I22"/>
      <c r="J22"/>
      <c r="K22"/>
      <c r="L22"/>
      <c r="M22"/>
    </row>
    <row r="23" spans="1:18" ht="13.5" thickTop="1" x14ac:dyDescent="0.3">
      <c r="A23" s="48" t="s">
        <v>18</v>
      </c>
      <c r="B23" s="50" t="s">
        <v>21</v>
      </c>
      <c r="C23" s="52">
        <v>0</v>
      </c>
      <c r="D23" s="52">
        <v>0</v>
      </c>
      <c r="E23" s="52">
        <v>0</v>
      </c>
      <c r="F23" s="52">
        <f>SUM(C23:E23)</f>
        <v>0</v>
      </c>
      <c r="H23" s="219"/>
      <c r="I23" s="220" t="s">
        <v>13</v>
      </c>
      <c r="J23" s="220" t="s">
        <v>12</v>
      </c>
      <c r="K23" s="221" t="s">
        <v>20</v>
      </c>
      <c r="L23" s="222"/>
      <c r="M23" s="223"/>
      <c r="Q23" s="224"/>
    </row>
    <row r="24" spans="1:18" ht="13" x14ac:dyDescent="0.3">
      <c r="A24" s="48" t="s">
        <v>19</v>
      </c>
      <c r="B24" s="50" t="s">
        <v>21</v>
      </c>
      <c r="C24" s="52">
        <v>0</v>
      </c>
      <c r="D24" s="52">
        <v>0</v>
      </c>
      <c r="E24" s="52">
        <v>0</v>
      </c>
      <c r="F24" s="52">
        <f>SUM(C24:E24)</f>
        <v>0</v>
      </c>
      <c r="H24" s="225" t="s">
        <v>10</v>
      </c>
      <c r="I24" s="226">
        <v>42301</v>
      </c>
      <c r="J24" s="227">
        <f>I24</f>
        <v>42301</v>
      </c>
      <c r="K24" s="228"/>
      <c r="L24" s="229"/>
      <c r="M24" s="230"/>
    </row>
    <row r="25" spans="1:18" ht="13.5" thickBot="1" x14ac:dyDescent="0.35">
      <c r="B25" s="46" t="s">
        <v>50</v>
      </c>
      <c r="C25" s="217">
        <f>+SUM(C22:C24)</f>
        <v>63327000</v>
      </c>
      <c r="D25" s="217">
        <f>+SUM(D22:D24)</f>
        <v>0</v>
      </c>
      <c r="E25" s="217">
        <f>+SUM(E22:E24)</f>
        <v>0</v>
      </c>
      <c r="F25" s="217">
        <f>+SUM(F22:F24)</f>
        <v>63327000</v>
      </c>
      <c r="H25" s="231" t="s">
        <v>16</v>
      </c>
      <c r="I25" s="232">
        <v>42602</v>
      </c>
      <c r="J25" s="233">
        <v>42605</v>
      </c>
      <c r="K25" s="234"/>
      <c r="L25" s="235"/>
      <c r="M25" s="236"/>
    </row>
    <row r="26" spans="1:18" ht="14" thickTop="1" thickBot="1" x14ac:dyDescent="0.35">
      <c r="B26" s="46"/>
      <c r="C26" s="51"/>
      <c r="D26" s="51"/>
      <c r="E26" s="51"/>
      <c r="F26" s="51"/>
      <c r="I26" s="52"/>
      <c r="J26" s="52"/>
      <c r="K26" s="52"/>
      <c r="L26" s="52"/>
      <c r="M26" s="52"/>
      <c r="N26" s="52"/>
      <c r="O26" s="52"/>
      <c r="P26" s="52"/>
      <c r="Q26" s="52"/>
      <c r="R26" s="52"/>
    </row>
    <row r="27" spans="1:18" ht="13" x14ac:dyDescent="0.3">
      <c r="B27" s="210"/>
      <c r="C27" s="53"/>
      <c r="D27" s="48"/>
      <c r="I27" s="237"/>
      <c r="J27" s="341" t="s">
        <v>2</v>
      </c>
      <c r="K27" s="341"/>
      <c r="L27" s="238" t="s">
        <v>52</v>
      </c>
      <c r="M27" s="239"/>
    </row>
    <row r="28" spans="1:18" ht="37" x14ac:dyDescent="0.3">
      <c r="A28" s="240" t="s">
        <v>51</v>
      </c>
      <c r="B28" s="240" t="s">
        <v>3</v>
      </c>
      <c r="C28" s="240" t="s">
        <v>4</v>
      </c>
      <c r="D28" s="240" t="s">
        <v>5</v>
      </c>
      <c r="E28" s="240" t="s">
        <v>6</v>
      </c>
      <c r="F28" s="240" t="s">
        <v>7</v>
      </c>
      <c r="G28" s="240" t="s">
        <v>78</v>
      </c>
      <c r="H28" s="240" t="s">
        <v>79</v>
      </c>
      <c r="I28" s="213" t="s">
        <v>80</v>
      </c>
      <c r="J28" s="214" t="s">
        <v>81</v>
      </c>
      <c r="K28" s="214" t="s">
        <v>82</v>
      </c>
      <c r="L28" s="214" t="s">
        <v>83</v>
      </c>
      <c r="M28" s="215" t="s">
        <v>73</v>
      </c>
      <c r="N28" s="240" t="s">
        <v>84</v>
      </c>
      <c r="O28" s="240" t="s">
        <v>85</v>
      </c>
    </row>
    <row r="29" spans="1:18" x14ac:dyDescent="0.25">
      <c r="A29" s="216" t="s">
        <v>21</v>
      </c>
      <c r="B29" s="241" t="str">
        <f t="shared" ref="B29:B51" si="1">+IF(MONTH(C29)&lt;4,"Q1",IF(MONTH(C29)&lt;7,"Q2",IF(MONTH(C29)&lt;10,"Q3","Q4")))&amp;"/"&amp;YEAR(C29)</f>
        <v>Q4/2015</v>
      </c>
      <c r="C29" s="242">
        <f>+J24</f>
        <v>42301</v>
      </c>
      <c r="D29" s="242">
        <f t="shared" ref="D29:D51" si="2">DATE(YEAR(C29),IF(MONTH(C29)&lt;=3,3,IF(MONTH(C29)&lt;=6,6,IF(MONTH(C29)&lt;=9,9,12))),IF(OR(MONTH(C29)&lt;=3,MONTH(C29)&gt;=10),31,30))</f>
        <v>42369</v>
      </c>
      <c r="E29" s="241">
        <f t="shared" ref="E29:E51" si="3">D29-C29+1</f>
        <v>69</v>
      </c>
      <c r="F29" s="74">
        <f>VLOOKUP(D29,'FERC Interest Rate'!$A:$B,2,TRUE)</f>
        <v>3.2500000000000001E-2</v>
      </c>
      <c r="G29" s="75">
        <f>+C25</f>
        <v>63327000</v>
      </c>
      <c r="H29" s="75">
        <f>G29*F29*(E29/(DATE(YEAR(D29),12,31)-DATE(YEAR(D29),1,1)+1))</f>
        <v>389070.67808219179</v>
      </c>
      <c r="I29" s="99">
        <v>0</v>
      </c>
      <c r="J29" s="57">
        <v>0</v>
      </c>
      <c r="K29" s="243">
        <f t="shared" ref="K29:K48" si="4">+SUM(I29:J29)</f>
        <v>0</v>
      </c>
      <c r="L29" s="57">
        <v>0</v>
      </c>
      <c r="M29" s="244">
        <v>0</v>
      </c>
      <c r="N29" s="52">
        <f t="shared" ref="N29:N51" si="5">+G29+H29+J29</f>
        <v>63716070.67808219</v>
      </c>
      <c r="O29" s="75">
        <f>+N29-M29</f>
        <v>63716070.67808219</v>
      </c>
    </row>
    <row r="30" spans="1:18" x14ac:dyDescent="0.25">
      <c r="A30" s="216" t="s">
        <v>21</v>
      </c>
      <c r="B30" s="241" t="str">
        <f t="shared" si="1"/>
        <v>Q1/2016</v>
      </c>
      <c r="C30" s="242">
        <f t="shared" ref="C30:C51" si="6">D29+1</f>
        <v>42370</v>
      </c>
      <c r="D30" s="242">
        <f t="shared" si="2"/>
        <v>42460</v>
      </c>
      <c r="E30" s="241">
        <f t="shared" si="3"/>
        <v>91</v>
      </c>
      <c r="F30" s="74">
        <f>VLOOKUP(D30,'FERC Interest Rate'!$A:$B,2,TRUE)</f>
        <v>3.2500000000000001E-2</v>
      </c>
      <c r="G30" s="75">
        <f>O29</f>
        <v>63716070.67808219</v>
      </c>
      <c r="H30" s="75">
        <f>G30*F30*(E30/(DATE(YEAR(D30),12,31)-DATE(YEAR(D30),1,1)+1))</f>
        <v>514864.15035636089</v>
      </c>
      <c r="I30" s="99">
        <v>0</v>
      </c>
      <c r="J30" s="57">
        <v>0</v>
      </c>
      <c r="K30" s="243">
        <f t="shared" si="4"/>
        <v>0</v>
      </c>
      <c r="L30" s="57">
        <v>0</v>
      </c>
      <c r="M30" s="244">
        <v>0</v>
      </c>
      <c r="N30" s="52">
        <f t="shared" si="5"/>
        <v>64230934.82843855</v>
      </c>
      <c r="O30" s="75">
        <f t="shared" ref="O30:O51" si="7">+N30-M30</f>
        <v>64230934.82843855</v>
      </c>
    </row>
    <row r="31" spans="1:18" x14ac:dyDescent="0.25">
      <c r="A31" s="216" t="s">
        <v>21</v>
      </c>
      <c r="B31" s="241" t="str">
        <f t="shared" si="1"/>
        <v>Q2/2016</v>
      </c>
      <c r="C31" s="242">
        <f t="shared" si="6"/>
        <v>42461</v>
      </c>
      <c r="D31" s="242">
        <f t="shared" si="2"/>
        <v>42551</v>
      </c>
      <c r="E31" s="241">
        <f t="shared" si="3"/>
        <v>91</v>
      </c>
      <c r="F31" s="74">
        <f>VLOOKUP(D31,'FERC Interest Rate'!$A:$B,2,TRUE)</f>
        <v>3.4599999999999999E-2</v>
      </c>
      <c r="G31" s="75">
        <f>O30</f>
        <v>64230934.82843855</v>
      </c>
      <c r="H31" s="75">
        <f>G31*F31*(E31/(DATE(YEAR(D31),12,31)-DATE(YEAR(D31),1,1)+1))</f>
        <v>552561.53388202621</v>
      </c>
      <c r="I31" s="99">
        <v>0</v>
      </c>
      <c r="J31" s="57">
        <v>0</v>
      </c>
      <c r="K31" s="243">
        <f t="shared" si="4"/>
        <v>0</v>
      </c>
      <c r="L31" s="57">
        <v>0</v>
      </c>
      <c r="M31" s="244">
        <v>0</v>
      </c>
      <c r="N31" s="52">
        <f t="shared" si="5"/>
        <v>64783496.36232058</v>
      </c>
      <c r="O31" s="75">
        <f t="shared" si="7"/>
        <v>64783496.36232058</v>
      </c>
    </row>
    <row r="32" spans="1:18" x14ac:dyDescent="0.25">
      <c r="A32" s="48" t="s">
        <v>52</v>
      </c>
      <c r="B32" s="241" t="str">
        <f t="shared" si="1"/>
        <v>Q3/2016</v>
      </c>
      <c r="C32" s="242">
        <f t="shared" si="6"/>
        <v>42552</v>
      </c>
      <c r="D32" s="242">
        <f t="shared" si="2"/>
        <v>42643</v>
      </c>
      <c r="E32" s="241">
        <f t="shared" si="3"/>
        <v>92</v>
      </c>
      <c r="F32" s="74">
        <f>VLOOKUP(D32,'FERC Interest Rate'!$A:$B,2,TRUE)</f>
        <v>3.5000000000000003E-2</v>
      </c>
      <c r="G32" s="75">
        <f>O31</f>
        <v>64783496.36232058</v>
      </c>
      <c r="H32" s="75">
        <f>G32*F32*(E32/(DATE(YEAR(D32),12,31)-DATE(YEAR(D32),1,1)+1))</f>
        <v>569953.1647176838</v>
      </c>
      <c r="I32" s="99">
        <f t="shared" ref="I32:I51" si="8">(SUM($H$29:$H$52)/20)</f>
        <v>101322.47635191314</v>
      </c>
      <c r="J32" s="57">
        <v>0</v>
      </c>
      <c r="K32" s="243">
        <f t="shared" si="4"/>
        <v>101322.47635191314</v>
      </c>
      <c r="L32" s="57">
        <f>+$C$25/20</f>
        <v>3166350</v>
      </c>
      <c r="M32" s="244">
        <f>+SUM(K32:L32)</f>
        <v>3267672.4763519131</v>
      </c>
      <c r="N32" s="52">
        <f t="shared" si="5"/>
        <v>65353449.527038261</v>
      </c>
      <c r="O32" s="75">
        <f t="shared" si="7"/>
        <v>62085777.050686345</v>
      </c>
    </row>
    <row r="33" spans="1:15" x14ac:dyDescent="0.25">
      <c r="A33" s="48" t="s">
        <v>53</v>
      </c>
      <c r="B33" s="241" t="str">
        <f t="shared" si="1"/>
        <v>Q4/2016</v>
      </c>
      <c r="C33" s="242">
        <f t="shared" si="6"/>
        <v>42644</v>
      </c>
      <c r="D33" s="242">
        <f t="shared" si="2"/>
        <v>42735</v>
      </c>
      <c r="E33" s="241">
        <f t="shared" si="3"/>
        <v>92</v>
      </c>
      <c r="F33" s="74">
        <f>VLOOKUP(D33,'FERC Interest Rate'!$A:$B,2,TRUE)</f>
        <v>3.5000000000000003E-2</v>
      </c>
      <c r="G33" s="75">
        <f>O32</f>
        <v>62085777.050686345</v>
      </c>
      <c r="H33" s="75">
        <v>0</v>
      </c>
      <c r="I33" s="99">
        <f t="shared" si="8"/>
        <v>101322.47635191314</v>
      </c>
      <c r="J33" s="57">
        <f t="shared" ref="J33:J48" si="9">G33*F33*(E33/(DATE(YEAR(D33),12,31)-DATE(YEAR(D33),1,1)+1))</f>
        <v>546219.13142953569</v>
      </c>
      <c r="K33" s="243">
        <f t="shared" si="4"/>
        <v>647541.60778144887</v>
      </c>
      <c r="L33" s="57">
        <f t="shared" ref="L33:L51" si="10">+$C$25/20</f>
        <v>3166350</v>
      </c>
      <c r="M33" s="244">
        <f>+SUM(K33:L33)</f>
        <v>3813891.6077814489</v>
      </c>
      <c r="N33" s="52">
        <f t="shared" si="5"/>
        <v>62631996.182115883</v>
      </c>
      <c r="O33" s="75">
        <f t="shared" si="7"/>
        <v>58818104.574334435</v>
      </c>
    </row>
    <row r="34" spans="1:15" x14ac:dyDescent="0.25">
      <c r="A34" s="48" t="s">
        <v>54</v>
      </c>
      <c r="B34" s="241" t="str">
        <f t="shared" si="1"/>
        <v>Q1/2017</v>
      </c>
      <c r="C34" s="242">
        <f t="shared" si="6"/>
        <v>42736</v>
      </c>
      <c r="D34" s="242">
        <f t="shared" si="2"/>
        <v>42825</v>
      </c>
      <c r="E34" s="241">
        <f t="shared" si="3"/>
        <v>90</v>
      </c>
      <c r="F34" s="74">
        <f>VLOOKUP(D34,'FERC Interest Rate'!$A:$B,2,TRUE)</f>
        <v>3.5000000000000003E-2</v>
      </c>
      <c r="G34" s="75">
        <f t="shared" ref="G34:G51" si="11">O33</f>
        <v>58818104.574334435</v>
      </c>
      <c r="H34" s="75">
        <v>0</v>
      </c>
      <c r="I34" s="99">
        <f t="shared" si="8"/>
        <v>101322.47635191314</v>
      </c>
      <c r="J34" s="57">
        <f t="shared" si="9"/>
        <v>507608.29975110543</v>
      </c>
      <c r="K34" s="243">
        <f t="shared" si="4"/>
        <v>608930.77610301855</v>
      </c>
      <c r="L34" s="57">
        <f t="shared" si="10"/>
        <v>3166350</v>
      </c>
      <c r="M34" s="244">
        <f>+SUM(K34:L34)</f>
        <v>3775280.7761030188</v>
      </c>
      <c r="N34" s="52">
        <f t="shared" si="5"/>
        <v>59325712.874085538</v>
      </c>
      <c r="O34" s="75">
        <f t="shared" si="7"/>
        <v>55550432.097982518</v>
      </c>
    </row>
    <row r="35" spans="1:15" x14ac:dyDescent="0.25">
      <c r="A35" s="48" t="s">
        <v>55</v>
      </c>
      <c r="B35" s="241" t="str">
        <f t="shared" si="1"/>
        <v>Q2/2017</v>
      </c>
      <c r="C35" s="242">
        <f t="shared" si="6"/>
        <v>42826</v>
      </c>
      <c r="D35" s="242">
        <f t="shared" si="2"/>
        <v>42916</v>
      </c>
      <c r="E35" s="241">
        <f t="shared" si="3"/>
        <v>91</v>
      </c>
      <c r="F35" s="74">
        <f>VLOOKUP(D35,'FERC Interest Rate'!$A:$B,2,TRUE)</f>
        <v>3.7100000000000001E-2</v>
      </c>
      <c r="G35" s="75">
        <f t="shared" si="11"/>
        <v>55550432.097982518</v>
      </c>
      <c r="H35" s="75">
        <v>0</v>
      </c>
      <c r="I35" s="99">
        <f t="shared" si="8"/>
        <v>101322.47635191314</v>
      </c>
      <c r="J35" s="57">
        <f t="shared" si="9"/>
        <v>513818.66796164052</v>
      </c>
      <c r="K35" s="243">
        <f t="shared" si="4"/>
        <v>615141.1443135537</v>
      </c>
      <c r="L35" s="57">
        <f t="shared" si="10"/>
        <v>3166350</v>
      </c>
      <c r="M35" s="244">
        <f t="shared" ref="M35:M48" si="12">+SUM(K35:L35)</f>
        <v>3781491.1443135538</v>
      </c>
      <c r="N35" s="52">
        <f t="shared" si="5"/>
        <v>56064250.765944161</v>
      </c>
      <c r="O35" s="75">
        <f t="shared" si="7"/>
        <v>52282759.621630609</v>
      </c>
    </row>
    <row r="36" spans="1:15" x14ac:dyDescent="0.25">
      <c r="A36" s="48" t="s">
        <v>56</v>
      </c>
      <c r="B36" s="241" t="str">
        <f t="shared" si="1"/>
        <v>Q3/2017</v>
      </c>
      <c r="C36" s="242">
        <f t="shared" si="6"/>
        <v>42917</v>
      </c>
      <c r="D36" s="242">
        <f t="shared" si="2"/>
        <v>43008</v>
      </c>
      <c r="E36" s="241">
        <f t="shared" si="3"/>
        <v>92</v>
      </c>
      <c r="F36" s="74">
        <f>VLOOKUP(D36,'FERC Interest Rate'!$A:$B,2,TRUE)</f>
        <v>3.9600000000000003E-2</v>
      </c>
      <c r="G36" s="75">
        <f t="shared" si="11"/>
        <v>52282759.621630609</v>
      </c>
      <c r="H36" s="75">
        <v>0</v>
      </c>
      <c r="I36" s="99">
        <f t="shared" si="8"/>
        <v>101322.47635191314</v>
      </c>
      <c r="J36" s="57">
        <f t="shared" si="9"/>
        <v>521853.56124253332</v>
      </c>
      <c r="K36" s="243">
        <f t="shared" si="4"/>
        <v>623176.03759444645</v>
      </c>
      <c r="L36" s="57">
        <f t="shared" si="10"/>
        <v>3166350</v>
      </c>
      <c r="M36" s="244">
        <f t="shared" si="12"/>
        <v>3789526.0375944464</v>
      </c>
      <c r="N36" s="52">
        <f t="shared" si="5"/>
        <v>52804613.182873145</v>
      </c>
      <c r="O36" s="75">
        <f t="shared" si="7"/>
        <v>49015087.1452787</v>
      </c>
    </row>
    <row r="37" spans="1:15" x14ac:dyDescent="0.25">
      <c r="A37" s="48" t="s">
        <v>57</v>
      </c>
      <c r="B37" s="241" t="str">
        <f t="shared" si="1"/>
        <v>Q4/2017</v>
      </c>
      <c r="C37" s="242">
        <f t="shared" si="6"/>
        <v>43009</v>
      </c>
      <c r="D37" s="242">
        <f t="shared" si="2"/>
        <v>43100</v>
      </c>
      <c r="E37" s="241">
        <f t="shared" si="3"/>
        <v>92</v>
      </c>
      <c r="F37" s="74">
        <f>VLOOKUP(D37,'FERC Interest Rate'!$A:$B,2,TRUE)</f>
        <v>4.2099999999999999E-2</v>
      </c>
      <c r="G37" s="75">
        <f t="shared" si="11"/>
        <v>49015087.1452787</v>
      </c>
      <c r="H37" s="75">
        <v>0</v>
      </c>
      <c r="I37" s="99">
        <f t="shared" si="8"/>
        <v>101322.47635191314</v>
      </c>
      <c r="J37" s="57">
        <f t="shared" si="9"/>
        <v>520123.93296189996</v>
      </c>
      <c r="K37" s="243">
        <f t="shared" si="4"/>
        <v>621446.40931381308</v>
      </c>
      <c r="L37" s="57">
        <f t="shared" si="10"/>
        <v>3166350</v>
      </c>
      <c r="M37" s="244">
        <f t="shared" si="12"/>
        <v>3787796.4093138129</v>
      </c>
      <c r="N37" s="52">
        <f t="shared" si="5"/>
        <v>49535211.078240603</v>
      </c>
      <c r="O37" s="75">
        <f t="shared" si="7"/>
        <v>45747414.66892679</v>
      </c>
    </row>
    <row r="38" spans="1:15" x14ac:dyDescent="0.25">
      <c r="A38" s="48" t="s">
        <v>58</v>
      </c>
      <c r="B38" s="241" t="str">
        <f t="shared" si="1"/>
        <v>Q1/2018</v>
      </c>
      <c r="C38" s="242">
        <f t="shared" si="6"/>
        <v>43101</v>
      </c>
      <c r="D38" s="242">
        <f t="shared" si="2"/>
        <v>43190</v>
      </c>
      <c r="E38" s="241">
        <f t="shared" si="3"/>
        <v>90</v>
      </c>
      <c r="F38" s="74">
        <f>VLOOKUP(D38,'FERC Interest Rate'!$A:$B,2,TRUE)</f>
        <v>4.2500000000000003E-2</v>
      </c>
      <c r="G38" s="75">
        <f t="shared" si="11"/>
        <v>45747414.66892679</v>
      </c>
      <c r="H38" s="75">
        <v>0</v>
      </c>
      <c r="I38" s="99">
        <f t="shared" si="8"/>
        <v>101322.47635191314</v>
      </c>
      <c r="J38" s="57">
        <f t="shared" si="9"/>
        <v>479407.83865382185</v>
      </c>
      <c r="K38" s="243">
        <f t="shared" si="4"/>
        <v>580730.31500573503</v>
      </c>
      <c r="L38" s="57">
        <f t="shared" si="10"/>
        <v>3166350</v>
      </c>
      <c r="M38" s="244">
        <f t="shared" si="12"/>
        <v>3747080.315005735</v>
      </c>
      <c r="N38" s="52">
        <f t="shared" si="5"/>
        <v>46226822.507580616</v>
      </c>
      <c r="O38" s="75">
        <f t="shared" si="7"/>
        <v>42479742.192574881</v>
      </c>
    </row>
    <row r="39" spans="1:15" x14ac:dyDescent="0.25">
      <c r="A39" s="48" t="s">
        <v>59</v>
      </c>
      <c r="B39" s="241" t="str">
        <f t="shared" si="1"/>
        <v>Q2/2018</v>
      </c>
      <c r="C39" s="242">
        <f t="shared" si="6"/>
        <v>43191</v>
      </c>
      <c r="D39" s="242">
        <f t="shared" si="2"/>
        <v>43281</v>
      </c>
      <c r="E39" s="241">
        <f t="shared" si="3"/>
        <v>91</v>
      </c>
      <c r="F39" s="74">
        <f>VLOOKUP(D39,'FERC Interest Rate'!$A:$B,2,TRUE)</f>
        <v>4.4699999999999997E-2</v>
      </c>
      <c r="G39" s="75">
        <f t="shared" si="11"/>
        <v>42479742.192574881</v>
      </c>
      <c r="H39" s="75">
        <v>0</v>
      </c>
      <c r="I39" s="99">
        <f t="shared" si="8"/>
        <v>101322.47635191314</v>
      </c>
      <c r="J39" s="57">
        <f t="shared" si="9"/>
        <v>473410.54059379949</v>
      </c>
      <c r="K39" s="243">
        <f t="shared" si="4"/>
        <v>574733.01694571262</v>
      </c>
      <c r="L39" s="57">
        <f t="shared" si="10"/>
        <v>3166350</v>
      </c>
      <c r="M39" s="244">
        <f t="shared" si="12"/>
        <v>3741083.0169457127</v>
      </c>
      <c r="N39" s="52">
        <f t="shared" si="5"/>
        <v>42953152.733168684</v>
      </c>
      <c r="O39" s="75">
        <f t="shared" si="7"/>
        <v>39212069.716222972</v>
      </c>
    </row>
    <row r="40" spans="1:15" x14ac:dyDescent="0.25">
      <c r="A40" s="48" t="s">
        <v>60</v>
      </c>
      <c r="B40" s="241" t="str">
        <f t="shared" si="1"/>
        <v>Q3/2018</v>
      </c>
      <c r="C40" s="242">
        <f t="shared" si="6"/>
        <v>43282</v>
      </c>
      <c r="D40" s="242">
        <f t="shared" si="2"/>
        <v>43373</v>
      </c>
      <c r="E40" s="241">
        <f t="shared" si="3"/>
        <v>92</v>
      </c>
      <c r="F40" s="74">
        <f>VLOOKUP(D40,'FERC Interest Rate'!$A:$B,2,TRUE)</f>
        <v>4.6899999999999997E-2</v>
      </c>
      <c r="G40" s="75">
        <f t="shared" si="11"/>
        <v>39212069.716222972</v>
      </c>
      <c r="H40" s="75">
        <v>0</v>
      </c>
      <c r="I40" s="99">
        <f t="shared" si="8"/>
        <v>101322.47635191314</v>
      </c>
      <c r="J40" s="57">
        <f t="shared" si="9"/>
        <v>463540.37920975039</v>
      </c>
      <c r="K40" s="243">
        <f t="shared" si="4"/>
        <v>564862.85556166351</v>
      </c>
      <c r="L40" s="57">
        <f t="shared" si="10"/>
        <v>3166350</v>
      </c>
      <c r="M40" s="244">
        <f t="shared" si="12"/>
        <v>3731212.8555616634</v>
      </c>
      <c r="N40" s="52">
        <f t="shared" si="5"/>
        <v>39675610.095432721</v>
      </c>
      <c r="O40" s="75">
        <f t="shared" si="7"/>
        <v>35944397.239871055</v>
      </c>
    </row>
    <row r="41" spans="1:15" x14ac:dyDescent="0.25">
      <c r="A41" s="48" t="s">
        <v>61</v>
      </c>
      <c r="B41" s="241" t="str">
        <f t="shared" si="1"/>
        <v>Q4/2018</v>
      </c>
      <c r="C41" s="242">
        <f t="shared" si="6"/>
        <v>43374</v>
      </c>
      <c r="D41" s="242">
        <f t="shared" si="2"/>
        <v>43465</v>
      </c>
      <c r="E41" s="241">
        <f t="shared" si="3"/>
        <v>92</v>
      </c>
      <c r="F41" s="74">
        <f>VLOOKUP(D41,'FERC Interest Rate'!$A:$B,2,TRUE)</f>
        <v>4.9599999999999998E-2</v>
      </c>
      <c r="G41" s="75">
        <f t="shared" si="11"/>
        <v>35944397.239871055</v>
      </c>
      <c r="H41" s="75">
        <v>0</v>
      </c>
      <c r="I41" s="99">
        <f t="shared" si="8"/>
        <v>101322.47635191314</v>
      </c>
      <c r="J41" s="57">
        <f t="shared" si="9"/>
        <v>449373.89995884825</v>
      </c>
      <c r="K41" s="243">
        <f t="shared" si="4"/>
        <v>550696.37631076144</v>
      </c>
      <c r="L41" s="57">
        <f t="shared" si="10"/>
        <v>3166350</v>
      </c>
      <c r="M41" s="244">
        <f t="shared" si="12"/>
        <v>3717046.3763107616</v>
      </c>
      <c r="N41" s="52">
        <f t="shared" si="5"/>
        <v>36393771.139829904</v>
      </c>
      <c r="O41" s="75">
        <f t="shared" si="7"/>
        <v>32676724.763519142</v>
      </c>
    </row>
    <row r="42" spans="1:15" x14ac:dyDescent="0.25">
      <c r="A42" s="48" t="s">
        <v>62</v>
      </c>
      <c r="B42" s="241" t="str">
        <f t="shared" si="1"/>
        <v>Q1/2019</v>
      </c>
      <c r="C42" s="242">
        <f t="shared" si="6"/>
        <v>43466</v>
      </c>
      <c r="D42" s="242">
        <f t="shared" si="2"/>
        <v>43555</v>
      </c>
      <c r="E42" s="241">
        <f t="shared" si="3"/>
        <v>90</v>
      </c>
      <c r="F42" s="74">
        <f>VLOOKUP(D42,'FERC Interest Rate'!$A:$B,2,TRUE)</f>
        <v>5.1799999999999999E-2</v>
      </c>
      <c r="G42" s="75">
        <f t="shared" si="11"/>
        <v>32676724.763519142</v>
      </c>
      <c r="H42" s="75">
        <v>0</v>
      </c>
      <c r="I42" s="99">
        <f t="shared" si="8"/>
        <v>101322.47635191314</v>
      </c>
      <c r="J42" s="57">
        <f t="shared" si="9"/>
        <v>417366.82423979789</v>
      </c>
      <c r="K42" s="243">
        <f t="shared" si="4"/>
        <v>518689.30059171101</v>
      </c>
      <c r="L42" s="57">
        <f t="shared" si="10"/>
        <v>3166350</v>
      </c>
      <c r="M42" s="244">
        <f t="shared" si="12"/>
        <v>3685039.300591711</v>
      </c>
      <c r="N42" s="52">
        <f t="shared" si="5"/>
        <v>33094091.58775894</v>
      </c>
      <c r="O42" s="75">
        <f t="shared" si="7"/>
        <v>29409052.287167229</v>
      </c>
    </row>
    <row r="43" spans="1:15" x14ac:dyDescent="0.25">
      <c r="A43" s="48" t="s">
        <v>63</v>
      </c>
      <c r="B43" s="241" t="str">
        <f t="shared" si="1"/>
        <v>Q2/2019</v>
      </c>
      <c r="C43" s="242">
        <f t="shared" si="6"/>
        <v>43556</v>
      </c>
      <c r="D43" s="242">
        <f t="shared" si="2"/>
        <v>43646</v>
      </c>
      <c r="E43" s="241">
        <f t="shared" si="3"/>
        <v>91</v>
      </c>
      <c r="F43" s="74">
        <f>VLOOKUP(D43,'FERC Interest Rate'!$A:$B,2,TRUE)</f>
        <v>5.45E-2</v>
      </c>
      <c r="G43" s="75">
        <f t="shared" si="11"/>
        <v>29409052.287167229</v>
      </c>
      <c r="H43" s="75">
        <v>0</v>
      </c>
      <c r="I43" s="99">
        <f t="shared" si="8"/>
        <v>101322.47635191314</v>
      </c>
      <c r="J43" s="57">
        <f t="shared" si="9"/>
        <v>399600.53374850925</v>
      </c>
      <c r="K43" s="243">
        <f t="shared" si="4"/>
        <v>500923.01010042237</v>
      </c>
      <c r="L43" s="57">
        <f t="shared" si="10"/>
        <v>3166350</v>
      </c>
      <c r="M43" s="244">
        <f t="shared" si="12"/>
        <v>3667273.0101004224</v>
      </c>
      <c r="N43" s="52">
        <f t="shared" si="5"/>
        <v>29808652.820915736</v>
      </c>
      <c r="O43" s="75">
        <f t="shared" si="7"/>
        <v>26141379.810815312</v>
      </c>
    </row>
    <row r="44" spans="1:15" x14ac:dyDescent="0.25">
      <c r="A44" s="48" t="s">
        <v>64</v>
      </c>
      <c r="B44" s="241" t="str">
        <f t="shared" si="1"/>
        <v>Q3/2019</v>
      </c>
      <c r="C44" s="242">
        <f t="shared" si="6"/>
        <v>43647</v>
      </c>
      <c r="D44" s="242">
        <f t="shared" si="2"/>
        <v>43738</v>
      </c>
      <c r="E44" s="241">
        <f t="shared" si="3"/>
        <v>92</v>
      </c>
      <c r="F44" s="74">
        <f>VLOOKUP(D44,'FERC Interest Rate'!$A:$B,2,TRUE)</f>
        <v>5.5E-2</v>
      </c>
      <c r="G44" s="75">
        <f t="shared" si="11"/>
        <v>26141379.810815312</v>
      </c>
      <c r="H44" s="75">
        <v>0</v>
      </c>
      <c r="I44" s="99">
        <f t="shared" si="8"/>
        <v>101322.47635191314</v>
      </c>
      <c r="J44" s="57">
        <f t="shared" si="9"/>
        <v>362398.30641842599</v>
      </c>
      <c r="K44" s="243">
        <f t="shared" si="4"/>
        <v>463720.78277033911</v>
      </c>
      <c r="L44" s="57">
        <f t="shared" si="10"/>
        <v>3166350</v>
      </c>
      <c r="M44" s="244">
        <f t="shared" si="12"/>
        <v>3630070.7827703389</v>
      </c>
      <c r="N44" s="52">
        <f t="shared" si="5"/>
        <v>26503778.117233738</v>
      </c>
      <c r="O44" s="75">
        <f t="shared" si="7"/>
        <v>22873707.334463399</v>
      </c>
    </row>
    <row r="45" spans="1:15" x14ac:dyDescent="0.25">
      <c r="A45" s="48" t="s">
        <v>65</v>
      </c>
      <c r="B45" s="241" t="str">
        <f t="shared" si="1"/>
        <v>Q4/2019</v>
      </c>
      <c r="C45" s="242">
        <f>D44+1</f>
        <v>43739</v>
      </c>
      <c r="D45" s="242">
        <f t="shared" si="2"/>
        <v>43830</v>
      </c>
      <c r="E45" s="241">
        <f t="shared" si="3"/>
        <v>92</v>
      </c>
      <c r="F45" s="74">
        <f>VLOOKUP(D45,'FERC Interest Rate'!$A:$B,2,TRUE)</f>
        <v>5.4199999999999998E-2</v>
      </c>
      <c r="G45" s="75">
        <f>O44</f>
        <v>22873707.334463399</v>
      </c>
      <c r="H45" s="75">
        <v>0</v>
      </c>
      <c r="I45" s="99">
        <f t="shared" si="8"/>
        <v>101322.47635191314</v>
      </c>
      <c r="J45" s="57">
        <f t="shared" si="9"/>
        <v>312486.17603443371</v>
      </c>
      <c r="K45" s="243">
        <f t="shared" si="4"/>
        <v>413808.65238634683</v>
      </c>
      <c r="L45" s="57">
        <f t="shared" si="10"/>
        <v>3166350</v>
      </c>
      <c r="M45" s="244">
        <f t="shared" si="12"/>
        <v>3580158.6523863468</v>
      </c>
      <c r="N45" s="52">
        <f t="shared" si="5"/>
        <v>23186193.510497831</v>
      </c>
      <c r="O45" s="75">
        <f t="shared" si="7"/>
        <v>19606034.858111486</v>
      </c>
    </row>
    <row r="46" spans="1:15" x14ac:dyDescent="0.25">
      <c r="A46" s="48" t="s">
        <v>66</v>
      </c>
      <c r="B46" s="241" t="str">
        <f t="shared" si="1"/>
        <v>Q1/2020</v>
      </c>
      <c r="C46" s="242">
        <f t="shared" si="6"/>
        <v>43831</v>
      </c>
      <c r="D46" s="242">
        <f t="shared" si="2"/>
        <v>43921</v>
      </c>
      <c r="E46" s="241">
        <f t="shared" si="3"/>
        <v>91</v>
      </c>
      <c r="F46" s="74">
        <f>VLOOKUP(D46,'FERC Interest Rate'!$A:$B,2,TRUE)</f>
        <v>4.9599999999999998E-2</v>
      </c>
      <c r="G46" s="75">
        <f t="shared" si="11"/>
        <v>19606034.858111486</v>
      </c>
      <c r="H46" s="75">
        <v>0</v>
      </c>
      <c r="I46" s="99">
        <f t="shared" si="8"/>
        <v>101322.47635191314</v>
      </c>
      <c r="J46" s="57">
        <f t="shared" si="9"/>
        <v>241786.33588954099</v>
      </c>
      <c r="K46" s="243">
        <f t="shared" si="4"/>
        <v>343108.81224145414</v>
      </c>
      <c r="L46" s="57">
        <f t="shared" si="10"/>
        <v>3166350</v>
      </c>
      <c r="M46" s="244">
        <f t="shared" si="12"/>
        <v>3509458.8122414541</v>
      </c>
      <c r="N46" s="52">
        <f t="shared" si="5"/>
        <v>19847821.194001026</v>
      </c>
      <c r="O46" s="75">
        <f t="shared" si="7"/>
        <v>16338362.381759573</v>
      </c>
    </row>
    <row r="47" spans="1:15" x14ac:dyDescent="0.25">
      <c r="A47" s="48" t="s">
        <v>67</v>
      </c>
      <c r="B47" s="241" t="str">
        <f t="shared" si="1"/>
        <v>Q2/2020</v>
      </c>
      <c r="C47" s="242">
        <f t="shared" si="6"/>
        <v>43922</v>
      </c>
      <c r="D47" s="242">
        <f t="shared" si="2"/>
        <v>44012</v>
      </c>
      <c r="E47" s="241">
        <f t="shared" si="3"/>
        <v>91</v>
      </c>
      <c r="F47" s="74">
        <f>VLOOKUP(D47,'FERC Interest Rate'!$A:$B,2,TRUE)</f>
        <v>4.7503500000000004E-2</v>
      </c>
      <c r="G47" s="75">
        <f t="shared" si="11"/>
        <v>16338362.381759573</v>
      </c>
      <c r="H47" s="75">
        <v>0</v>
      </c>
      <c r="I47" s="99">
        <f t="shared" si="8"/>
        <v>101322.47635191314</v>
      </c>
      <c r="J47" s="57">
        <f t="shared" si="9"/>
        <v>192972.06328845452</v>
      </c>
      <c r="K47" s="243">
        <f t="shared" si="4"/>
        <v>294294.53964036767</v>
      </c>
      <c r="L47" s="57">
        <f t="shared" si="10"/>
        <v>3166350</v>
      </c>
      <c r="M47" s="244">
        <f t="shared" si="12"/>
        <v>3460644.5396403675</v>
      </c>
      <c r="N47" s="52">
        <f t="shared" si="5"/>
        <v>16531334.445048027</v>
      </c>
      <c r="O47" s="75">
        <f t="shared" si="7"/>
        <v>13070689.90540766</v>
      </c>
    </row>
    <row r="48" spans="1:15" x14ac:dyDescent="0.25">
      <c r="A48" s="48" t="s">
        <v>68</v>
      </c>
      <c r="B48" s="241" t="str">
        <f t="shared" si="1"/>
        <v>Q3/2020</v>
      </c>
      <c r="C48" s="242">
        <f t="shared" si="6"/>
        <v>44013</v>
      </c>
      <c r="D48" s="242">
        <f t="shared" si="2"/>
        <v>44104</v>
      </c>
      <c r="E48" s="241">
        <f t="shared" si="3"/>
        <v>92</v>
      </c>
      <c r="F48" s="74">
        <f>VLOOKUP(D48,'FERC Interest Rate'!$A:$B,2,TRUE)</f>
        <v>4.7507929999999997E-2</v>
      </c>
      <c r="G48" s="75">
        <f t="shared" si="11"/>
        <v>13070689.90540766</v>
      </c>
      <c r="H48" s="75">
        <v>0</v>
      </c>
      <c r="I48" s="99">
        <f t="shared" si="8"/>
        <v>101322.47635191314</v>
      </c>
      <c r="J48" s="57">
        <f t="shared" si="9"/>
        <v>156088.66322174552</v>
      </c>
      <c r="K48" s="243">
        <f t="shared" si="4"/>
        <v>257411.13957365864</v>
      </c>
      <c r="L48" s="57">
        <f t="shared" si="10"/>
        <v>3166350</v>
      </c>
      <c r="M48" s="244">
        <f t="shared" si="12"/>
        <v>3423761.1395736588</v>
      </c>
      <c r="N48" s="52">
        <f t="shared" si="5"/>
        <v>13226778.568629405</v>
      </c>
      <c r="O48" s="75">
        <f t="shared" si="7"/>
        <v>9803017.4290557466</v>
      </c>
    </row>
    <row r="49" spans="1:15" x14ac:dyDescent="0.25">
      <c r="A49" s="48" t="s">
        <v>69</v>
      </c>
      <c r="B49" s="241" t="str">
        <f t="shared" si="1"/>
        <v>Q4/2020</v>
      </c>
      <c r="C49" s="242">
        <f t="shared" si="6"/>
        <v>44105</v>
      </c>
      <c r="D49" s="242">
        <f t="shared" si="2"/>
        <v>44196</v>
      </c>
      <c r="E49" s="241">
        <f t="shared" si="3"/>
        <v>92</v>
      </c>
      <c r="F49" s="74">
        <f>VLOOKUP(D49,'FERC Interest Rate'!$A:$B,2,TRUE)</f>
        <v>4.7922320000000004E-2</v>
      </c>
      <c r="G49" s="75">
        <f t="shared" si="11"/>
        <v>9803017.4290557466</v>
      </c>
      <c r="H49" s="75">
        <v>0</v>
      </c>
      <c r="I49" s="99">
        <f t="shared" si="8"/>
        <v>101322.47635191314</v>
      </c>
      <c r="J49" s="57">
        <f>G49*F49*(E49/(DATE(YEAR(D49),12,31)-DATE(YEAR(D49),1,1)+1))</f>
        <v>118087.61506686446</v>
      </c>
      <c r="K49" s="243">
        <f>+SUM(I49:J49)</f>
        <v>219410.09141877759</v>
      </c>
      <c r="L49" s="57">
        <f t="shared" si="10"/>
        <v>3166350</v>
      </c>
      <c r="M49" s="244">
        <f>+SUM(K49:L49)</f>
        <v>3385760.0914187776</v>
      </c>
      <c r="N49" s="52">
        <f t="shared" si="5"/>
        <v>9921105.0441226102</v>
      </c>
      <c r="O49" s="75">
        <f t="shared" si="7"/>
        <v>6535344.9527038326</v>
      </c>
    </row>
    <row r="50" spans="1:15" x14ac:dyDescent="0.25">
      <c r="A50" s="48" t="s">
        <v>70</v>
      </c>
      <c r="B50" s="241" t="str">
        <f t="shared" si="1"/>
        <v>Q1/2021</v>
      </c>
      <c r="C50" s="242">
        <f t="shared" si="6"/>
        <v>44197</v>
      </c>
      <c r="D50" s="242">
        <f t="shared" si="2"/>
        <v>44286</v>
      </c>
      <c r="E50" s="241">
        <f t="shared" si="3"/>
        <v>90</v>
      </c>
      <c r="F50" s="74">
        <f>VLOOKUP(D50,'FERC Interest Rate'!$A:$B,2,TRUE)</f>
        <v>5.0023470000000007E-2</v>
      </c>
      <c r="G50" s="75">
        <f t="shared" si="11"/>
        <v>6535344.9527038326</v>
      </c>
      <c r="H50" s="75">
        <v>0</v>
      </c>
      <c r="I50" s="99">
        <f t="shared" si="8"/>
        <v>101322.47635191314</v>
      </c>
      <c r="J50" s="57">
        <f>G50*F50*(E50/(DATE(YEAR(D50),12,31)-DATE(YEAR(D50),1,1)+1))</f>
        <v>80610.566839207793</v>
      </c>
      <c r="K50" s="243">
        <f>+SUM(I50:J50)</f>
        <v>181933.04319112093</v>
      </c>
      <c r="L50" s="57">
        <f t="shared" si="10"/>
        <v>3166350</v>
      </c>
      <c r="M50" s="244">
        <f>+SUM(K50:L50)</f>
        <v>3348283.043191121</v>
      </c>
      <c r="N50" s="52">
        <f t="shared" si="5"/>
        <v>6615955.5195430405</v>
      </c>
      <c r="O50" s="75">
        <f t="shared" si="7"/>
        <v>3267672.4763519196</v>
      </c>
    </row>
    <row r="51" spans="1:15" x14ac:dyDescent="0.25">
      <c r="A51" s="48" t="s">
        <v>71</v>
      </c>
      <c r="B51" s="241" t="str">
        <f t="shared" si="1"/>
        <v>Q2/2021</v>
      </c>
      <c r="C51" s="242">
        <f t="shared" si="6"/>
        <v>44287</v>
      </c>
      <c r="D51" s="242">
        <f t="shared" si="2"/>
        <v>44377</v>
      </c>
      <c r="E51" s="241">
        <f t="shared" si="3"/>
        <v>91</v>
      </c>
      <c r="F51" s="74">
        <f>VLOOKUP(D51,'FERC Interest Rate'!$A:$B,2,TRUE)</f>
        <v>5.0403730000000001E-2</v>
      </c>
      <c r="G51" s="75">
        <f t="shared" si="11"/>
        <v>3267672.4763519196</v>
      </c>
      <c r="H51" s="75">
        <v>0</v>
      </c>
      <c r="I51" s="99">
        <f t="shared" si="8"/>
        <v>101322.47635191314</v>
      </c>
      <c r="J51" s="57">
        <f>G51*F51*(E51/(DATE(YEAR(D51),12,31)-DATE(YEAR(D51),1,1)+1))</f>
        <v>41062.910113997517</v>
      </c>
      <c r="K51" s="243">
        <f>+SUM(I51:J51)</f>
        <v>142385.38646591065</v>
      </c>
      <c r="L51" s="57">
        <f t="shared" si="10"/>
        <v>3166350</v>
      </c>
      <c r="M51" s="244">
        <f>+SUM(K51:L51)</f>
        <v>3308735.3864659108</v>
      </c>
      <c r="N51" s="52">
        <f t="shared" si="5"/>
        <v>3308735.3864659169</v>
      </c>
      <c r="O51" s="75">
        <f t="shared" si="7"/>
        <v>6.0535967350006104E-9</v>
      </c>
    </row>
    <row r="52" spans="1:15" x14ac:dyDescent="0.25">
      <c r="B52" s="54"/>
      <c r="C52" s="55"/>
      <c r="D52" s="55"/>
      <c r="E52" s="56"/>
      <c r="F52" s="54"/>
      <c r="G52" s="57"/>
      <c r="H52" s="59"/>
      <c r="I52" s="245"/>
      <c r="J52" s="57"/>
      <c r="K52" s="246"/>
      <c r="L52" s="58"/>
      <c r="M52" s="247"/>
      <c r="O52" s="57"/>
    </row>
    <row r="53" spans="1:15" ht="13.5" thickBot="1" x14ac:dyDescent="0.35">
      <c r="A53" s="218"/>
      <c r="B53" s="248"/>
      <c r="C53" s="249"/>
      <c r="D53" s="249"/>
      <c r="E53" s="250"/>
      <c r="F53" s="248"/>
      <c r="G53" s="251">
        <f t="shared" ref="G53:O53" si="13">+SUM(G29:G52)</f>
        <v>876915272.37570488</v>
      </c>
      <c r="H53" s="251">
        <f t="shared" si="13"/>
        <v>2026449.5270382627</v>
      </c>
      <c r="I53" s="252">
        <f t="shared" si="13"/>
        <v>2026449.5270382622</v>
      </c>
      <c r="J53" s="251">
        <f t="shared" si="13"/>
        <v>6797816.2466239138</v>
      </c>
      <c r="K53" s="251">
        <f t="shared" si="13"/>
        <v>8824265.773662176</v>
      </c>
      <c r="L53" s="251">
        <f t="shared" si="13"/>
        <v>63327000</v>
      </c>
      <c r="M53" s="253">
        <f t="shared" si="13"/>
        <v>72151265.773662165</v>
      </c>
      <c r="N53" s="251">
        <f t="shared" si="13"/>
        <v>885739538.14936697</v>
      </c>
      <c r="O53" s="251">
        <f t="shared" si="13"/>
        <v>813588272.37570488</v>
      </c>
    </row>
    <row r="54" spans="1:15" ht="13.5" thickTop="1" thickBot="1" x14ac:dyDescent="0.3">
      <c r="H54" s="243"/>
      <c r="I54" s="254"/>
      <c r="J54" s="255"/>
      <c r="K54" s="255"/>
      <c r="L54" s="255"/>
      <c r="M54" s="256"/>
    </row>
  </sheetData>
  <mergeCells count="1">
    <mergeCell ref="J27:K27"/>
  </mergeCells>
  <pageMargins left="0.25" right="0.25" top="0.75" bottom="0.75" header="0.3" footer="0.3"/>
  <pageSetup scale="57" fitToHeight="0" orientation="landscape" r:id="rId1"/>
  <headerFooter alignWithMargins="0">
    <oddHeader>&amp;RTO2021 Annual Update
Attachment 4
WP- Schedule 22 NUCs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43</vt:i4>
      </vt:variant>
    </vt:vector>
  </HeadingPairs>
  <TitlesOfParts>
    <vt:vector size="65" baseType="lpstr">
      <vt:lpstr>2019 Summary</vt:lpstr>
      <vt:lpstr>2018 Summary</vt:lpstr>
      <vt:lpstr>TOT175 (adj)</vt:lpstr>
      <vt:lpstr>TOT211</vt:lpstr>
      <vt:lpstr>TOT219</vt:lpstr>
      <vt:lpstr>TOT223</vt:lpstr>
      <vt:lpstr>TOT276 (Phase 1)</vt:lpstr>
      <vt:lpstr>TOT276 (Phase 2)</vt:lpstr>
      <vt:lpstr>TOT381</vt:lpstr>
      <vt:lpstr>TOT404</vt:lpstr>
      <vt:lpstr>TOT411 (Phase 1&amp;2)</vt:lpstr>
      <vt:lpstr>TOT508</vt:lpstr>
      <vt:lpstr>TOT522</vt:lpstr>
      <vt:lpstr>TOT544</vt:lpstr>
      <vt:lpstr>TOT545</vt:lpstr>
      <vt:lpstr>TOT573</vt:lpstr>
      <vt:lpstr>TOT581</vt:lpstr>
      <vt:lpstr>TOT585 (Phase 1&amp;2)</vt:lpstr>
      <vt:lpstr>TOT278</vt:lpstr>
      <vt:lpstr>TOT672 (part1)</vt:lpstr>
      <vt:lpstr>WDT1099</vt:lpstr>
      <vt:lpstr>FERC Interest Rate</vt:lpstr>
      <vt:lpstr>'2018 Summary'!Print_Area</vt:lpstr>
      <vt:lpstr>'2019 Summary'!Print_Area</vt:lpstr>
      <vt:lpstr>'TOT175 (adj)'!Print_Area</vt:lpstr>
      <vt:lpstr>'TOT211'!Print_Area</vt:lpstr>
      <vt:lpstr>'TOT219'!Print_Area</vt:lpstr>
      <vt:lpstr>'TOT223'!Print_Area</vt:lpstr>
      <vt:lpstr>'TOT276 (Phase 1)'!Print_Area</vt:lpstr>
      <vt:lpstr>'TOT276 (Phase 2)'!Print_Area</vt:lpstr>
      <vt:lpstr>'TOT278'!Print_Area</vt:lpstr>
      <vt:lpstr>'TOT381'!Print_Area</vt:lpstr>
      <vt:lpstr>'TOT404'!Print_Area</vt:lpstr>
      <vt:lpstr>'TOT411 (Phase 1&amp;2)'!Print_Area</vt:lpstr>
      <vt:lpstr>'TOT508'!Print_Area</vt:lpstr>
      <vt:lpstr>'TOT522'!Print_Area</vt:lpstr>
      <vt:lpstr>'TOT544'!Print_Area</vt:lpstr>
      <vt:lpstr>'TOT545'!Print_Area</vt:lpstr>
      <vt:lpstr>'TOT573'!Print_Area</vt:lpstr>
      <vt:lpstr>'TOT581'!Print_Area</vt:lpstr>
      <vt:lpstr>'TOT585 (Phase 1&amp;2)'!Print_Area</vt:lpstr>
      <vt:lpstr>'TOT672 (part1)'!Print_Area</vt:lpstr>
      <vt:lpstr>'WDT1099'!Print_Area</vt:lpstr>
      <vt:lpstr>'2018 Summary'!Print_Titles</vt:lpstr>
      <vt:lpstr>'2019 Summary'!Print_Titles</vt:lpstr>
      <vt:lpstr>'FERC Interest Rate'!Print_Titles</vt:lpstr>
      <vt:lpstr>'TOT175 (adj)'!Print_Titles</vt:lpstr>
      <vt:lpstr>'TOT211'!Print_Titles</vt:lpstr>
      <vt:lpstr>'TOT219'!Print_Titles</vt:lpstr>
      <vt:lpstr>'TOT223'!Print_Titles</vt:lpstr>
      <vt:lpstr>'TOT276 (Phase 1)'!Print_Titles</vt:lpstr>
      <vt:lpstr>'TOT276 (Phase 2)'!Print_Titles</vt:lpstr>
      <vt:lpstr>'TOT278'!Print_Titles</vt:lpstr>
      <vt:lpstr>'TOT381'!Print_Titles</vt:lpstr>
      <vt:lpstr>'TOT404'!Print_Titles</vt:lpstr>
      <vt:lpstr>'TOT411 (Phase 1&amp;2)'!Print_Titles</vt:lpstr>
      <vt:lpstr>'TOT508'!Print_Titles</vt:lpstr>
      <vt:lpstr>'TOT522'!Print_Titles</vt:lpstr>
      <vt:lpstr>'TOT544'!Print_Titles</vt:lpstr>
      <vt:lpstr>'TOT545'!Print_Titles</vt:lpstr>
      <vt:lpstr>'TOT573'!Print_Titles</vt:lpstr>
      <vt:lpstr>'TOT581'!Print_Titles</vt:lpstr>
      <vt:lpstr>'TOT585 (Phase 1&amp;2)'!Print_Titles</vt:lpstr>
      <vt:lpstr>'TOT672 (part1)'!Print_Titles</vt:lpstr>
      <vt:lpstr>'WDT1099'!Print_Titles</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Robert G Mindess</cp:lastModifiedBy>
  <cp:lastPrinted>2020-07-07T23:31:13Z</cp:lastPrinted>
  <dcterms:created xsi:type="dcterms:W3CDTF">2006-03-16T23:48:07Z</dcterms:created>
  <dcterms:modified xsi:type="dcterms:W3CDTF">2020-10-23T20:16:12Z</dcterms:modified>
</cp:coreProperties>
</file>