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\\sce\workgroup\RPA\REG OPS\FERC-REG\FERC\FERC Contract &amp; Cost Analysis\2021 FERC Rate Case TO2021\6-Jun 15 Draft Informational Posting\Workpapers\"/>
    </mc:Choice>
  </mc:AlternateContent>
  <xr:revisionPtr revIDLastSave="0" documentId="13_ncr:1_{FD2D6855-F042-42B2-9D52-5D9814489052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Total One Time Adjustment" sheetId="3" r:id="rId1"/>
    <sheet name="One Time Adjust for TUTRR" sheetId="1" r:id="rId2"/>
    <sheet name="2019 Wildfire Adj" sheetId="6" r:id="rId3"/>
    <sheet name="2019WF-Sch4-TUTRR" sheetId="31" r:id="rId4"/>
    <sheet name="2019WF-Sch9-ADIT" sheetId="25" r:id="rId5"/>
    <sheet name="2019WF-Sch20-AandG" sheetId="27" r:id="rId6"/>
    <sheet name="2019WF Sch34-UnfundedReserves" sheetId="28" r:id="rId7"/>
    <sheet name="2019 EDIT Amortization Adj" sheetId="5" r:id="rId8"/>
    <sheet name="TO2018EDIT Sch4-TUTRR" sheetId="29" r:id="rId9"/>
    <sheet name="TO2018EDIT Sch1-BaseTRR" sheetId="30" r:id="rId10"/>
    <sheet name="TO2021EDIT Sch4-TUTRR" sheetId="22" r:id="rId11"/>
    <sheet name="TO2021EDIT Sch1-BaseTRR" sheetId="23" r:id="rId12"/>
  </sheets>
  <definedNames>
    <definedName name="_xlnm.Print_Area" localSheetId="6">'2019WF Sch34-UnfundedReserves'!$A$1:$K$39</definedName>
    <definedName name="_xlnm.Print_Area" localSheetId="5">'2019WF-Sch20-AandG'!$A$1:$J$105</definedName>
    <definedName name="_xlnm.Print_Area" localSheetId="3">'2019WF-Sch4-TUTRR'!$A$1:$J$109</definedName>
    <definedName name="_xlnm.Print_Area" localSheetId="4">'2019WF-Sch9-ADIT'!$A$1:$J$188</definedName>
    <definedName name="_xlnm.Print_Area" localSheetId="1">'One Time Adjust for TUTRR'!$A$1:$L$40</definedName>
    <definedName name="_xlnm.Print_Area" localSheetId="9">'TO2018EDIT Sch1-BaseTRR'!$A$1:$K$175</definedName>
    <definedName name="_xlnm.Print_Area" localSheetId="8">'TO2018EDIT Sch4-TUTRR'!$A$1:$J$109</definedName>
    <definedName name="_xlnm.Print_Area" localSheetId="11">'TO2021EDIT Sch1-BaseTRR'!$A$1:$K$173</definedName>
    <definedName name="_xlnm.Print_Area" localSheetId="10">'TO2021EDIT Sch4-TUTRR'!$A$1:$J$107</definedName>
    <definedName name="_xlnm.Print_Area" localSheetId="0">'Total One Time Adjustment'!$A$1:$N$38</definedName>
    <definedName name="_xlnm.Print_Titles" localSheetId="9">'TO2018EDIT Sch1-BaseTRR'!$1:$6</definedName>
    <definedName name="_xlnm.Print_Titles" localSheetId="11">'TO2021EDIT Sch1-BaseTRR'!$1:$6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" i="1" l="1"/>
  <c r="E7" i="5" l="1"/>
  <c r="E6" i="5"/>
  <c r="E7" i="6"/>
  <c r="F103" i="31"/>
  <c r="F98" i="31"/>
  <c r="E103" i="31"/>
  <c r="J42" i="31" s="1"/>
  <c r="E98" i="31"/>
  <c r="J33" i="31" s="1"/>
  <c r="E87" i="31"/>
  <c r="J86" i="31"/>
  <c r="J62" i="31"/>
  <c r="H42" i="31"/>
  <c r="H33" i="31"/>
  <c r="J21" i="31"/>
  <c r="J15" i="31"/>
  <c r="A7" i="31"/>
  <c r="A8" i="31" s="1"/>
  <c r="A9" i="31" s="1"/>
  <c r="A12" i="31" s="1"/>
  <c r="A13" i="31" l="1"/>
  <c r="A14" i="31" s="1"/>
  <c r="A15" i="31" s="1"/>
  <c r="A18" i="31" s="1"/>
  <c r="H15" i="31" l="1"/>
  <c r="A19" i="31"/>
  <c r="A20" i="31" s="1"/>
  <c r="A21" i="31" s="1"/>
  <c r="A23" i="31" l="1"/>
  <c r="H29" i="31"/>
  <c r="H21" i="31"/>
  <c r="A24" i="31" l="1"/>
  <c r="A25" i="31" s="1"/>
  <c r="A26" i="31" s="1"/>
  <c r="A27" i="31" s="1"/>
  <c r="A29" i="31" s="1"/>
  <c r="H30" i="31"/>
  <c r="A33" i="31" l="1"/>
  <c r="A34" i="31" s="1"/>
  <c r="H34" i="31"/>
  <c r="H41" i="31"/>
  <c r="A38" i="31" l="1"/>
  <c r="H55" i="31"/>
  <c r="H56" i="31" l="1"/>
  <c r="A41" i="31"/>
  <c r="A42" i="31" s="1"/>
  <c r="A43" i="31" s="1"/>
  <c r="A44" i="31" s="1"/>
  <c r="A45" i="31" s="1"/>
  <c r="A48" i="31" s="1"/>
  <c r="A49" i="31" l="1"/>
  <c r="A50" i="31" s="1"/>
  <c r="A51" i="31" s="1"/>
  <c r="A52" i="31" s="1"/>
  <c r="A53" i="31" s="1"/>
  <c r="A54" i="31" s="1"/>
  <c r="A55" i="31" s="1"/>
  <c r="A56" i="31" s="1"/>
  <c r="A57" i="31" s="1"/>
  <c r="A58" i="31" s="1"/>
  <c r="A59" i="31" s="1"/>
  <c r="A61" i="31" s="1"/>
  <c r="A64" i="31" s="1"/>
  <c r="H59" i="31" l="1"/>
  <c r="G68" i="31"/>
  <c r="A68" i="31"/>
  <c r="A69" i="31" l="1"/>
  <c r="A70" i="31" s="1"/>
  <c r="G72" i="31" l="1"/>
  <c r="A71" i="31"/>
  <c r="A72" i="31" s="1"/>
  <c r="A73" i="31" s="1"/>
  <c r="G70" i="31"/>
  <c r="G73" i="31"/>
  <c r="J29" i="31" l="1"/>
  <c r="J38" i="31" l="1"/>
  <c r="J56" i="31" s="1"/>
  <c r="J34" i="31"/>
  <c r="J55" i="31" s="1"/>
  <c r="J59" i="31" s="1"/>
  <c r="J64" i="31" s="1"/>
  <c r="E68" i="31" s="1"/>
  <c r="J41" i="31"/>
  <c r="E73" i="31" l="1"/>
  <c r="J70" i="31" l="1"/>
  <c r="J72" i="31" s="1"/>
  <c r="E6" i="6"/>
  <c r="K136" i="30" l="1"/>
  <c r="K108" i="30"/>
  <c r="K102" i="30"/>
  <c r="K84" i="30"/>
  <c r="K83" i="30"/>
  <c r="K75" i="30"/>
  <c r="K52" i="30"/>
  <c r="K54" i="30" s="1"/>
  <c r="K56" i="30" s="1"/>
  <c r="K44" i="30"/>
  <c r="K41" i="30"/>
  <c r="K58" i="30" s="1"/>
  <c r="K129" i="30" s="1"/>
  <c r="K24" i="30"/>
  <c r="K18" i="30"/>
  <c r="K17" i="30"/>
  <c r="A11" i="30"/>
  <c r="A12" i="30" s="1"/>
  <c r="A15" i="30" s="1"/>
  <c r="A10" i="30"/>
  <c r="F103" i="29"/>
  <c r="F98" i="29"/>
  <c r="J86" i="29"/>
  <c r="E87" i="29" s="1"/>
  <c r="J62" i="29"/>
  <c r="H42" i="29"/>
  <c r="H33" i="29"/>
  <c r="J21" i="29"/>
  <c r="J15" i="29"/>
  <c r="A7" i="29"/>
  <c r="A8" i="29" s="1"/>
  <c r="A9" i="29" s="1"/>
  <c r="A12" i="29" s="1"/>
  <c r="K34" i="30" l="1"/>
  <c r="K79" i="30"/>
  <c r="K89" i="30" s="1"/>
  <c r="I18" i="30"/>
  <c r="A16" i="30"/>
  <c r="A17" i="30" s="1"/>
  <c r="A18" i="30" s="1"/>
  <c r="A21" i="30" s="1"/>
  <c r="K80" i="30"/>
  <c r="K90" i="30" s="1"/>
  <c r="K78" i="30"/>
  <c r="K81" i="30" s="1"/>
  <c r="J29" i="29"/>
  <c r="E98" i="29"/>
  <c r="J33" i="29" s="1"/>
  <c r="A13" i="29"/>
  <c r="A14" i="29" s="1"/>
  <c r="A15" i="29" s="1"/>
  <c r="A18" i="29" s="1"/>
  <c r="E103" i="29"/>
  <c r="J42" i="29" s="1"/>
  <c r="A22" i="30" l="1"/>
  <c r="A23" i="30" s="1"/>
  <c r="A24" i="30" s="1"/>
  <c r="K93" i="30"/>
  <c r="K110" i="30" s="1"/>
  <c r="K132" i="30" s="1"/>
  <c r="K88" i="30"/>
  <c r="K91" i="30" s="1"/>
  <c r="K95" i="30" s="1"/>
  <c r="K131" i="30" s="1"/>
  <c r="K137" i="30" s="1"/>
  <c r="J38" i="29"/>
  <c r="J56" i="29" s="1"/>
  <c r="J34" i="29"/>
  <c r="J55" i="29" s="1"/>
  <c r="J59" i="29" s="1"/>
  <c r="J64" i="29" s="1"/>
  <c r="E68" i="29" s="1"/>
  <c r="J41" i="29"/>
  <c r="A19" i="29"/>
  <c r="A20" i="29" s="1"/>
  <c r="A21" i="29" s="1"/>
  <c r="H21" i="29"/>
  <c r="H15" i="29"/>
  <c r="K142" i="30" l="1"/>
  <c r="K147" i="30" s="1"/>
  <c r="K152" i="30" s="1"/>
  <c r="K155" i="30" s="1"/>
  <c r="K157" i="30" s="1"/>
  <c r="I24" i="30"/>
  <c r="A26" i="30"/>
  <c r="I34" i="30"/>
  <c r="E73" i="29"/>
  <c r="J70" i="29" s="1"/>
  <c r="J72" i="29" s="1"/>
  <c r="A23" i="29"/>
  <c r="H29" i="29"/>
  <c r="I35" i="30" l="1"/>
  <c r="A28" i="30"/>
  <c r="A30" i="30" s="1"/>
  <c r="A31" i="30" s="1"/>
  <c r="A32" i="30" s="1"/>
  <c r="A34" i="30" s="1"/>
  <c r="A24" i="29"/>
  <c r="A25" i="29" s="1"/>
  <c r="A26" i="29" s="1"/>
  <c r="A27" i="29" s="1"/>
  <c r="A29" i="29" s="1"/>
  <c r="I115" i="30" l="1"/>
  <c r="A39" i="30"/>
  <c r="A33" i="29"/>
  <c r="A34" i="29" s="1"/>
  <c r="H41" i="29"/>
  <c r="H30" i="29"/>
  <c r="A40" i="30" l="1"/>
  <c r="A41" i="30" s="1"/>
  <c r="H34" i="29"/>
  <c r="A38" i="29"/>
  <c r="H55" i="29"/>
  <c r="A43" i="30" l="1"/>
  <c r="A44" i="30" s="1"/>
  <c r="I41" i="30"/>
  <c r="H56" i="29"/>
  <c r="A41" i="29"/>
  <c r="A42" i="29" s="1"/>
  <c r="A43" i="29" s="1"/>
  <c r="A44" i="29" s="1"/>
  <c r="A45" i="29" s="1"/>
  <c r="A48" i="29" s="1"/>
  <c r="A45" i="30" l="1"/>
  <c r="A49" i="29"/>
  <c r="A50" i="29" s="1"/>
  <c r="A51" i="29" s="1"/>
  <c r="A52" i="29" s="1"/>
  <c r="A53" i="29" s="1"/>
  <c r="A54" i="29" s="1"/>
  <c r="A55" i="29" s="1"/>
  <c r="A56" i="29" s="1"/>
  <c r="A57" i="29" s="1"/>
  <c r="A58" i="29" s="1"/>
  <c r="A59" i="29" s="1"/>
  <c r="A61" i="29" s="1"/>
  <c r="A64" i="29" s="1"/>
  <c r="A46" i="30" l="1"/>
  <c r="A47" i="30" s="1"/>
  <c r="A48" i="30" s="1"/>
  <c r="I44" i="30"/>
  <c r="A68" i="29"/>
  <c r="G68" i="29"/>
  <c r="H59" i="29"/>
  <c r="A49" i="30" l="1"/>
  <c r="A50" i="30" s="1"/>
  <c r="A51" i="30" s="1"/>
  <c r="A52" i="30" s="1"/>
  <c r="G70" i="29"/>
  <c r="A69" i="29"/>
  <c r="A70" i="29" s="1"/>
  <c r="A53" i="30" l="1"/>
  <c r="A54" i="30" s="1"/>
  <c r="I52" i="30"/>
  <c r="A71" i="29"/>
  <c r="A72" i="29" s="1"/>
  <c r="A73" i="29" s="1"/>
  <c r="G73" i="29"/>
  <c r="A55" i="30" l="1"/>
  <c r="A56" i="30" s="1"/>
  <c r="I54" i="30"/>
  <c r="G72" i="29"/>
  <c r="A58" i="30" l="1"/>
  <c r="I58" i="30"/>
  <c r="I56" i="30"/>
  <c r="A63" i="30" l="1"/>
  <c r="I129" i="30"/>
  <c r="A64" i="30" l="1"/>
  <c r="A65" i="30" s="1"/>
  <c r="I83" i="30" l="1"/>
  <c r="A68" i="30"/>
  <c r="A69" i="30" l="1"/>
  <c r="A70" i="30" s="1"/>
  <c r="I84" i="30" l="1"/>
  <c r="A73" i="30"/>
  <c r="A75" i="30" l="1"/>
  <c r="I75" i="30"/>
  <c r="A78" i="30" l="1"/>
  <c r="I78" i="30"/>
  <c r="I79" i="30"/>
  <c r="I80" i="30"/>
  <c r="A79" i="30" l="1"/>
  <c r="I88" i="30"/>
  <c r="A80" i="30" l="1"/>
  <c r="I89" i="30"/>
  <c r="I90" i="30" l="1"/>
  <c r="A83" i="30"/>
  <c r="A84" i="30" s="1"/>
  <c r="A85" i="30" s="1"/>
  <c r="A88" i="30" s="1"/>
  <c r="I81" i="30"/>
  <c r="A89" i="30" l="1"/>
  <c r="A90" i="30" l="1"/>
  <c r="I93" i="30"/>
  <c r="A91" i="30" l="1"/>
  <c r="I91" i="30"/>
  <c r="A93" i="30" l="1"/>
  <c r="I95" i="30"/>
  <c r="A95" i="30" l="1"/>
  <c r="I116" i="30"/>
  <c r="I131" i="30" l="1"/>
  <c r="A100" i="30"/>
  <c r="A101" i="30" l="1"/>
  <c r="A102" i="30" s="1"/>
  <c r="I102" i="30" l="1"/>
  <c r="I117" i="30"/>
  <c r="A105" i="30"/>
  <c r="A106" i="30" l="1"/>
  <c r="A107" i="30" s="1"/>
  <c r="A108" i="30" s="1"/>
  <c r="I108" i="30" l="1"/>
  <c r="I118" i="30"/>
  <c r="A110" i="30"/>
  <c r="A112" i="30" l="1"/>
  <c r="I132" i="30"/>
  <c r="I110" i="30" l="1"/>
  <c r="A124" i="30"/>
  <c r="A125" i="30" l="1"/>
  <c r="A126" i="30" s="1"/>
  <c r="A127" i="30" s="1"/>
  <c r="A128" i="30" s="1"/>
  <c r="A129" i="30" s="1"/>
  <c r="A130" i="30" s="1"/>
  <c r="A131" i="30" s="1"/>
  <c r="A132" i="30" s="1"/>
  <c r="A133" i="30" s="1"/>
  <c r="A134" i="30" s="1"/>
  <c r="A135" i="30" s="1"/>
  <c r="A137" i="30" s="1"/>
  <c r="I142" i="30" l="1"/>
  <c r="A139" i="30"/>
  <c r="A140" i="30" s="1"/>
  <c r="A142" i="30" s="1"/>
  <c r="I137" i="30"/>
  <c r="I17" i="30"/>
  <c r="I147" i="30" l="1"/>
  <c r="A147" i="30"/>
  <c r="A148" i="30" l="1"/>
  <c r="A149" i="30" s="1"/>
  <c r="A150" i="30" s="1"/>
  <c r="A152" i="30" s="1"/>
  <c r="A155" i="30" l="1"/>
  <c r="I155" i="30"/>
  <c r="I152" i="30"/>
  <c r="A156" i="30" l="1"/>
  <c r="A157" i="30" s="1"/>
  <c r="I157" i="30" l="1"/>
  <c r="I37" i="28" l="1"/>
  <c r="I39" i="28" s="1"/>
  <c r="I19" i="28" s="1"/>
  <c r="G37" i="28"/>
  <c r="G39" i="28" s="1"/>
  <c r="A33" i="28"/>
  <c r="A34" i="28" s="1"/>
  <c r="A35" i="28" s="1"/>
  <c r="A36" i="28" s="1"/>
  <c r="A37" i="28" s="1"/>
  <c r="A38" i="28" s="1"/>
  <c r="A39" i="28" s="1"/>
  <c r="G32" i="28"/>
  <c r="I32" i="28"/>
  <c r="I18" i="28" s="1"/>
  <c r="G27" i="28"/>
  <c r="I27" i="28"/>
  <c r="I17" i="28" s="1"/>
  <c r="G18" i="28"/>
  <c r="C101" i="27"/>
  <c r="F72" i="27"/>
  <c r="E72" i="27"/>
  <c r="F65" i="27"/>
  <c r="E65" i="27"/>
  <c r="G59" i="27"/>
  <c r="G37" i="27" s="1"/>
  <c r="D37" i="27" s="1"/>
  <c r="G6" i="27" s="1"/>
  <c r="H6" i="27" s="1"/>
  <c r="H58" i="27"/>
  <c r="G58" i="27"/>
  <c r="D50" i="27"/>
  <c r="D49" i="27"/>
  <c r="D48" i="27"/>
  <c r="G17" i="27" s="1"/>
  <c r="H17" i="27" s="1"/>
  <c r="D47" i="27"/>
  <c r="D46" i="27"/>
  <c r="D45" i="27"/>
  <c r="F44" i="27"/>
  <c r="D44" i="27"/>
  <c r="H43" i="27"/>
  <c r="D43" i="27"/>
  <c r="D42" i="27"/>
  <c r="D41" i="27"/>
  <c r="D40" i="27"/>
  <c r="D39" i="27"/>
  <c r="D38" i="27"/>
  <c r="F24" i="27"/>
  <c r="E20" i="27"/>
  <c r="G19" i="27"/>
  <c r="H19" i="27" s="1"/>
  <c r="H18" i="27"/>
  <c r="G18" i="27"/>
  <c r="H16" i="27"/>
  <c r="G16" i="27"/>
  <c r="G15" i="27"/>
  <c r="H15" i="27" s="1"/>
  <c r="G14" i="27"/>
  <c r="H14" i="27" s="1"/>
  <c r="G13" i="27"/>
  <c r="H13" i="27" s="1"/>
  <c r="H12" i="27"/>
  <c r="G12" i="27"/>
  <c r="G11" i="27"/>
  <c r="H11" i="27" s="1"/>
  <c r="H10" i="27"/>
  <c r="G10" i="27"/>
  <c r="H9" i="27"/>
  <c r="G9" i="27"/>
  <c r="H8" i="27"/>
  <c r="G8" i="27"/>
  <c r="A8" i="27"/>
  <c r="A9" i="27" s="1"/>
  <c r="A10" i="27" s="1"/>
  <c r="G7" i="27"/>
  <c r="H7" i="27" s="1"/>
  <c r="A7" i="27"/>
  <c r="D38" i="25"/>
  <c r="D55" i="25" s="1"/>
  <c r="D69" i="25" s="1"/>
  <c r="G177" i="25"/>
  <c r="G178" i="25" s="1"/>
  <c r="G169" i="25"/>
  <c r="G170" i="25" s="1"/>
  <c r="H143" i="25"/>
  <c r="G143" i="25"/>
  <c r="G144" i="25" s="1"/>
  <c r="E143" i="25"/>
  <c r="J143" i="25" s="1"/>
  <c r="E134" i="25"/>
  <c r="I129" i="25"/>
  <c r="A129" i="25"/>
  <c r="I127" i="25"/>
  <c r="H127" i="25"/>
  <c r="G127" i="25"/>
  <c r="F127" i="25"/>
  <c r="E127" i="25"/>
  <c r="D127" i="25"/>
  <c r="A124" i="25"/>
  <c r="A123" i="25"/>
  <c r="I118" i="25"/>
  <c r="D118" i="25"/>
  <c r="D129" i="25" s="1"/>
  <c r="E109" i="25"/>
  <c r="E108" i="25"/>
  <c r="E107" i="25"/>
  <c r="E106" i="25"/>
  <c r="A105" i="25"/>
  <c r="A106" i="25" s="1"/>
  <c r="A107" i="25" s="1"/>
  <c r="A108" i="25" s="1"/>
  <c r="A104" i="25"/>
  <c r="F103" i="25"/>
  <c r="F118" i="25" s="1"/>
  <c r="F129" i="25" s="1"/>
  <c r="F131" i="25" s="1"/>
  <c r="A103" i="25"/>
  <c r="E102" i="25"/>
  <c r="E94" i="25"/>
  <c r="H91" i="25"/>
  <c r="A91" i="25"/>
  <c r="E11" i="25" s="1"/>
  <c r="A90" i="25"/>
  <c r="I91" i="25" s="1"/>
  <c r="I89" i="25"/>
  <c r="H89" i="25"/>
  <c r="G89" i="25"/>
  <c r="F89" i="25"/>
  <c r="F91" i="25" s="1"/>
  <c r="D89" i="25"/>
  <c r="E85" i="25"/>
  <c r="E84" i="25"/>
  <c r="E83" i="25"/>
  <c r="E89" i="25" s="1"/>
  <c r="A83" i="25"/>
  <c r="A84" i="25" s="1"/>
  <c r="A85" i="25" s="1"/>
  <c r="A86" i="25" s="1"/>
  <c r="E82" i="25"/>
  <c r="A82" i="25"/>
  <c r="E81" i="25"/>
  <c r="A81" i="25"/>
  <c r="F80" i="25"/>
  <c r="I69" i="25"/>
  <c r="A69" i="25"/>
  <c r="I67" i="25"/>
  <c r="H67" i="25"/>
  <c r="G67" i="25"/>
  <c r="F67" i="25"/>
  <c r="F69" i="25" s="1"/>
  <c r="F71" i="25" s="1"/>
  <c r="D67" i="25"/>
  <c r="E63" i="25"/>
  <c r="E62" i="25"/>
  <c r="E61" i="25"/>
  <c r="A61" i="25"/>
  <c r="E60" i="25"/>
  <c r="A60" i="25"/>
  <c r="E59" i="25"/>
  <c r="E67" i="25" s="1"/>
  <c r="F55" i="25"/>
  <c r="G46" i="25"/>
  <c r="E45" i="25"/>
  <c r="E44" i="25"/>
  <c r="E43" i="25"/>
  <c r="E41" i="25"/>
  <c r="E40" i="25"/>
  <c r="E39" i="25"/>
  <c r="A32" i="25"/>
  <c r="A33" i="25" s="1"/>
  <c r="A34" i="25" s="1"/>
  <c r="A35" i="25" s="1"/>
  <c r="A36" i="25" s="1"/>
  <c r="A37" i="25" s="1"/>
  <c r="A38" i="25" s="1"/>
  <c r="A40" i="25" s="1"/>
  <c r="A41" i="25" s="1"/>
  <c r="A42" i="25" s="1"/>
  <c r="A43" i="25" s="1"/>
  <c r="A44" i="25" s="1"/>
  <c r="A45" i="25" s="1"/>
  <c r="A46" i="25" s="1"/>
  <c r="A31" i="25"/>
  <c r="I55" i="25" s="1"/>
  <c r="D13" i="25"/>
  <c r="A12" i="25"/>
  <c r="A13" i="25" s="1"/>
  <c r="A11" i="25"/>
  <c r="K18" i="28" l="1"/>
  <c r="K32" i="28"/>
  <c r="F29" i="27"/>
  <c r="G91" i="25"/>
  <c r="D91" i="25" s="1"/>
  <c r="D11" i="25" s="1"/>
  <c r="K27" i="28"/>
  <c r="G19" i="28"/>
  <c r="K19" i="28" s="1"/>
  <c r="K39" i="28"/>
  <c r="I20" i="28"/>
  <c r="K9" i="28" s="1"/>
  <c r="G17" i="28"/>
  <c r="G24" i="27"/>
  <c r="A11" i="27"/>
  <c r="A12" i="27" s="1"/>
  <c r="A13" i="27" s="1"/>
  <c r="A14" i="27" s="1"/>
  <c r="A15" i="27" s="1"/>
  <c r="A16" i="27" s="1"/>
  <c r="A17" i="27" s="1"/>
  <c r="A18" i="27" s="1"/>
  <c r="A19" i="27" s="1"/>
  <c r="H20" i="27"/>
  <c r="F23" i="27" s="1"/>
  <c r="F25" i="27" s="1"/>
  <c r="F27" i="27" s="1"/>
  <c r="F30" i="27" s="1"/>
  <c r="E14" i="25"/>
  <c r="A14" i="25"/>
  <c r="E105" i="25"/>
  <c r="H105" i="25" s="1"/>
  <c r="H118" i="25" s="1"/>
  <c r="H129" i="25" s="1"/>
  <c r="H131" i="25" s="1"/>
  <c r="E34" i="25"/>
  <c r="H34" i="25" s="1"/>
  <c r="E32" i="25"/>
  <c r="H32" i="25" s="1"/>
  <c r="E36" i="25"/>
  <c r="H36" i="25" s="1"/>
  <c r="E42" i="25"/>
  <c r="H42" i="25" s="1"/>
  <c r="E38" i="25"/>
  <c r="H38" i="25" s="1"/>
  <c r="E35" i="25"/>
  <c r="H35" i="25" s="1"/>
  <c r="E37" i="25"/>
  <c r="G37" i="25" s="1"/>
  <c r="E31" i="25"/>
  <c r="E104" i="25"/>
  <c r="G104" i="25" s="1"/>
  <c r="G118" i="25" s="1"/>
  <c r="G129" i="25" s="1"/>
  <c r="G131" i="25" s="1"/>
  <c r="D131" i="25" s="1"/>
  <c r="D12" i="25" s="1"/>
  <c r="E33" i="25"/>
  <c r="G33" i="25" s="1"/>
  <c r="E118" i="25"/>
  <c r="E129" i="25" s="1"/>
  <c r="H144" i="25"/>
  <c r="G145" i="25"/>
  <c r="E74" i="25"/>
  <c r="A130" i="25"/>
  <c r="A131" i="25" s="1"/>
  <c r="A70" i="25"/>
  <c r="A71" i="25" s="1"/>
  <c r="A94" i="25"/>
  <c r="K17" i="28" l="1"/>
  <c r="K20" i="28" s="1"/>
  <c r="K10" i="28" s="1"/>
  <c r="G20" i="28"/>
  <c r="C78" i="27"/>
  <c r="A20" i="27"/>
  <c r="G146" i="25"/>
  <c r="H145" i="25"/>
  <c r="A15" i="25"/>
  <c r="A16" i="25" s="1"/>
  <c r="A17" i="25" s="1"/>
  <c r="A18" i="25" s="1"/>
  <c r="A19" i="25" s="1"/>
  <c r="A20" i="25" s="1"/>
  <c r="A21" i="25" s="1"/>
  <c r="A22" i="25" s="1"/>
  <c r="A23" i="25" s="1"/>
  <c r="A24" i="25" s="1"/>
  <c r="E19" i="25"/>
  <c r="E10" i="25"/>
  <c r="A74" i="25"/>
  <c r="I71" i="25"/>
  <c r="A134" i="25"/>
  <c r="A143" i="25" s="1"/>
  <c r="A144" i="25" s="1"/>
  <c r="A145" i="25" s="1"/>
  <c r="A146" i="25" s="1"/>
  <c r="A147" i="25" s="1"/>
  <c r="A148" i="25" s="1"/>
  <c r="A149" i="25" s="1"/>
  <c r="A150" i="25" s="1"/>
  <c r="A151" i="25" s="1"/>
  <c r="A152" i="25" s="1"/>
  <c r="A153" i="25" s="1"/>
  <c r="A154" i="25" s="1"/>
  <c r="A155" i="25" s="1"/>
  <c r="A156" i="25" s="1"/>
  <c r="E12" i="25"/>
  <c r="G31" i="25"/>
  <c r="G55" i="25" s="1"/>
  <c r="G69" i="25" s="1"/>
  <c r="G71" i="25" s="1"/>
  <c r="E55" i="25"/>
  <c r="E69" i="25" s="1"/>
  <c r="H55" i="25"/>
  <c r="H69" i="25" s="1"/>
  <c r="H71" i="25" s="1"/>
  <c r="I131" i="25"/>
  <c r="A23" i="27" l="1"/>
  <c r="G23" i="27"/>
  <c r="D71" i="25"/>
  <c r="D10" i="25" s="1"/>
  <c r="D14" i="25" s="1"/>
  <c r="D154" i="25" s="1"/>
  <c r="D144" i="25"/>
  <c r="D148" i="25"/>
  <c r="D149" i="25"/>
  <c r="D150" i="25"/>
  <c r="G147" i="25"/>
  <c r="H146" i="25"/>
  <c r="D145" i="25" l="1"/>
  <c r="I145" i="25" s="1"/>
  <c r="D153" i="25"/>
  <c r="A24" i="27"/>
  <c r="A25" i="27" s="1"/>
  <c r="D155" i="25"/>
  <c r="D152" i="25"/>
  <c r="D146" i="25"/>
  <c r="I146" i="25" s="1"/>
  <c r="E156" i="25"/>
  <c r="D147" i="25"/>
  <c r="D151" i="25"/>
  <c r="I144" i="25"/>
  <c r="J144" i="25" s="1"/>
  <c r="J145" i="25" s="1"/>
  <c r="E144" i="25"/>
  <c r="E145" i="25" s="1"/>
  <c r="E146" i="25" s="1"/>
  <c r="E147" i="25" s="1"/>
  <c r="E148" i="25" s="1"/>
  <c r="E149" i="25" s="1"/>
  <c r="E150" i="25" s="1"/>
  <c r="E151" i="25" s="1"/>
  <c r="E152" i="25" s="1"/>
  <c r="E153" i="25" s="1"/>
  <c r="E154" i="25" s="1"/>
  <c r="E155" i="25" s="1"/>
  <c r="H147" i="25"/>
  <c r="G148" i="25"/>
  <c r="A26" i="27" l="1"/>
  <c r="A27" i="27" s="1"/>
  <c r="G25" i="27"/>
  <c r="I147" i="25"/>
  <c r="J146" i="25"/>
  <c r="J147" i="25" s="1"/>
  <c r="H148" i="25"/>
  <c r="I148" i="25" s="1"/>
  <c r="G149" i="25"/>
  <c r="A28" i="27" l="1"/>
  <c r="G27" i="27"/>
  <c r="H149" i="25"/>
  <c r="I149" i="25" s="1"/>
  <c r="G150" i="25"/>
  <c r="J148" i="25"/>
  <c r="A29" i="27" l="1"/>
  <c r="G29" i="27"/>
  <c r="H150" i="25"/>
  <c r="I150" i="25" s="1"/>
  <c r="G151" i="25"/>
  <c r="J149" i="25"/>
  <c r="A30" i="27" l="1"/>
  <c r="A37" i="27" s="1"/>
  <c r="G30" i="27"/>
  <c r="H151" i="25"/>
  <c r="I151" i="25" s="1"/>
  <c r="G152" i="25"/>
  <c r="J150" i="25"/>
  <c r="G79" i="27" l="1"/>
  <c r="A38" i="27"/>
  <c r="A39" i="27" s="1"/>
  <c r="A40" i="27" s="1"/>
  <c r="A41" i="27" s="1"/>
  <c r="A42" i="27" s="1"/>
  <c r="A43" i="27" s="1"/>
  <c r="G153" i="25"/>
  <c r="H152" i="25"/>
  <c r="I152" i="25" s="1"/>
  <c r="J151" i="25"/>
  <c r="C80" i="27" l="1"/>
  <c r="A44" i="27"/>
  <c r="G154" i="25"/>
  <c r="H153" i="25"/>
  <c r="I153" i="25" s="1"/>
  <c r="J152" i="25"/>
  <c r="A45" i="27" l="1"/>
  <c r="A46" i="27" s="1"/>
  <c r="A47" i="27" s="1"/>
  <c r="A48" i="27" s="1"/>
  <c r="A49" i="27" s="1"/>
  <c r="A50" i="27" s="1"/>
  <c r="C74" i="27"/>
  <c r="G155" i="25"/>
  <c r="H155" i="25" s="1"/>
  <c r="I155" i="25" s="1"/>
  <c r="H154" i="25"/>
  <c r="I154" i="25" s="1"/>
  <c r="J153" i="25"/>
  <c r="J154" i="25" l="1"/>
  <c r="J155" i="25" s="1"/>
  <c r="D24" i="25" s="1"/>
  <c r="K138" i="23" l="1"/>
  <c r="K110" i="23"/>
  <c r="K104" i="23"/>
  <c r="K86" i="23"/>
  <c r="K85" i="23"/>
  <c r="K75" i="23"/>
  <c r="K52" i="23"/>
  <c r="K54" i="23" s="1"/>
  <c r="K56" i="23" s="1"/>
  <c r="K44" i="23"/>
  <c r="K41" i="23"/>
  <c r="K24" i="23"/>
  <c r="K17" i="23"/>
  <c r="K18" i="23" s="1"/>
  <c r="K34" i="23"/>
  <c r="A10" i="23"/>
  <c r="E10" i="5"/>
  <c r="E9" i="5"/>
  <c r="F103" i="22"/>
  <c r="F98" i="22"/>
  <c r="E87" i="22"/>
  <c r="J86" i="22"/>
  <c r="J62" i="22"/>
  <c r="H42" i="22"/>
  <c r="H33" i="22"/>
  <c r="J21" i="22"/>
  <c r="J15" i="22"/>
  <c r="A7" i="22"/>
  <c r="A8" i="22" s="1"/>
  <c r="A9" i="22" s="1"/>
  <c r="A12" i="22" s="1"/>
  <c r="K58" i="23" l="1"/>
  <c r="K131" i="23" s="1"/>
  <c r="K82" i="23"/>
  <c r="K92" i="23" s="1"/>
  <c r="K81" i="23"/>
  <c r="K91" i="23" s="1"/>
  <c r="K95" i="23" s="1"/>
  <c r="K112" i="23" s="1"/>
  <c r="K134" i="23" s="1"/>
  <c r="A11" i="23"/>
  <c r="A12" i="23" s="1"/>
  <c r="A15" i="23" s="1"/>
  <c r="E98" i="22"/>
  <c r="J33" i="22" s="1"/>
  <c r="E103" i="22"/>
  <c r="J42" i="22" s="1"/>
  <c r="J29" i="22"/>
  <c r="A13" i="22"/>
  <c r="A14" i="22" s="1"/>
  <c r="A15" i="22" s="1"/>
  <c r="A18" i="22" s="1"/>
  <c r="H15" i="22"/>
  <c r="A16" i="23" l="1"/>
  <c r="A17" i="23" s="1"/>
  <c r="A18" i="23" s="1"/>
  <c r="A21" i="23" s="1"/>
  <c r="K80" i="23"/>
  <c r="A19" i="22"/>
  <c r="A20" i="22" s="1"/>
  <c r="A21" i="22" s="1"/>
  <c r="H21" i="22"/>
  <c r="J38" i="22"/>
  <c r="J56" i="22" s="1"/>
  <c r="J34" i="22"/>
  <c r="J55" i="22" s="1"/>
  <c r="J59" i="22" s="1"/>
  <c r="J64" i="22" s="1"/>
  <c r="E68" i="22" s="1"/>
  <c r="J41" i="22"/>
  <c r="I34" i="23" l="1"/>
  <c r="K83" i="23"/>
  <c r="K90" i="23"/>
  <c r="K93" i="23" s="1"/>
  <c r="K97" i="23" s="1"/>
  <c r="K133" i="23" s="1"/>
  <c r="K139" i="23" s="1"/>
  <c r="A22" i="23"/>
  <c r="A23" i="23" s="1"/>
  <c r="A24" i="23" s="1"/>
  <c r="A26" i="23" s="1"/>
  <c r="I18" i="23"/>
  <c r="E70" i="22"/>
  <c r="E72" i="22"/>
  <c r="E73" i="22"/>
  <c r="J70" i="22" s="1"/>
  <c r="J72" i="22" s="1"/>
  <c r="A23" i="22"/>
  <c r="H29" i="22"/>
  <c r="I24" i="23" l="1"/>
  <c r="K144" i="23"/>
  <c r="K149" i="23" s="1"/>
  <c r="K154" i="23" s="1"/>
  <c r="K157" i="23" s="1"/>
  <c r="K159" i="23" s="1"/>
  <c r="A28" i="23"/>
  <c r="A30" i="23" s="1"/>
  <c r="A31" i="23" s="1"/>
  <c r="A32" i="23" s="1"/>
  <c r="A34" i="23" s="1"/>
  <c r="A24" i="22"/>
  <c r="A25" i="22" s="1"/>
  <c r="A26" i="22" s="1"/>
  <c r="A27" i="22" s="1"/>
  <c r="A29" i="22" s="1"/>
  <c r="I117" i="23" l="1"/>
  <c r="A39" i="23"/>
  <c r="I35" i="23"/>
  <c r="H30" i="22"/>
  <c r="H41" i="22"/>
  <c r="A33" i="22"/>
  <c r="A34" i="22" s="1"/>
  <c r="H34" i="22"/>
  <c r="A40" i="23" l="1"/>
  <c r="A41" i="23" s="1"/>
  <c r="A38" i="22"/>
  <c r="H55" i="22"/>
  <c r="A43" i="23" l="1"/>
  <c r="A44" i="23" s="1"/>
  <c r="I41" i="23"/>
  <c r="H56" i="22"/>
  <c r="A41" i="22"/>
  <c r="A42" i="22" s="1"/>
  <c r="A43" i="22" s="1"/>
  <c r="A44" i="22" s="1"/>
  <c r="A45" i="22" s="1"/>
  <c r="A48" i="22" s="1"/>
  <c r="A45" i="23" l="1"/>
  <c r="A49" i="22"/>
  <c r="A50" i="22" s="1"/>
  <c r="A51" i="22" s="1"/>
  <c r="A52" i="22" s="1"/>
  <c r="A53" i="22" s="1"/>
  <c r="A54" i="22" s="1"/>
  <c r="A55" i="22" s="1"/>
  <c r="A56" i="22" s="1"/>
  <c r="A57" i="22" s="1"/>
  <c r="A58" i="22" s="1"/>
  <c r="A59" i="22" s="1"/>
  <c r="A46" i="23" l="1"/>
  <c r="A47" i="23" s="1"/>
  <c r="A48" i="23" s="1"/>
  <c r="H64" i="22"/>
  <c r="A61" i="22"/>
  <c r="A64" i="22" s="1"/>
  <c r="H59" i="22"/>
  <c r="A49" i="23" l="1"/>
  <c r="A50" i="23" s="1"/>
  <c r="A51" i="23" s="1"/>
  <c r="A52" i="23" s="1"/>
  <c r="I52" i="23"/>
  <c r="I44" i="23"/>
  <c r="A68" i="22"/>
  <c r="G68" i="22"/>
  <c r="A53" i="23" l="1"/>
  <c r="A54" i="23" s="1"/>
  <c r="I54" i="23"/>
  <c r="A69" i="22"/>
  <c r="A70" i="22" s="1"/>
  <c r="A71" i="22" s="1"/>
  <c r="A72" i="22" s="1"/>
  <c r="A73" i="22" s="1"/>
  <c r="G70" i="22"/>
  <c r="A55" i="23" l="1"/>
  <c r="A56" i="23" s="1"/>
  <c r="I56" i="23"/>
  <c r="G73" i="22"/>
  <c r="G72" i="22"/>
  <c r="A58" i="23" l="1"/>
  <c r="I58" i="23"/>
  <c r="A63" i="23" l="1"/>
  <c r="I131" i="23"/>
  <c r="A64" i="23" l="1"/>
  <c r="A65" i="23" s="1"/>
  <c r="A68" i="23" l="1"/>
  <c r="I85" i="23"/>
  <c r="A69" i="23" l="1"/>
  <c r="A70" i="23" s="1"/>
  <c r="I86" i="23" l="1"/>
  <c r="A73" i="23"/>
  <c r="A75" i="23" l="1"/>
  <c r="I75" i="23"/>
  <c r="A80" i="23" l="1"/>
  <c r="I81" i="23"/>
  <c r="I82" i="23"/>
  <c r="A81" i="23" l="1"/>
  <c r="I90" i="23"/>
  <c r="A82" i="23" l="1"/>
  <c r="I91" i="23"/>
  <c r="I83" i="23"/>
  <c r="A85" i="23" l="1"/>
  <c r="A86" i="23" s="1"/>
  <c r="A87" i="23" s="1"/>
  <c r="A90" i="23" s="1"/>
  <c r="I80" i="23"/>
  <c r="A91" i="23" l="1"/>
  <c r="I92" i="23"/>
  <c r="A92" i="23" l="1"/>
  <c r="I95" i="23"/>
  <c r="A93" i="23" l="1"/>
  <c r="I93" i="23"/>
  <c r="A95" i="23" l="1"/>
  <c r="I97" i="23"/>
  <c r="A97" i="23" l="1"/>
  <c r="I118" i="23"/>
  <c r="I133" i="23" l="1"/>
  <c r="A102" i="23"/>
  <c r="A103" i="23" l="1"/>
  <c r="A104" i="23" s="1"/>
  <c r="I104" i="23"/>
  <c r="I119" i="23" l="1"/>
  <c r="A107" i="23"/>
  <c r="A108" i="23" l="1"/>
  <c r="A109" i="23" s="1"/>
  <c r="A110" i="23" s="1"/>
  <c r="A112" i="23" l="1"/>
  <c r="I120" i="23"/>
  <c r="I110" i="23"/>
  <c r="A114" i="23" l="1"/>
  <c r="I134" i="23"/>
  <c r="I112" i="23" l="1"/>
  <c r="A126" i="23"/>
  <c r="I139" i="23" l="1"/>
  <c r="A127" i="23"/>
  <c r="A128" i="23" s="1"/>
  <c r="A129" i="23" s="1"/>
  <c r="A130" i="23" s="1"/>
  <c r="A131" i="23" s="1"/>
  <c r="A132" i="23" s="1"/>
  <c r="A133" i="23" s="1"/>
  <c r="A134" i="23" s="1"/>
  <c r="A135" i="23" s="1"/>
  <c r="A136" i="23" s="1"/>
  <c r="A137" i="23" s="1"/>
  <c r="A139" i="23" s="1"/>
  <c r="I17" i="23"/>
  <c r="A141" i="23" l="1"/>
  <c r="A142" i="23" s="1"/>
  <c r="A144" i="23" s="1"/>
  <c r="I144" i="23"/>
  <c r="I149" i="23" l="1"/>
  <c r="A149" i="23"/>
  <c r="A150" i="23" l="1"/>
  <c r="A151" i="23" s="1"/>
  <c r="A152" i="23" s="1"/>
  <c r="A154" i="23" s="1"/>
  <c r="A157" i="23" l="1"/>
  <c r="I157" i="23"/>
  <c r="I154" i="23"/>
  <c r="A158" i="23" l="1"/>
  <c r="A159" i="23" s="1"/>
  <c r="I159" i="23" l="1"/>
  <c r="F10" i="5" l="1"/>
  <c r="F9" i="5"/>
  <c r="G9" i="5" s="1"/>
  <c r="F7" i="5"/>
  <c r="F6" i="5"/>
  <c r="G10" i="5" l="1"/>
  <c r="G11" i="5" l="1"/>
  <c r="D39" i="1" l="1"/>
  <c r="F38" i="1"/>
  <c r="G38" i="1" s="1"/>
  <c r="F37" i="1"/>
  <c r="G37" i="1" s="1"/>
  <c r="G39" i="1" l="1"/>
  <c r="F6" i="1" s="1"/>
  <c r="G19" i="1" s="1"/>
  <c r="G7" i="5"/>
  <c r="G6" i="5" l="1"/>
  <c r="G8" i="5" s="1"/>
  <c r="G12" i="5" l="1"/>
  <c r="F7" i="6" l="1"/>
  <c r="F6" i="6"/>
  <c r="G6" i="6" s="1"/>
  <c r="G7" i="6"/>
  <c r="G8" i="6" l="1"/>
  <c r="F8" i="3" l="1"/>
  <c r="B24" i="3" l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G30" i="1" l="1"/>
  <c r="G29" i="1"/>
  <c r="G28" i="1"/>
  <c r="G27" i="1"/>
  <c r="G26" i="1"/>
  <c r="G25" i="1"/>
  <c r="G24" i="1"/>
  <c r="G23" i="1"/>
  <c r="G22" i="1"/>
  <c r="G21" i="1"/>
  <c r="G20" i="1"/>
  <c r="F30" i="1"/>
  <c r="F29" i="1"/>
  <c r="F28" i="1"/>
  <c r="F27" i="1"/>
  <c r="F26" i="1"/>
  <c r="F25" i="1"/>
  <c r="F24" i="1"/>
  <c r="F23" i="1"/>
  <c r="F22" i="1"/>
  <c r="F21" i="1"/>
  <c r="F20" i="1"/>
  <c r="F19" i="1"/>
  <c r="H20" i="1" l="1"/>
  <c r="H24" i="1"/>
  <c r="H21" i="1"/>
  <c r="H29" i="1"/>
  <c r="H22" i="1"/>
  <c r="H26" i="1"/>
  <c r="H30" i="1"/>
  <c r="H28" i="1"/>
  <c r="H25" i="1"/>
  <c r="H19" i="1"/>
  <c r="J19" i="1" s="1"/>
  <c r="K19" i="1" s="1"/>
  <c r="L19" i="1" s="1"/>
  <c r="H23" i="1"/>
  <c r="H27" i="1"/>
  <c r="G31" i="1"/>
  <c r="F31" i="1"/>
  <c r="H31" i="1" l="1"/>
  <c r="J20" i="1"/>
  <c r="K20" i="1" s="1"/>
  <c r="L20" i="1" l="1"/>
  <c r="J21" i="1" l="1"/>
  <c r="K21" i="1" s="1"/>
  <c r="L21" i="1" s="1"/>
  <c r="J22" i="1" l="1"/>
  <c r="K22" i="1" s="1"/>
  <c r="L22" i="1" l="1"/>
  <c r="J23" i="1" l="1"/>
  <c r="K23" i="1" s="1"/>
  <c r="L23" i="1" l="1"/>
  <c r="J24" i="1" s="1"/>
  <c r="K24" i="1" l="1"/>
  <c r="L24" i="1" s="1"/>
  <c r="J25" i="1" s="1"/>
  <c r="K25" i="1" l="1"/>
  <c r="L25" i="1" s="1"/>
  <c r="J26" i="1" l="1"/>
  <c r="K26" i="1" s="1"/>
  <c r="L26" i="1" l="1"/>
  <c r="J27" i="1" l="1"/>
  <c r="K27" i="1" s="1"/>
  <c r="L27" i="1" l="1"/>
  <c r="J28" i="1" l="1"/>
  <c r="K28" i="1" l="1"/>
  <c r="L28" i="1" s="1"/>
  <c r="J29" i="1" l="1"/>
  <c r="K29" i="1" l="1"/>
  <c r="L29" i="1" s="1"/>
  <c r="J30" i="1" l="1"/>
  <c r="K30" i="1" l="1"/>
  <c r="L30" i="1" l="1"/>
  <c r="F11" i="3" s="1"/>
  <c r="F35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Jee Kim</author>
  </authors>
  <commentList>
    <comment ref="C39" authorId="0" shapeId="0" xr:uid="{DA9F38C8-94AD-473B-91B7-AD813712EACA}">
      <text>
        <r>
          <rPr>
            <sz val="9"/>
            <color indexed="81"/>
            <rFont val="Tahoma"/>
            <family val="2"/>
          </rPr>
          <t>Added line to remove 2019 Wildfire Reserve amounts from ADIT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Jee Kim</author>
  </authors>
  <commentList>
    <comment ref="E42" authorId="0" shapeId="0" xr:uid="{B3FCE579-FA3D-41F4-AF12-02AAB1C3F9A7}">
      <text>
        <r>
          <rPr>
            <sz val="9"/>
            <color indexed="81"/>
            <rFont val="Tahoma"/>
            <family val="2"/>
          </rPr>
          <t>Changed from $152,267,278 to $168,752,278 to remove $16.485M related to 2019 Wildfires since it is being recovered on a cash basis pursuant to TO2019A Settlement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Jee Kim</author>
  </authors>
  <commentList>
    <comment ref="I25" authorId="0" shapeId="0" xr:uid="{7FF8B44D-C2E9-4B7C-BE29-1E16CBEE85D2}">
      <text>
        <r>
          <rPr>
            <b/>
            <sz val="9"/>
            <color indexed="81"/>
            <rFont val="Tahoma"/>
            <family val="2"/>
          </rPr>
          <t>Changed from -$2,956,425,360 to -$2,939,940,360 Removed $16.485M related to 2019 Wildfires since it is being recovered on a cash basis pursuant to TO2019A Settlement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Jee Kim</author>
  </authors>
  <commentList>
    <comment ref="K105" authorId="0" shapeId="0" xr:uid="{C2538F59-D596-4B54-8813-32345EDDDA8E}">
      <text>
        <r>
          <rPr>
            <sz val="9"/>
            <color indexed="81"/>
            <rFont val="Tahoma"/>
            <family val="2"/>
          </rPr>
          <t xml:space="preserve">Changed from -$29,467,842 to -$15,761,285 to adjust EDIT balance. 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Jee Kim</author>
  </authors>
  <commentList>
    <comment ref="K107" authorId="0" shapeId="0" xr:uid="{375841AD-402D-47EC-B38C-0E1B1A8F8627}">
      <text>
        <r>
          <rPr>
            <sz val="9"/>
            <color indexed="81"/>
            <rFont val="Tahoma"/>
            <family val="2"/>
          </rPr>
          <t xml:space="preserve">Changed from -$29,467,842 to -$15,761,285 to adjust EDIT balance. </t>
        </r>
      </text>
    </comment>
  </commentList>
</comments>
</file>

<file path=xl/sharedStrings.xml><?xml version="1.0" encoding="utf-8"?>
<sst xmlns="http://schemas.openxmlformats.org/spreadsheetml/2006/main" count="1706" uniqueCount="761">
  <si>
    <t>Total Adjustments for proposed Formula Rate to reflect:</t>
  </si>
  <si>
    <t>1) Shortfall or Excess Revenue in Previous Annual Update</t>
  </si>
  <si>
    <t xml:space="preserve">2) One Time Adjustment Transition from the TO2018 Model to the TO2019A Model </t>
  </si>
  <si>
    <t>3) One Time Adjustment related to 2019 Wildfire</t>
  </si>
  <si>
    <t>4) One Time Adjustment related to 2019 EDIT Amortization</t>
  </si>
  <si>
    <t>Shortfall or Excess Revenue in Previous Annual Update:</t>
  </si>
  <si>
    <t>Over/Undercollection:</t>
  </si>
  <si>
    <t>See TO2020 Filing, Schedule 3, Line 23, Column 9</t>
  </si>
  <si>
    <t>One Time Adjustment:</t>
  </si>
  <si>
    <t>True Up TRR Adjustment:</t>
  </si>
  <si>
    <t>See "One Time Adjust for TUTRR" sheet</t>
  </si>
  <si>
    <t>The Adjustments will appear as follows in TO2021 Draft Annual Update Schedule 3:</t>
  </si>
  <si>
    <t>Col 1</t>
  </si>
  <si>
    <t>Col 4</t>
  </si>
  <si>
    <t>See Note 4</t>
  </si>
  <si>
    <t>One-Time</t>
  </si>
  <si>
    <t>Adjustments and</t>
  </si>
  <si>
    <t>Shortfall/Excess</t>
  </si>
  <si>
    <t>C1 -C2</t>
  </si>
  <si>
    <t>Revenue In</t>
  </si>
  <si>
    <t>not</t>
  </si>
  <si>
    <t>Previous</t>
  </si>
  <si>
    <t>Line</t>
  </si>
  <si>
    <t>Month</t>
  </si>
  <si>
    <t>Year</t>
  </si>
  <si>
    <t>shown</t>
  </si>
  <si>
    <t>Annual Update</t>
  </si>
  <si>
    <t>December</t>
  </si>
  <si>
    <t>---</t>
  </si>
  <si>
    <r>
      <rPr>
        <sz val="11"/>
        <color theme="1"/>
        <rFont val="Calibri"/>
        <family val="2"/>
      </rPr>
      <t xml:space="preserve">← </t>
    </r>
    <r>
      <rPr>
        <sz val="11"/>
        <color theme="1"/>
        <rFont val="Calibri"/>
        <family val="2"/>
        <scheme val="minor"/>
      </rPr>
      <t>From TO2020 Filing, Line 23, Col. 9 pursuant to Note 4:</t>
    </r>
  </si>
  <si>
    <t>January</t>
  </si>
  <si>
    <r>
      <rPr>
        <b/>
        <sz val="11"/>
        <color theme="1"/>
        <rFont val="Calibri"/>
        <family val="2"/>
        <scheme val="minor"/>
      </rPr>
      <t>Note 4:</t>
    </r>
    <r>
      <rPr>
        <sz val="11"/>
        <color theme="1"/>
        <rFont val="Calibri"/>
        <family val="2"/>
        <scheme val="minor"/>
      </rPr>
      <t xml:space="preserve"> "Enter "Shortfall or Excess Revenue in Previous</t>
    </r>
  </si>
  <si>
    <t>February</t>
  </si>
  <si>
    <t xml:space="preserve">Annual Update" on Line 11, or other appropriate </t>
  </si>
  <si>
    <t>March</t>
  </si>
  <si>
    <t>(from Previous Annual Update, Line 23, Column 9)."</t>
  </si>
  <si>
    <t>April</t>
  </si>
  <si>
    <t>May</t>
  </si>
  <si>
    <t xml:space="preserve">June </t>
  </si>
  <si>
    <t>July</t>
  </si>
  <si>
    <t>August</t>
  </si>
  <si>
    <t>September</t>
  </si>
  <si>
    <t>October</t>
  </si>
  <si>
    <t>November</t>
  </si>
  <si>
    <r>
      <rPr>
        <sz val="11"/>
        <color theme="1"/>
        <rFont val="Calibri"/>
        <family val="2"/>
      </rPr>
      <t xml:space="preserve">← </t>
    </r>
    <r>
      <rPr>
        <sz val="11"/>
        <color theme="1"/>
        <rFont val="Calibri"/>
        <family val="2"/>
        <scheme val="minor"/>
      </rPr>
      <t>From "One Time Adjust for TUTRR" Worksheet</t>
    </r>
  </si>
  <si>
    <t>+ One Time Adjustment related to 2019 Wildfire Adj Worksheet</t>
  </si>
  <si>
    <t>+ One Time Adjustment related to 2019 EDIT Amortization Adj Worksheet</t>
  </si>
  <si>
    <t xml:space="preserve">Workpaper to Calculate One Time Adjustment to adjust for the difference between the True Up TRR </t>
  </si>
  <si>
    <t>in the New Formula Rate as compared to the Weighted Average 2019 TUTRR</t>
  </si>
  <si>
    <t>Annual True Up TRRs for Year:</t>
  </si>
  <si>
    <t>A</t>
  </si>
  <si>
    <t>TO2019A TUTRR for 2019:</t>
  </si>
  <si>
    <t>B</t>
  </si>
  <si>
    <t>Weighted Average 2019 TUTRR:</t>
  </si>
  <si>
    <t>See Note 2</t>
  </si>
  <si>
    <t>Monthly True Up TRRs for the TO2019A TUTRR for 2019 and the Weighted Average 2019 TUTRR:</t>
  </si>
  <si>
    <t>(Col 1)</t>
  </si>
  <si>
    <t>(Col 2)</t>
  </si>
  <si>
    <t>(Col 3)</t>
  </si>
  <si>
    <t>(Col 4)</t>
  </si>
  <si>
    <t>(Col 5)</t>
  </si>
  <si>
    <t>(Col 6)</t>
  </si>
  <si>
    <t>(Col 7)</t>
  </si>
  <si>
    <t>= A / 12</t>
  </si>
  <si>
    <t>= B / 12</t>
  </si>
  <si>
    <t>= (C2 - C3)</t>
  </si>
  <si>
    <t>= (C3 + LagC7)</t>
  </si>
  <si>
    <t>= (C5 + C6)</t>
  </si>
  <si>
    <t>Cumulative</t>
  </si>
  <si>
    <t>Under (+) or</t>
  </si>
  <si>
    <t>Over (-)</t>
  </si>
  <si>
    <t>Statement</t>
  </si>
  <si>
    <t>Monthly</t>
  </si>
  <si>
    <t>of TUTRR</t>
  </si>
  <si>
    <t>Interest</t>
  </si>
  <si>
    <t>TO2019A</t>
  </si>
  <si>
    <t>Weighted Average</t>
  </si>
  <si>
    <t>wo Interest for</t>
  </si>
  <si>
    <t>for Current</t>
  </si>
  <si>
    <t>with Interest for</t>
  </si>
  <si>
    <t>TUTRR for 2019</t>
  </si>
  <si>
    <t>2019 TUTRR</t>
  </si>
  <si>
    <t>Rate</t>
  </si>
  <si>
    <t>Current Month</t>
  </si>
  <si>
    <t>Total:</t>
  </si>
  <si>
    <t>á</t>
  </si>
  <si>
    <t>One Time Adjustment</t>
  </si>
  <si>
    <t>Notes:</t>
  </si>
  <si>
    <t xml:space="preserve">1) The purpose of this workpaper is to calculate a One Time Adjustments related to the 2019 year. </t>
  </si>
  <si>
    <t>2) Weighted Average 2019 TUTRR calculated pursuant to the Formula Rate Protocols.</t>
  </si>
  <si>
    <t xml:space="preserve">Weighted Average by Days </t>
  </si>
  <si>
    <t>Weighted Amount</t>
  </si>
  <si>
    <t>TO2018 Model</t>
  </si>
  <si>
    <t>TO2019A Model</t>
  </si>
  <si>
    <t>One Time Adjustment to Reflect Wildfire Cash Accounting Treatment for 2019 During the Period that the TO2018 Formula was in Effect</t>
  </si>
  <si>
    <t>Description</t>
  </si>
  <si>
    <t>Amount</t>
  </si>
  <si>
    <t>Weighting Factor</t>
  </si>
  <si>
    <t>Source</t>
  </si>
  <si>
    <t>Adjusted TO2018 Model True Up TRR</t>
  </si>
  <si>
    <t>TO2021 Draft Posting - WP Schedule 3 - One Time Adjust Transition, Page 5, Line 46</t>
  </si>
  <si>
    <t>TO2018 Model True Up TRR</t>
  </si>
  <si>
    <t>TO2021 Draft Posting - Attachment 5, Schedule 4, Line 46</t>
  </si>
  <si>
    <t xml:space="preserve">One Time Adjustment Reflecting Wildfire Cash Accounting Treatment: </t>
  </si>
  <si>
    <t>Calculation of True Up TRR</t>
  </si>
  <si>
    <t>A) Rate Base for True Up TRR</t>
  </si>
  <si>
    <t>Calculation</t>
  </si>
  <si>
    <t xml:space="preserve">FERC Form 1 Reference </t>
  </si>
  <si>
    <t xml:space="preserve">Line </t>
  </si>
  <si>
    <t>Rate Base Item</t>
  </si>
  <si>
    <t>Method</t>
  </si>
  <si>
    <t>Notes</t>
  </si>
  <si>
    <t>or Instruction</t>
  </si>
  <si>
    <t>ISO Transmission Plant</t>
  </si>
  <si>
    <t>13-Month Avg.</t>
  </si>
  <si>
    <t>General + Elec. Misc. Intangible Plant</t>
  </si>
  <si>
    <t>BOY/EOY Avg.</t>
  </si>
  <si>
    <t>Transmission Plant Held for Future Use</t>
  </si>
  <si>
    <t>Abandoned Plant</t>
  </si>
  <si>
    <t>Working Capital Amounts</t>
  </si>
  <si>
    <t>Materials and Supplies</t>
  </si>
  <si>
    <t>Prepayments</t>
  </si>
  <si>
    <t>Cash Working Capital</t>
  </si>
  <si>
    <t>1/8 (O&amp;M + A&amp;G)</t>
  </si>
  <si>
    <t>Working Capital</t>
  </si>
  <si>
    <t>Accumulated Depreciation Reserve Amounts</t>
  </si>
  <si>
    <t>Transmission Depreciation Reserve - ISO</t>
  </si>
  <si>
    <t>Negative amount</t>
  </si>
  <si>
    <t>Distribution Depreciation Reserve - ISO</t>
  </si>
  <si>
    <t>G + I Depreciation Reserve</t>
  </si>
  <si>
    <t>Accumulated Depreciation Reserve</t>
  </si>
  <si>
    <t>Accumulated Deferred Income Taxes</t>
  </si>
  <si>
    <t>CWIP Plant</t>
  </si>
  <si>
    <t>Network Upgrade Credits</t>
  </si>
  <si>
    <t>Unfunded Reserves</t>
  </si>
  <si>
    <t>Other Regulatory Assets/Liabilities</t>
  </si>
  <si>
    <t>Rate Base</t>
  </si>
  <si>
    <t>B) Return on Capital</t>
  </si>
  <si>
    <t>Cost of Capital Rate</t>
  </si>
  <si>
    <t>See Instruction 1</t>
  </si>
  <si>
    <t>Return on Capital: Rate Base times Cost of Capital Rate</t>
  </si>
  <si>
    <t>C) Income Taxes</t>
  </si>
  <si>
    <t>Income Taxes = [((RB * ER) + D) * (CTR/(1 – CTR))]  + CO/(1 – CTR)</t>
  </si>
  <si>
    <t>Where:</t>
  </si>
  <si>
    <t>RB = Rate Base</t>
  </si>
  <si>
    <t>ER = Equity ROR inc. Com. and Pref. Stock</t>
  </si>
  <si>
    <t>Instruction 1</t>
  </si>
  <si>
    <t>CTR = Composite Tax Rate</t>
  </si>
  <si>
    <t>CO = Credits and Other</t>
  </si>
  <si>
    <t>D = Book Depreciation of AFUDC Equity Book Basis</t>
  </si>
  <si>
    <t>D) True Up TRR Calculation</t>
  </si>
  <si>
    <t>O&amp;M Expense</t>
  </si>
  <si>
    <t>A&amp;G Expense</t>
  </si>
  <si>
    <t>Network Upgrade Interest Expense</t>
  </si>
  <si>
    <t>Depreciation Expense</t>
  </si>
  <si>
    <t>Abandoned Plant Amortization Expense</t>
  </si>
  <si>
    <t>Other Taxes</t>
  </si>
  <si>
    <t>Revenue Credits</t>
  </si>
  <si>
    <t>Return on Capital</t>
  </si>
  <si>
    <t>Income Taxes</t>
  </si>
  <si>
    <t>Gains and Losses on Transmission Plant Held for Future Use -- Land</t>
  </si>
  <si>
    <t>Amortization and Regulatory Debits/Credits</t>
  </si>
  <si>
    <t>Total without True Up Incentive Adder</t>
  </si>
  <si>
    <t>True Up Incentive Adder</t>
  </si>
  <si>
    <t>39a</t>
  </si>
  <si>
    <t>True Up Incentive Adder Reversal</t>
  </si>
  <si>
    <t>Negative of Line 39, Note 1</t>
  </si>
  <si>
    <t>True Up TRR without Franchise Fees and Uncollectibles Expense included:</t>
  </si>
  <si>
    <t>Line 38 + Line 39 + Line 39a</t>
  </si>
  <si>
    <t>E) Calculation of final True Up TRR with Franchise Fees and Uncollectibles Expenses</t>
  </si>
  <si>
    <t>Reference:</t>
  </si>
  <si>
    <t>True Up TRR wo FF:</t>
  </si>
  <si>
    <t xml:space="preserve">Change in </t>
  </si>
  <si>
    <t>Franchise Fee Factor:</t>
  </si>
  <si>
    <t>TO2019 TUTRR</t>
  </si>
  <si>
    <t>Franchise Fee Expense:</t>
  </si>
  <si>
    <t>Uncollectibles Expense Factor:</t>
  </si>
  <si>
    <t>Uncollectibles Expense:</t>
  </si>
  <si>
    <t>True Up TRR:</t>
  </si>
  <si>
    <t>Instructions:</t>
  </si>
  <si>
    <t>1) Use weighted average (by time) of the Return on Equity in effect during the Prior Year in determining the "Cost of Capital Rate" on Line 19</t>
  </si>
  <si>
    <t>and the "Equity Rate of Return Including Preferred Stock" on Line 23 in the event that the ROE is revised during the Prior Year.  In this event,</t>
  </si>
  <si>
    <t>the ROE used in Schedule 1 will differ from the ROE used in this Schedule 4, because the Schedule 1 ROE will be the most recent ROE,</t>
  </si>
  <si>
    <t>whereas the Schedule 4 Cost of Capital Rate and Equity Rate of Return including Com. + Pref. Stock will be based on the weighted-average ROE.</t>
  </si>
  <si>
    <t>Calculation of weighted average Cost of Capital Rate in Prior Year:</t>
  </si>
  <si>
    <t>If ROE does not change during year, then attribute all days to Line a "ROE at end of Prior Year" and none to "ROE at start of PY"</t>
  </si>
  <si>
    <t xml:space="preserve">Days ROE </t>
  </si>
  <si>
    <t>Percentage</t>
  </si>
  <si>
    <t>From</t>
  </si>
  <si>
    <t>To</t>
  </si>
  <si>
    <t>In Effect</t>
  </si>
  <si>
    <t>a</t>
  </si>
  <si>
    <t>ROE at end of Prior Year</t>
  </si>
  <si>
    <t>See Line e below</t>
  </si>
  <si>
    <t>b</t>
  </si>
  <si>
    <t>ROE start of Prior Year</t>
  </si>
  <si>
    <t>See Line f below</t>
  </si>
  <si>
    <t>c</t>
  </si>
  <si>
    <t>Total days in year:</t>
  </si>
  <si>
    <t>d</t>
  </si>
  <si>
    <t>Wtd. Avg. ROE in Prior Year</t>
  </si>
  <si>
    <t>((Line a ROE * Line a days) + (Line b ROE * Line b days)) / Total Days in Year</t>
  </si>
  <si>
    <t>Commission Decisions approving ROE:</t>
  </si>
  <si>
    <t>e</t>
  </si>
  <si>
    <t>End of Prior Year</t>
  </si>
  <si>
    <t>Settlement of TO2019A (ER19-1553)</t>
  </si>
  <si>
    <t>f</t>
  </si>
  <si>
    <t>Beginning of Prior Year</t>
  </si>
  <si>
    <t>169 FERC ¶ 61,177</t>
  </si>
  <si>
    <t>g</t>
  </si>
  <si>
    <t>Wtd. Cost of Long Term Debt</t>
  </si>
  <si>
    <t>h</t>
  </si>
  <si>
    <t>Wtd.Cost of Preferred Stock</t>
  </si>
  <si>
    <t>i</t>
  </si>
  <si>
    <t>Wtd.Cost of Common Stock</t>
  </si>
  <si>
    <t>j</t>
  </si>
  <si>
    <t>Calculation of Equity Rate of Return Including Common and Preferred Stock:</t>
  </si>
  <si>
    <t>k</t>
  </si>
  <si>
    <t>1) True Up TRR Incentive Adder Reversal backs out the revenue requirement associated with any project-specific Incentive Adders</t>
  </si>
  <si>
    <t xml:space="preserve">    (line 39) for True Up Years during the term of the Second Formula Rate.  Applicable pursuant to settlement under ER18-169.</t>
  </si>
  <si>
    <t>Southern California Edison Company</t>
  </si>
  <si>
    <t>Cells shaded yellow are input cells</t>
  </si>
  <si>
    <t>Formula Transmission Rate</t>
  </si>
  <si>
    <t>Value</t>
  </si>
  <si>
    <t>RATE BASE</t>
  </si>
  <si>
    <t>General Plant + Electric Miscellaneous Intangible Plant</t>
  </si>
  <si>
    <t>Working Capital amounts</t>
  </si>
  <si>
    <t>Accumulated Depreciation Reserve Balances</t>
  </si>
  <si>
    <t xml:space="preserve">Transmission Depreciation Reserve - ISO </t>
  </si>
  <si>
    <t xml:space="preserve">Distribution Depreciation Reserve - ISO </t>
  </si>
  <si>
    <t>General + Intangible Plant Depreciation Reserve</t>
  </si>
  <si>
    <t>OTHER TAXES</t>
  </si>
  <si>
    <t>Sub-Total Local Taxes</t>
  </si>
  <si>
    <t>FF1 263.1, Row 13, Column i</t>
  </si>
  <si>
    <t>FF1 263 or 263.x (see note to left)</t>
  </si>
  <si>
    <t>Transmission Plant Allocation Factor</t>
  </si>
  <si>
    <t>Property Taxes</t>
  </si>
  <si>
    <t xml:space="preserve"> </t>
  </si>
  <si>
    <t>Payroll Taxes Expense</t>
  </si>
  <si>
    <t>FICA</t>
  </si>
  <si>
    <t>Fed Ins Cont Amt -- Current</t>
  </si>
  <si>
    <t>FF1 263, Row 6, Column i</t>
  </si>
  <si>
    <t>FICA/OASDI Emp Incntv.</t>
  </si>
  <si>
    <t>FF1 263, Row 7, Column i</t>
  </si>
  <si>
    <t>FICA/HIT Emp Incntv.</t>
  </si>
  <si>
    <t>FF1 263, Row 8, Column i</t>
  </si>
  <si>
    <t>CA SUI Current</t>
  </si>
  <si>
    <t>FF1 263, Row 24, Column i</t>
  </si>
  <si>
    <t>Fed Unemp Tax Act- Current</t>
  </si>
  <si>
    <t>FF1 263, Row 9, Column i</t>
  </si>
  <si>
    <t>CADI Vol Plan Assess</t>
  </si>
  <si>
    <t>FF1 263, Row 29, Column i</t>
  </si>
  <si>
    <t>SF Pyrl Exp Tx - SCE</t>
  </si>
  <si>
    <t>FF1 263, Row 28, Column i</t>
  </si>
  <si>
    <t>Total Electric Payroll Tax Expense</t>
  </si>
  <si>
    <t>Capitalized Overhead portion of Electric Payroll Tax Expense</t>
  </si>
  <si>
    <t>Remaining Electric Payroll Tax Expense to Allocate</t>
  </si>
  <si>
    <t>Transmission Wages and Salaries Allocation Factor</t>
  </si>
  <si>
    <t>Note 1</t>
  </si>
  <si>
    <t>RETURN AND CAPITALIZATION CALCULATIONS</t>
  </si>
  <si>
    <t>Debt</t>
  </si>
  <si>
    <t>Long Term Debt Amount</t>
  </si>
  <si>
    <t>5-ROR-1, Line 8</t>
  </si>
  <si>
    <t>Cost of Long Term Debt</t>
  </si>
  <si>
    <t>5-ROR-1, Line 16</t>
  </si>
  <si>
    <t>Long Term Debt Cost Percentage</t>
  </si>
  <si>
    <t>5-ROR-1, Line 17</t>
  </si>
  <si>
    <t>Preferred Stock</t>
  </si>
  <si>
    <t>Preferred Stock Amount</t>
  </si>
  <si>
    <t>5-ROR-1, Line 21</t>
  </si>
  <si>
    <t>Cost of Preferred Stock</t>
  </si>
  <si>
    <t>5-ROR-1, Line 25</t>
  </si>
  <si>
    <t>Preferred Stock Cost Percentage</t>
  </si>
  <si>
    <t>5-ROR-1, Line 26</t>
  </si>
  <si>
    <t>Equity</t>
  </si>
  <si>
    <t>Common Stock Equity Amount</t>
  </si>
  <si>
    <t>Total Capital</t>
  </si>
  <si>
    <t>Capital Percentages</t>
  </si>
  <si>
    <t>Long Term Debt Capital Percentage</t>
  </si>
  <si>
    <t>Preferred Stock Capital Percentage</t>
  </si>
  <si>
    <t>Common Stock Capital Percentage</t>
  </si>
  <si>
    <t>Annual Cost of Capital Components</t>
  </si>
  <si>
    <t>Return on Common Equity</t>
  </si>
  <si>
    <t>Note 2</t>
  </si>
  <si>
    <t>SCE Return on Equity</t>
  </si>
  <si>
    <t>Calculation of Cost of Capital Rate</t>
  </si>
  <si>
    <t>Weighted Cost of Long Term Debt</t>
  </si>
  <si>
    <t>Weighted Cost of Preferred Stock</t>
  </si>
  <si>
    <t>Weighted Cost of Common Stock</t>
  </si>
  <si>
    <t xml:space="preserve">Equity Rate of Return Including Common and Preferred Stock </t>
  </si>
  <si>
    <t>Used for Tax calculation</t>
  </si>
  <si>
    <t>INCOME TAXES</t>
  </si>
  <si>
    <t>Federal Income Tax Rate</t>
  </si>
  <si>
    <t>State Income Tax Rate</t>
  </si>
  <si>
    <t>Composite Tax Rate</t>
  </si>
  <si>
    <t>= F + [S * (1 - F)]</t>
  </si>
  <si>
    <t>Calculation of Credits and Other:</t>
  </si>
  <si>
    <t>Amortization of Excess Deferred Tax Liability</t>
  </si>
  <si>
    <t>Note 3</t>
  </si>
  <si>
    <t>Investment Tax Credit Flowed Through</t>
  </si>
  <si>
    <t>South Georgia Income Tax Adjustment</t>
  </si>
  <si>
    <t>Credits and Other</t>
  </si>
  <si>
    <t>Income Taxes:</t>
  </si>
  <si>
    <t>ER = Equity Rate of Return Including Common and Preferred Stock</t>
  </si>
  <si>
    <t>SCE Records</t>
  </si>
  <si>
    <t>PRIOR YEAR TRANSMISSION REVENUE REQUIREMENT</t>
  </si>
  <si>
    <t>Component of Prior Year TRR:</t>
  </si>
  <si>
    <t>Gains and Losses on Trans. Plant Held for Future Use -- Land</t>
  </si>
  <si>
    <t>Gain negative, loss positive</t>
  </si>
  <si>
    <t>Prior Year Incentive Adder</t>
  </si>
  <si>
    <t>77a</t>
  </si>
  <si>
    <t>Prior Year Incentive Adder Reversal</t>
  </si>
  <si>
    <t>Note 5</t>
  </si>
  <si>
    <t>Negative of Line 77</t>
  </si>
  <si>
    <t>Total without FF&amp;U</t>
  </si>
  <si>
    <t>Franchise Fees Expense</t>
  </si>
  <si>
    <t>Uncollectibles Expense</t>
  </si>
  <si>
    <t>Prior Year TRR</t>
  </si>
  <si>
    <t>TOTAL BASE TRANSMISSION REVENUE REQUIREMENT</t>
  </si>
  <si>
    <t>Calculation of Base Transmission Revenue Requirement</t>
  </si>
  <si>
    <t>Incremental Forecast Period TRR</t>
  </si>
  <si>
    <t>True Up Adjustment</t>
  </si>
  <si>
    <t xml:space="preserve">Cost Adjustment </t>
  </si>
  <si>
    <t>Note 4</t>
  </si>
  <si>
    <t>Base Transmission Revenue Requirement (Retail)</t>
  </si>
  <si>
    <t>For Retail Purposes</t>
  </si>
  <si>
    <t>Wholesale Base Transmission Revenue Requirement</t>
  </si>
  <si>
    <t xml:space="preserve">Base TRR (Retail) </t>
  </si>
  <si>
    <t>Wholesale Difference to the Base TRR</t>
  </si>
  <si>
    <t xml:space="preserve">1) Any amount of "Sub-Total Local Taxes" or "Payroll Taxes Expense" may be excluded if appropriate with the provision of a workpaper showing the </t>
  </si>
  <si>
    <t>reason for the exclusion and the amount of the exclusion.</t>
  </si>
  <si>
    <t xml:space="preserve">2) The TO2018 Settlement Return on Common Equity shall be set at 11.2% for the term of the Settlement. Includes Base ROE, 50 basis point ISO adder, </t>
  </si>
  <si>
    <t xml:space="preserve">and project-specific ROE adders awarded to SCE (Tehachapi – 1.25%, Devers to Colorado River – 1.00%, Rancho Vista – 0.75%).  Project adders are </t>
  </si>
  <si>
    <t xml:space="preserve">equivalent to an approximate 0.78% increase in SCE’s overall Base ROE.  If the Commission determines, in an order not subject to rehearing or appeal, </t>
  </si>
  <si>
    <t xml:space="preserve">that SCE is not entitled to the incentive adder for CAISO participation,  SCE will reduce its ROE to 10.7% retroactive to January 1, 2018 for the period </t>
  </si>
  <si>
    <t>the TO2018 settlement is in effect.</t>
  </si>
  <si>
    <t xml:space="preserve">3) No change in Amortization of Excess Deferred Tax Liability or South Georgia Income Tax Adjustment "Credits and Other" terms will be made absent </t>
  </si>
  <si>
    <t xml:space="preserve">a filing at the Commission.  Investment Tax Credit Flowed Through amount shall be negative $520,000 through the Prior Year of 2018, </t>
  </si>
  <si>
    <t>negative $183,000 for the Prior Year of 2019, and $0 thereafter.  The Unprotected-Property Related net Excess Deferred Income Tax amount of</t>
  </si>
  <si>
    <t>$60,466,608 shall be fully amortized over the four-year period of 2018 through 2021 and reflected in Line 60 of Schedule 1.  The Unprotected-Non-</t>
  </si>
  <si>
    <t>Property Related net Excess Deferred Income Tax amount of $4,549,634 shall be fully amortized in 2018 and reflected in Line 60 of Schedule 1.</t>
  </si>
  <si>
    <t>4) Cost Adjustment may be included as provided in the Tariff protocols.</t>
  </si>
  <si>
    <t>5) Prior Year Incentive Adder Reversal backs out the revenue requirement associated with any project specific Incentive Adders</t>
  </si>
  <si>
    <t xml:space="preserve">    (line 77).  Applicable pursuant to settlement under ER18-169.</t>
  </si>
  <si>
    <t>Accumulated Deferred Income Taxes and Net Excess Deferred Tax Liabilities</t>
  </si>
  <si>
    <t>1) Summary of Accumulated Deferred Income Taxes and Net Excess Deferred Tax Liabilities</t>
  </si>
  <si>
    <t>a) End of Year Accumulated Deferred Income Taxes and Net Excess Deferred Tax Liabilities</t>
  </si>
  <si>
    <t>Col 2</t>
  </si>
  <si>
    <t>Total</t>
  </si>
  <si>
    <t>Account</t>
  </si>
  <si>
    <t>ADIT</t>
  </si>
  <si>
    <t>Account 190</t>
  </si>
  <si>
    <t>Account 282</t>
  </si>
  <si>
    <t>Account 283</t>
  </si>
  <si>
    <t>Net Excess/Deficient Deferred Tax Liability/Asset-2017 TCAJA</t>
  </si>
  <si>
    <t>FF1 278, see Notes 4 and 5</t>
  </si>
  <si>
    <t>Total Accumulated Deferred Income Taxes</t>
  </si>
  <si>
    <t>and Net Excess Deferred Tax Liabilities</t>
  </si>
  <si>
    <t>b) Beginning of Year Accumulated Deferred Income Taxes</t>
  </si>
  <si>
    <t>BOY</t>
  </si>
  <si>
    <t>c) Average of Beginning and End of Year Accumulated Deferred Income Taxes</t>
  </si>
  <si>
    <t>Average</t>
  </si>
  <si>
    <t>Average ADIT:</t>
  </si>
  <si>
    <t>Line 817, Column 8</t>
  </si>
  <si>
    <t>2) Account 190 Detail</t>
  </si>
  <si>
    <t>Col 3</t>
  </si>
  <si>
    <t>Col 5</t>
  </si>
  <si>
    <t>Col 6</t>
  </si>
  <si>
    <t>Col 7</t>
  </si>
  <si>
    <t>END BAL</t>
  </si>
  <si>
    <t>Gas, Generation</t>
  </si>
  <si>
    <t>Labor</t>
  </si>
  <si>
    <t>(Instructions 1&amp;2)</t>
  </si>
  <si>
    <t>ACCT 190</t>
  </si>
  <si>
    <t>DESCRIPTION</t>
  </si>
  <si>
    <t>per G/L</t>
  </si>
  <si>
    <t>or Other Related</t>
  </si>
  <si>
    <t>ISO Only</t>
  </si>
  <si>
    <t>Plant Related</t>
  </si>
  <si>
    <t>Related</t>
  </si>
  <si>
    <t>Electric:</t>
  </si>
  <si>
    <t>Amort of Debt Issuance Cost</t>
  </si>
  <si>
    <t>C: Relates primarily to Regulated Electric Property</t>
  </si>
  <si>
    <t>Executive Incentive Comp</t>
  </si>
  <si>
    <t>C: Relates to employees in all functions</t>
  </si>
  <si>
    <t>Bond Discount Amort</t>
  </si>
  <si>
    <t>Executive Incentive Plan</t>
  </si>
  <si>
    <t>Ins - Inj/Damages Prov</t>
  </si>
  <si>
    <t>Accrued Vacation</t>
  </si>
  <si>
    <t>Amortization of Debt Expense</t>
  </si>
  <si>
    <t>Wildfire Reserve - Post 2018</t>
  </si>
  <si>
    <t>Follows tax treatment</t>
  </si>
  <si>
    <t>Decommissioning</t>
  </si>
  <si>
    <t>Relates to Nuclear Decommissioning Costs</t>
  </si>
  <si>
    <t>Balancing Accounts</t>
  </si>
  <si>
    <t>Relates Entirely to CPUC Balancing Account Recovery</t>
  </si>
  <si>
    <t>Pension &amp; PBOP</t>
  </si>
  <si>
    <t>Property/Non-ISO</t>
  </si>
  <si>
    <t>Non-Rate Base Property</t>
  </si>
  <si>
    <t>Regulatory Assets/Liab</t>
  </si>
  <si>
    <t xml:space="preserve">Relates to Nonrecovery Balancing Account  </t>
  </si>
  <si>
    <t>Temp - Other/Non-ISO</t>
  </si>
  <si>
    <t>Not Component of Rate Base</t>
  </si>
  <si>
    <t>Net Operating Losses DTA</t>
  </si>
  <si>
    <t xml:space="preserve">NOL/DTA </t>
  </si>
  <si>
    <t>Continuation of Account 190 Detail</t>
  </si>
  <si>
    <t>Labor Related</t>
  </si>
  <si>
    <t>…</t>
  </si>
  <si>
    <t>Total Electric 190</t>
  </si>
  <si>
    <t>Account 190 Gas and Other Income:</t>
  </si>
  <si>
    <t>Temp - Other/Non-ISO - Gas</t>
  </si>
  <si>
    <t>Gas Related Costs</t>
  </si>
  <si>
    <t>Temp - Other/Non-ISO - Other</t>
  </si>
  <si>
    <t>Other Non-ISO Related Costs</t>
  </si>
  <si>
    <t>EMS</t>
  </si>
  <si>
    <t>Property/Non-ISO - Gas</t>
  </si>
  <si>
    <t>Property/Non-ISO - Other</t>
  </si>
  <si>
    <t>Total Account 190 Gas and Other Income</t>
  </si>
  <si>
    <t>Total Account 190</t>
  </si>
  <si>
    <t>Allocation Factors (Plant and Wages)</t>
  </si>
  <si>
    <t>Total Account 190 ADIT</t>
  </si>
  <si>
    <t>(Sum of amounts in Columns 4 to 6)</t>
  </si>
  <si>
    <t>FERC Form 1 Account 190</t>
  </si>
  <si>
    <t>FF1 234.18c</t>
  </si>
  <si>
    <t>3) Account 282 Detail</t>
  </si>
  <si>
    <t>ACCT 282</t>
  </si>
  <si>
    <t xml:space="preserve">Fully Normalized Deferred Tax </t>
  </si>
  <si>
    <t>Property-Related FERC Costs</t>
  </si>
  <si>
    <t>Property-Related CPUC Costs</t>
  </si>
  <si>
    <t>Capitalized software</t>
  </si>
  <si>
    <t>Property-Related CPUC Costs - Cap Software</t>
  </si>
  <si>
    <t>Audit Rollforward</t>
  </si>
  <si>
    <t xml:space="preserve">Property-Related CPUC Costs - Audit </t>
  </si>
  <si>
    <t>Total Account 282</t>
  </si>
  <si>
    <t>Total Account 282 ADIT</t>
  </si>
  <si>
    <t>FERC Form 1 Account 282</t>
  </si>
  <si>
    <t>FF1 275.5k</t>
  </si>
  <si>
    <t>4) Account 283 Detail</t>
  </si>
  <si>
    <t>ACCT 283</t>
  </si>
  <si>
    <t>Ad Valorem Lien Date Adj-Electric</t>
  </si>
  <si>
    <t>Relates Entirely to CPUC Regulated Property</t>
  </si>
  <si>
    <t>Relates Entirely to FERC Regulated Electric Property</t>
  </si>
  <si>
    <t>Refunding &amp; Retirement of Debt</t>
  </si>
  <si>
    <t>Health Care - IBNR</t>
  </si>
  <si>
    <t>Non-Rate Base FAS 109 Tax Flow-Thru</t>
  </si>
  <si>
    <t>Continuation of Account 283 Detail</t>
  </si>
  <si>
    <t>Electric (continued):</t>
  </si>
  <si>
    <t>Total Electric 283</t>
  </si>
  <si>
    <t>Account 283 Gas and Other:</t>
  </si>
  <si>
    <t>Total Account 283 Gas and Other</t>
  </si>
  <si>
    <t>Total Account 283</t>
  </si>
  <si>
    <t>Total Account 283 ADIT</t>
  </si>
  <si>
    <t>FERC Form 1 Account 283</t>
  </si>
  <si>
    <t>FF1 277.19k</t>
  </si>
  <si>
    <t>5) Tax Normalization Calculation Pursuant to Treas. Reg §1.167(l)-1(h)(6)</t>
  </si>
  <si>
    <t>Col 8</t>
  </si>
  <si>
    <t>See Note 1</t>
  </si>
  <si>
    <t>Col 5 / Tot. Days</t>
  </si>
  <si>
    <t>= Col 2 * Col 6</t>
  </si>
  <si>
    <t>See Note 3</t>
  </si>
  <si>
    <t>Mthly Deferred</t>
  </si>
  <si>
    <t xml:space="preserve">Deferred </t>
  </si>
  <si>
    <t>Number of Days</t>
  </si>
  <si>
    <t>Prorata</t>
  </si>
  <si>
    <t xml:space="preserve">Monthly </t>
  </si>
  <si>
    <t>Annual Accumulated</t>
  </si>
  <si>
    <t>Future Test Period</t>
  </si>
  <si>
    <t>Tax Amount</t>
  </si>
  <si>
    <t>Tax Balance</t>
  </si>
  <si>
    <t>Days in Month</t>
  </si>
  <si>
    <t>Left in Period</t>
  </si>
  <si>
    <t>Percentages</t>
  </si>
  <si>
    <t>Prorata Amounts</t>
  </si>
  <si>
    <t>Prorata Calculation</t>
  </si>
  <si>
    <t>Beginning Deferred Tax Balance (Line 10, Col. 2)</t>
  </si>
  <si>
    <t>June</t>
  </si>
  <si>
    <t>Ending Balance (Line 5, Col. 2)</t>
  </si>
  <si>
    <t>Instruction 1: For any "Company Wide" ADIT line item balance (i.e., that include Catalina Gas or Water costs), indicate in Column 7</t>
  </si>
  <si>
    <t>with a leading "C:".</t>
  </si>
  <si>
    <t xml:space="preserve">Instruction 2: For any Company Wide ADIT balance items, include a portion of the total Column 2 balance in Column 3 </t>
  </si>
  <si>
    <t>"Gas, Generation, or Other Related" based on the following percentages.</t>
  </si>
  <si>
    <t xml:space="preserve">1) For Line items allocated based on the Wages and Salaries Allocation Factor: </t>
  </si>
  <si>
    <t>Prior Year</t>
  </si>
  <si>
    <t>A:Total Electric Wages and Salaries</t>
  </si>
  <si>
    <t>FF1 354.28b</t>
  </si>
  <si>
    <t>B:Gas Wages and Salaries</t>
  </si>
  <si>
    <t>FF1 355.62b</t>
  </si>
  <si>
    <t>C:Water Wages and Salaries</t>
  </si>
  <si>
    <t>FF1 355.64b</t>
  </si>
  <si>
    <t>D:Total Electric, Gas, and Water Wages and Salaries</t>
  </si>
  <si>
    <t>A+B+C</t>
  </si>
  <si>
    <t>E:Labor Percentage "Gas, Generation, or Other"</t>
  </si>
  <si>
    <t>(B+C) / D</t>
  </si>
  <si>
    <t xml:space="preserve">2) For Line items allocated based on the Transmission Plant Allocation Factor or "ISO Only": </t>
  </si>
  <si>
    <t>F:Total Electric Plant In Service</t>
  </si>
  <si>
    <t>FF1 207.104g</t>
  </si>
  <si>
    <t>G:Total Gas Plant In Service</t>
  </si>
  <si>
    <t>FF1 201.8d</t>
  </si>
  <si>
    <t>H:Total Water Plant in Service</t>
  </si>
  <si>
    <t>FF1 201.8e</t>
  </si>
  <si>
    <t>I:Total Electric, Gas, and Water Plant In Service</t>
  </si>
  <si>
    <t>F+G+H</t>
  </si>
  <si>
    <t>J:Plant Percentage "Gas, Generation, or Other"</t>
  </si>
  <si>
    <t>(G+H) / I</t>
  </si>
  <si>
    <t>Instruction 3: Classify any ADIT line items relating to refunding and retirement of debt as Plant related (Column 5).</t>
  </si>
  <si>
    <t>1) The monthly deferred tax amounts are equal to the ending ADIT balance minus the beginning ADIT balance, divided by 12 months.</t>
  </si>
  <si>
    <t>2) For January through December = previous month balance plus amount in Column 2.</t>
  </si>
  <si>
    <r>
      <t>3) The</t>
    </r>
    <r>
      <rPr>
        <strike/>
        <sz val="10"/>
        <rFont val="Arial"/>
        <family val="2"/>
      </rPr>
      <t xml:space="preserve"> </t>
    </r>
    <r>
      <rPr>
        <sz val="10"/>
        <rFont val="Arial"/>
        <family val="2"/>
      </rPr>
      <t>average ADIT Balance is equal to the amount on Line 817, Column 8</t>
    </r>
  </si>
  <si>
    <t>Line 805 is equal to Line 10, Column 2.  Lines 806 through 817 equal previous amount in Column 8, plus amount in Column 7.</t>
  </si>
  <si>
    <t>4) The net excess/deficiency is derived from the deficiency arising in Account 190 offset by excesses in Accounts 282 and 283.</t>
  </si>
  <si>
    <t xml:space="preserve">5) SCE must submit a Federal Power Act Section 205 filing to obtain Commission approval prior to reflecting in rates any regulatory assets </t>
  </si>
  <si>
    <t>and liabilities arising from future tax changes.</t>
  </si>
  <si>
    <t>Calculation of Administrative and General Expense</t>
  </si>
  <si>
    <t>Inputs are shaded yellow</t>
  </si>
  <si>
    <t>FERC Form 1</t>
  </si>
  <si>
    <t>Data</t>
  </si>
  <si>
    <t>Total Amount</t>
  </si>
  <si>
    <t>Acct.</t>
  </si>
  <si>
    <t>Excluded</t>
  </si>
  <si>
    <t>A&amp;G Salaries</t>
  </si>
  <si>
    <t>FF1 323.181b</t>
  </si>
  <si>
    <t>Office Supplies and Expenses</t>
  </si>
  <si>
    <t>FF1 323.182b</t>
  </si>
  <si>
    <t>A&amp;G Expenses Transferred</t>
  </si>
  <si>
    <t>FF1 323.183b</t>
  </si>
  <si>
    <t>Credit</t>
  </si>
  <si>
    <t>Outside Services Employed</t>
  </si>
  <si>
    <t>FF1 323.184b</t>
  </si>
  <si>
    <t>Property Insurance</t>
  </si>
  <si>
    <t>FF1 323.185b</t>
  </si>
  <si>
    <t>Injuries and Damages</t>
  </si>
  <si>
    <t>FF1 323.186b</t>
  </si>
  <si>
    <t>Employee Pensions and Benefits</t>
  </si>
  <si>
    <t>FF1 323.187b</t>
  </si>
  <si>
    <t>Franchise Requirements</t>
  </si>
  <si>
    <t>FF1 323.188b</t>
  </si>
  <si>
    <t>Regulatory Commission Expenses</t>
  </si>
  <si>
    <t>FF1 323.189b</t>
  </si>
  <si>
    <t>Duplicate Charges</t>
  </si>
  <si>
    <t>FF1 323.190b</t>
  </si>
  <si>
    <t>General Advertising Expense</t>
  </si>
  <si>
    <t>FF1 323.191b</t>
  </si>
  <si>
    <t>Miscellaneous General Expense</t>
  </si>
  <si>
    <t>FF1 323.192b</t>
  </si>
  <si>
    <t>Rents</t>
  </si>
  <si>
    <t>FF1 323.193b</t>
  </si>
  <si>
    <t>Maintenance of General Plant</t>
  </si>
  <si>
    <t>FF1 323.196b</t>
  </si>
  <si>
    <t>Total A&amp;G Expenses:</t>
  </si>
  <si>
    <t>Remaining A&amp;G after exclusions &amp; NOIC Adjustment:</t>
  </si>
  <si>
    <t>Less Account  924:</t>
  </si>
  <si>
    <t>Amount to apply the Transmission W&amp;S AF:</t>
  </si>
  <si>
    <t>Transmission Wages and Salaries Allocation Factor:</t>
  </si>
  <si>
    <t>27-Allocators, Line 5</t>
  </si>
  <si>
    <t>Transmission W&amp;S AF Portion of A&amp;G:</t>
  </si>
  <si>
    <t>Transmission Plant Allocation Factor:</t>
  </si>
  <si>
    <t>27-Allocators, Line 18</t>
  </si>
  <si>
    <t>Property Insurance portion of A&amp;G:</t>
  </si>
  <si>
    <t>Administrative and General Expenses:</t>
  </si>
  <si>
    <t>Note 1: Itemization of exclusions</t>
  </si>
  <si>
    <t>Shareholder</t>
  </si>
  <si>
    <t>Exclusions</t>
  </si>
  <si>
    <t>Total Amount Excluded</t>
  </si>
  <si>
    <t>or Other</t>
  </si>
  <si>
    <t>Franchise</t>
  </si>
  <si>
    <t>(Sum of Col 1 to Col 4)</t>
  </si>
  <si>
    <t>Adjustments</t>
  </si>
  <si>
    <t>Requirements</t>
  </si>
  <si>
    <t>NOIC</t>
  </si>
  <si>
    <t>PBOPs</t>
  </si>
  <si>
    <t>See Instructions 2b, 3, and Note 2</t>
  </si>
  <si>
    <t xml:space="preserve">Note 2: Non-Officer Incentive Compensation ("NOIC") Adjustment </t>
  </si>
  <si>
    <t xml:space="preserve">Adjust NOIC by excluding accrued NOIC Amount and replacing with the </t>
  </si>
  <si>
    <t>actual non-capitalized A&amp;G NOIC payout.</t>
  </si>
  <si>
    <t>Accrued NOIC Amount:</t>
  </si>
  <si>
    <t>Actual A&amp;G NOIC payout:</t>
  </si>
  <si>
    <t>Adjustment:</t>
  </si>
  <si>
    <t>Actual non-capitalized NOIC Payouts:</t>
  </si>
  <si>
    <t>Department</t>
  </si>
  <si>
    <t>A&amp;G</t>
  </si>
  <si>
    <t>SCE Records and Workpapers</t>
  </si>
  <si>
    <t>Other</t>
  </si>
  <si>
    <t>Trans. And Dist. Business Unit</t>
  </si>
  <si>
    <t>Note 3: PBOPs Exclusion Calculation</t>
  </si>
  <si>
    <t>Note:</t>
  </si>
  <si>
    <t>Current Authorized PBOPs Expense Amount:</t>
  </si>
  <si>
    <t>See instruction #4</t>
  </si>
  <si>
    <t>Prior Year Authorized PBOPs Expense Amount:</t>
  </si>
  <si>
    <t>Authorized PBOPs Expense Amount during Prior Year</t>
  </si>
  <si>
    <t>Prior Year FF1 PBOPs expense:</t>
  </si>
  <si>
    <t>PBOPs Expense Exclusion:</t>
  </si>
  <si>
    <t xml:space="preserve">Note 4: </t>
  </si>
  <si>
    <t>Franchise Fees Expenses component of the Prior Year TRR are based on Franchise Fee Factors.</t>
  </si>
  <si>
    <t>2) Fill out "Itemization of Exclusions" table for all input cells. NOIC amount in</t>
  </si>
  <si>
    <t>a) Exclude amount of any Shareholder Adjustments, costs incurred on behalf of SCE shareholders, from relevant account in Column 1.</t>
  </si>
  <si>
    <t>b) Include as an adjustment in Column 1 for Account 920 any amount excluded from Accounts 569.100, 569.200, and 569.300</t>
  </si>
  <si>
    <t>in Schedule 19 (OandM) related to Order 668 costs transferred.</t>
  </si>
  <si>
    <t xml:space="preserve">c) Exclude entire amount of account 927 "Franchise Requirements" in Column 2, as those costs are recovered </t>
  </si>
  <si>
    <t>through the Franchise Fees Expense item.</t>
  </si>
  <si>
    <t xml:space="preserve">d) Exclude any amount of Account 930.1 "General Advertising Expense" not related to advertising for safety, </t>
  </si>
  <si>
    <t>siting, or informational purposes in column 1.</t>
  </si>
  <si>
    <t>e) Exclude any amount of expense relating to secondary land use and audit expenses not directly benefitting utility customers.</t>
  </si>
  <si>
    <t>f) Exclude from account 930.2:</t>
  </si>
  <si>
    <t>1) Nuclear Power Research Expenses.</t>
  </si>
  <si>
    <t>2) Write Off of Abandoned Project Expenses.</t>
  </si>
  <si>
    <t>3) Any advertising expenses within the Consultants/Professional Services category.</t>
  </si>
  <si>
    <t>g) Exclude the following costs included in any account 920-935:</t>
  </si>
  <si>
    <t xml:space="preserve">1) Any amount of "Provision for Doubtful Accounts" costs. </t>
  </si>
  <si>
    <t>2) Any amount of "Accounting Suspense" costs.</t>
  </si>
  <si>
    <t>3) Any penalties or fines.</t>
  </si>
  <si>
    <t>4) Any amount of costs recovered 100% through California Public Utilities Commission ("CPUC") rates.</t>
  </si>
  <si>
    <r>
      <t>3) NOIC adjustment in Column 3</t>
    </r>
    <r>
      <rPr>
        <b/>
        <sz val="10"/>
        <rFont val="Arial"/>
        <family val="2"/>
      </rPr>
      <t xml:space="preserve">, </t>
    </r>
    <r>
      <rPr>
        <sz val="10"/>
        <rFont val="Arial"/>
        <family val="2"/>
      </rPr>
      <t xml:space="preserve">Line 24 is made by determining the difference between the total accrued NOIC amount </t>
    </r>
  </si>
  <si>
    <t>included in the FERC Form 1 recorded cost amounts and the actual A&amp;G NOIC payout (see note 2).</t>
  </si>
  <si>
    <t>NOIC adjustment in column 3, Line 26 is made by entering the amount of accrued NOIC that is capitalized.</t>
  </si>
  <si>
    <t>pursuant to Commission acceptance of an SCE FPA Section 205 filing to revise the authorized PBOPs expense,</t>
  </si>
  <si>
    <t>in accordance with the tariff protocols.  Accordingly, any amount different than the authorized PBOPs expense</t>
  </si>
  <si>
    <t>during the Prior Year is excluded from account 926 (see note 3). Docket or Decision approving authorized PBOPs amount:</t>
  </si>
  <si>
    <t>ER20-1382</t>
  </si>
  <si>
    <t>5) SCE shall make no adjustments to recorded labor amounts related to non-labor labor and/or Indirect labor in Schedule 20.</t>
  </si>
  <si>
    <t>Determination of Unfunded Reserves</t>
  </si>
  <si>
    <t>Reference</t>
  </si>
  <si>
    <t>Unfunded Reserves (EOY):</t>
  </si>
  <si>
    <t>(Line 17, Col 2)</t>
  </si>
  <si>
    <t>Unfunded Reserves (Average BOY/EOY):</t>
  </si>
  <si>
    <t>(Line 17, Col 3)</t>
  </si>
  <si>
    <t>EOY</t>
  </si>
  <si>
    <t>Description of Issue</t>
  </si>
  <si>
    <t>Unfunded</t>
  </si>
  <si>
    <t>Reserves</t>
  </si>
  <si>
    <t>Provision for Injuries and Damages</t>
  </si>
  <si>
    <t>(Line 24)</t>
  </si>
  <si>
    <t>Provision for Vac/Sick Leave</t>
  </si>
  <si>
    <t>(Line 29)</t>
  </si>
  <si>
    <t>Provision for Supplemental Executive Retirement Plan</t>
  </si>
  <si>
    <t>(Line 36)</t>
  </si>
  <si>
    <t>Totals:</t>
  </si>
  <si>
    <t>(Line 14 + Line 15 + Line 16)</t>
  </si>
  <si>
    <t>Calculations</t>
  </si>
  <si>
    <t>BOY/EOY</t>
  </si>
  <si>
    <t>Injuries and Damages - Acct. 2251010</t>
  </si>
  <si>
    <t>Company Records - Input (Negative)</t>
  </si>
  <si>
    <t>Transmission Wages and Salary Allocation Factor</t>
  </si>
  <si>
    <t>(27-Allocators, Line 9)</t>
  </si>
  <si>
    <t>ISO Transmission Rate Base Applicable</t>
  </si>
  <si>
    <t>(Line 22 x Line 23)</t>
  </si>
  <si>
    <t>Vacation Leave</t>
  </si>
  <si>
    <t>Vacation and Personal Time Accruals - Acct. 2350080</t>
  </si>
  <si>
    <t>(Line 27 x Line 28)</t>
  </si>
  <si>
    <t>Supplemental Executive Retirement Plan</t>
  </si>
  <si>
    <t>Times:</t>
  </si>
  <si>
    <t>Applicable Rate Base Percentage</t>
  </si>
  <si>
    <t>Sub-Total Supplemental Executive Retirement Plan</t>
  </si>
  <si>
    <t>(Line 32 x Line 33)</t>
  </si>
  <si>
    <t>(Line 34 x Line 35)</t>
  </si>
  <si>
    <t xml:space="preserve">One Time Adjustment to Reflect EDIT Amortization for the 2019 Year </t>
  </si>
  <si>
    <t>TO2021 Draft Posting - WP Schedule 3 - One Time Adjust Transition, Page 19, Line 46</t>
  </si>
  <si>
    <t>Adjusted TO2018 Model True Up TRR with 2019 Wildfire</t>
  </si>
  <si>
    <t xml:space="preserve">TO2018 Weighted One Time Adjustment Reflecting EDIT Amortization: </t>
  </si>
  <si>
    <t>TO2021 Draft Posting - WP Schedule 3 - One Time Adjust Transition, Page 25, Line 46</t>
  </si>
  <si>
    <t>TO2021 Model True Up TRR</t>
  </si>
  <si>
    <t>TO2021 Draft Posting - TO2021, Attachment 1, Schedule 4, Line 46</t>
  </si>
  <si>
    <t xml:space="preserve">TO2021 Weighted One Time Adjustment Reflecting EDIT Amortization: </t>
  </si>
  <si>
    <t xml:space="preserve">Total One Time Adjustment Reflecting EDIT Amortization: </t>
  </si>
  <si>
    <t>(Line 39) for True Up Years during the term of the settlement of ER19-1553.</t>
  </si>
  <si>
    <t>Accum Net ADIT (Liab)/Asset and Net (Excess)/Deficient ADIT Amounts</t>
  </si>
  <si>
    <t>44a</t>
  </si>
  <si>
    <t xml:space="preserve">Minimum Common Stock Capital Percentage (Docket No. ER19-1553) </t>
  </si>
  <si>
    <t>Amortization of Net (Excess)/Deficient Deferred Tax Liability Asset</t>
  </si>
  <si>
    <t>Negative of 9-ADIT-2, Line 500</t>
  </si>
  <si>
    <t>Workpaper:</t>
  </si>
  <si>
    <t>WP-Schedule 1</t>
  </si>
  <si>
    <t xml:space="preserve">2) No change in Return on Common Equity will be made absent a Section 205 filing at the Commission. </t>
  </si>
  <si>
    <t>Does not include any project-specific ROE adders.</t>
  </si>
  <si>
    <t>In the event that the Return on Common Equity is revised from the initial value, enter cite to Commission Order approving the revised ROE on following line.</t>
  </si>
  <si>
    <t>Order approving revised ROE:</t>
  </si>
  <si>
    <t>ER19-1553</t>
  </si>
  <si>
    <r>
      <t>3) No change in the South Georgia Income Tax Adjustment "Credits and Other" term</t>
    </r>
    <r>
      <rPr>
        <sz val="10"/>
        <rFont val="Arial"/>
        <family val="2"/>
      </rPr>
      <t xml:space="preserve"> will be made absent </t>
    </r>
  </si>
  <si>
    <t>negative $183,000 for the Prior Year of 2019, and $0 thereafter.</t>
  </si>
  <si>
    <t>5) Prior Year Incentive Adder Reversal backs out the revenue requirement associated with any project-specific Incentive Adders</t>
  </si>
  <si>
    <t>(Line 77).  Applicable pursuant to settlement under ER19-1553.</t>
  </si>
  <si>
    <t>TO2021 Att5, Sch 4, Line 46</t>
  </si>
  <si>
    <t>EDIT adjustment</t>
  </si>
  <si>
    <t>Adj TO2018 w/ wildfire</t>
  </si>
  <si>
    <t>TO2021DAU,Sch 4, Line 46</t>
  </si>
  <si>
    <t>Adjusted TO2021 Model True Up TRR</t>
  </si>
  <si>
    <t>107a</t>
  </si>
  <si>
    <t>Wildfire Reserve</t>
  </si>
  <si>
    <t>27-Allocators Lines 18 and 5 respectively.</t>
  </si>
  <si>
    <t>6-PlantInService, Line 18</t>
  </si>
  <si>
    <t>6-PlantInService, Line 24</t>
  </si>
  <si>
    <t>6-PlantInService, Line 19</t>
  </si>
  <si>
    <t>6-PlantInService, Line 27</t>
  </si>
  <si>
    <t>11-PHFU, Line 9</t>
  </si>
  <si>
    <t>11-PHFU, Line 8</t>
  </si>
  <si>
    <t>11-PHFU, Line 10</t>
  </si>
  <si>
    <t>12-AbandonedPlant Line 4</t>
  </si>
  <si>
    <t>12-AbandonedPlant, Line 3</t>
  </si>
  <si>
    <t>12-AbandonedPlant, Line 1</t>
  </si>
  <si>
    <t>13-WorkCap, Line 17</t>
  </si>
  <si>
    <t>13-WorkCap, Line 33</t>
  </si>
  <si>
    <t>13-WorkCap, Line 16</t>
  </si>
  <si>
    <t>13-WorkCap, Line 36</t>
  </si>
  <si>
    <t>1-Base TRR Line 7</t>
  </si>
  <si>
    <t>1-Base TRR L 59</t>
  </si>
  <si>
    <t>1-Base TRR L 63</t>
  </si>
  <si>
    <t>1-Base TRR L 65</t>
  </si>
  <si>
    <t>1-Base TRR L 66</t>
  </si>
  <si>
    <t>1-Base TRR L 67</t>
  </si>
  <si>
    <t>1-Base TRR L 68</t>
  </si>
  <si>
    <t>1-Base TRR L 69</t>
  </si>
  <si>
    <t>1-Base TRR L 70</t>
  </si>
  <si>
    <t>1-Base TRR L 71</t>
  </si>
  <si>
    <t>1-Base TRR L 72</t>
  </si>
  <si>
    <t>1-Base TRR L 75</t>
  </si>
  <si>
    <t>1-Base TRR L 76</t>
  </si>
  <si>
    <t>1-Base TRR L 51</t>
  </si>
  <si>
    <t>1-Base TRR L 52</t>
  </si>
  <si>
    <t>1-Base TRR L 47 * Line d</t>
  </si>
  <si>
    <t>8-AccDep, Line 14, Col. 12</t>
  </si>
  <si>
    <t>8-AccDep, Line 17, Col. 5</t>
  </si>
  <si>
    <t>8-AccDep, Line 23</t>
  </si>
  <si>
    <t>8-AccDep, Line 13, Col. 12</t>
  </si>
  <si>
    <t>8-AccDep, Line 16, Col. 5</t>
  </si>
  <si>
    <t>8-AccDep, Line 26</t>
  </si>
  <si>
    <t>9-ADIT, Line 15</t>
  </si>
  <si>
    <t>9-ADIT, Line 5, Col. 2</t>
  </si>
  <si>
    <t>14-IncentivePlant, L 12, C2</t>
  </si>
  <si>
    <t>14-IncentivePlant, L 12, Col 1</t>
  </si>
  <si>
    <t>22-NUCs, Line 7</t>
  </si>
  <si>
    <t>22-NUCs, Line 4</t>
  </si>
  <si>
    <t>22-NUCs, Line 8</t>
  </si>
  <si>
    <t>34-UnfundedReserves, Line 7</t>
  </si>
  <si>
    <t>34-UnfundedReserves, Line 6</t>
  </si>
  <si>
    <t>23-RegAssets, Line 15</t>
  </si>
  <si>
    <t>23-RegAssets, Line 14</t>
  </si>
  <si>
    <t>23-RegAssets, Line 16</t>
  </si>
  <si>
    <t>15-IncentiveAdder L 20</t>
  </si>
  <si>
    <t>15-IncentiveAdder, Line 14</t>
  </si>
  <si>
    <t>28-FFU, L 5</t>
  </si>
  <si>
    <t>L 78 * FF Factor (28-FFU, L 5)</t>
  </si>
  <si>
    <t>L 78 * U Factor (28-FFU, L 5)</t>
  </si>
  <si>
    <t>26-TaxRates, Line 16</t>
  </si>
  <si>
    <t>26-Tax Rates, Line 1</t>
  </si>
  <si>
    <t>26-Tax Rates, Line 8</t>
  </si>
  <si>
    <t>5-ROR-1, Line 32</t>
  </si>
  <si>
    <t>19-OandM, Line 91, Col. 6</t>
  </si>
  <si>
    <t>20-AandG, Line 23</t>
  </si>
  <si>
    <t>17-Depreciation, Line 70</t>
  </si>
  <si>
    <t>21-Revenue Credits, Line 44</t>
  </si>
  <si>
    <t>2-IFPTRR, Line 82</t>
  </si>
  <si>
    <t>3-TrueUpAdjust, Line 30</t>
  </si>
  <si>
    <t>25-WholesaleDifference, Line 45</t>
  </si>
  <si>
    <t>9-ADIT-1, Line 15</t>
  </si>
  <si>
    <t>9-ADIT-1, Line 5, Col. 2</t>
  </si>
  <si>
    <t>27-Allocators, Line 22</t>
  </si>
  <si>
    <t>27-Allocators, Line 9</t>
  </si>
  <si>
    <t>5-ROR-1, Line 4</t>
  </si>
  <si>
    <t>5-ROR-1, Line 11</t>
  </si>
  <si>
    <t>5-ROR-1, Line 12</t>
  </si>
  <si>
    <t>5-ROR-1, Line 20</t>
  </si>
  <si>
    <t>5-ROR-1, Line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</si>
</sst>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0.000%"/>
    <numFmt numFmtId="166" formatCode="0.0000%"/>
    <numFmt numFmtId="167" formatCode="0.00000000%"/>
    <numFmt numFmtId="168" formatCode="_(* #,##0_);_(* \(#,##0\);_(* &quot;-&quot;??_);_(@_)"/>
    <numFmt numFmtId="169" formatCode="mmm\ d\,\ yyyy"/>
    <numFmt numFmtId="170" formatCode="&quot;$&quot;#,##0.00"/>
    <numFmt numFmtId="171" formatCode="0.000"/>
    <numFmt numFmtId="172" formatCode="0.0%"/>
    <numFmt numFmtId="173" formatCode="&quot;$&quot;#,##0.0000"/>
  </numFmts>
  <fonts count="4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Wingdings"/>
      <charset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0"/>
      <color indexed="13"/>
      <name val="Arial"/>
      <family val="2"/>
    </font>
    <font>
      <sz val="10"/>
      <color indexed="13"/>
      <name val="Arial"/>
      <family val="2"/>
    </font>
    <font>
      <u/>
      <sz val="10"/>
      <name val="Arial"/>
      <family val="2"/>
    </font>
    <font>
      <u/>
      <sz val="10"/>
      <color rgb="FFFF0000"/>
      <name val="Arial"/>
      <family val="2"/>
    </font>
    <font>
      <strike/>
      <sz val="10"/>
      <color rgb="FFFF0000"/>
      <name val="Arial"/>
      <family val="2"/>
    </font>
    <font>
      <b/>
      <sz val="10"/>
      <color rgb="FFFF0000"/>
      <name val="Arial"/>
      <family val="2"/>
    </font>
    <font>
      <strike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name val="Arial"/>
      <family val="2"/>
    </font>
    <font>
      <u/>
      <sz val="9"/>
      <name val="Arial"/>
      <family val="2"/>
    </font>
    <font>
      <sz val="10"/>
      <color theme="1"/>
      <name val="Calibri"/>
      <family val="2"/>
      <scheme val="minor"/>
    </font>
    <font>
      <b/>
      <u/>
      <sz val="10"/>
      <color theme="1"/>
      <name val="Arial"/>
      <family val="2"/>
    </font>
    <font>
      <b/>
      <sz val="11"/>
      <name val="Calibri"/>
      <family val="2"/>
      <scheme val="minor"/>
    </font>
    <font>
      <sz val="10"/>
      <color rgb="FFFF0000"/>
      <name val="Arial"/>
      <family val="2"/>
    </font>
    <font>
      <b/>
      <i/>
      <sz val="10"/>
      <name val="Arial"/>
      <family val="2"/>
    </font>
    <font>
      <sz val="10"/>
      <name val="Calibri"/>
      <family val="2"/>
      <scheme val="minor"/>
    </font>
    <font>
      <b/>
      <strike/>
      <sz val="10"/>
      <color rgb="FFFF0000"/>
      <name val="Arial"/>
      <family val="2"/>
    </font>
    <font>
      <strike/>
      <sz val="10"/>
      <color rgb="FFFF0000"/>
      <name val="Calibri"/>
      <family val="2"/>
      <scheme val="minor"/>
    </font>
    <font>
      <sz val="10"/>
      <color indexed="10"/>
      <name val="Arial"/>
      <family val="2"/>
    </font>
    <font>
      <b/>
      <sz val="11"/>
      <color indexed="8"/>
      <name val="Calibri"/>
      <family val="2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u/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1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0" fontId="2" fillId="0" borderId="0"/>
    <xf numFmtId="9" fontId="11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35" fillId="0" borderId="0"/>
    <xf numFmtId="0" fontId="39" fillId="0" borderId="0"/>
    <xf numFmtId="0" fontId="40" fillId="0" borderId="0"/>
  </cellStyleXfs>
  <cellXfs count="316">
    <xf numFmtId="0" fontId="0" fillId="0" borderId="0" xfId="0"/>
    <xf numFmtId="0" fontId="1" fillId="0" borderId="0" xfId="0" applyFont="1"/>
    <xf numFmtId="0" fontId="2" fillId="0" borderId="0" xfId="1" applyFont="1" applyBorder="1" applyAlignment="1">
      <alignment horizontal="left"/>
    </xf>
    <xf numFmtId="0" fontId="2" fillId="0" borderId="0" xfId="1" applyNumberFormat="1" applyFont="1" applyFill="1" applyBorder="1" applyAlignment="1">
      <alignment horizontal="left"/>
    </xf>
    <xf numFmtId="1" fontId="2" fillId="0" borderId="0" xfId="1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/>
    <xf numFmtId="164" fontId="0" fillId="0" borderId="0" xfId="0" applyNumberFormat="1"/>
    <xf numFmtId="164" fontId="0" fillId="2" borderId="0" xfId="0" applyNumberFormat="1" applyFill="1"/>
    <xf numFmtId="0" fontId="2" fillId="0" borderId="0" xfId="1" applyNumberFormat="1" applyFont="1" applyFill="1" applyBorder="1" applyAlignment="1">
      <alignment horizontal="right"/>
    </xf>
    <xf numFmtId="164" fontId="5" fillId="0" borderId="0" xfId="0" applyNumberFormat="1" applyFont="1"/>
    <xf numFmtId="0" fontId="0" fillId="2" borderId="0" xfId="0" applyFill="1"/>
    <xf numFmtId="10" fontId="0" fillId="2" borderId="0" xfId="0" applyNumberFormat="1" applyFill="1"/>
    <xf numFmtId="0" fontId="6" fillId="0" borderId="0" xfId="0" applyFont="1" applyAlignment="1">
      <alignment horizontal="center"/>
    </xf>
    <xf numFmtId="0" fontId="3" fillId="0" borderId="0" xfId="0" quotePrefix="1" applyFont="1" applyAlignment="1">
      <alignment horizontal="center"/>
    </xf>
    <xf numFmtId="0" fontId="7" fillId="0" borderId="0" xfId="0" applyFont="1"/>
    <xf numFmtId="0" fontId="3" fillId="0" borderId="0" xfId="0" applyFont="1" applyFill="1" applyAlignment="1">
      <alignment horizontal="center"/>
    </xf>
    <xf numFmtId="164" fontId="7" fillId="0" borderId="0" xfId="0" applyNumberFormat="1" applyFont="1" applyFill="1" applyAlignment="1">
      <alignment horizontal="right"/>
    </xf>
    <xf numFmtId="0" fontId="0" fillId="0" borderId="0" xfId="0" quotePrefix="1" applyFont="1" applyAlignment="1">
      <alignment horizontal="center"/>
    </xf>
    <xf numFmtId="0" fontId="0" fillId="0" borderId="0" xfId="0" applyAlignment="1">
      <alignment horizontal="left" indent="1"/>
    </xf>
    <xf numFmtId="0" fontId="0" fillId="0" borderId="0" xfId="0" applyAlignment="1">
      <alignment horizontal="right"/>
    </xf>
    <xf numFmtId="0" fontId="1" fillId="0" borderId="0" xfId="0" applyFont="1" applyFill="1"/>
    <xf numFmtId="0" fontId="0" fillId="0" borderId="0" xfId="0" applyFill="1"/>
    <xf numFmtId="0" fontId="9" fillId="0" borderId="0" xfId="0" applyFont="1" applyAlignment="1">
      <alignment horizontal="center"/>
    </xf>
    <xf numFmtId="164" fontId="0" fillId="0" borderId="1" xfId="0" applyNumberFormat="1" applyFill="1" applyBorder="1"/>
    <xf numFmtId="0" fontId="3" fillId="0" borderId="0" xfId="1" applyFont="1" applyFill="1" applyBorder="1" applyAlignment="1">
      <alignment horizontal="center"/>
    </xf>
    <xf numFmtId="1" fontId="2" fillId="2" borderId="0" xfId="1" applyNumberFormat="1" applyFont="1" applyFill="1" applyBorder="1" applyAlignment="1">
      <alignment horizontal="center"/>
    </xf>
    <xf numFmtId="0" fontId="0" fillId="0" borderId="0" xfId="0" quotePrefix="1" applyAlignment="1">
      <alignment horizontal="center"/>
    </xf>
    <xf numFmtId="164" fontId="0" fillId="0" borderId="0" xfId="0" applyNumberFormat="1" applyFill="1"/>
    <xf numFmtId="164" fontId="0" fillId="0" borderId="0" xfId="0" applyNumberFormat="1" applyFont="1" applyFill="1"/>
    <xf numFmtId="0" fontId="0" fillId="0" borderId="0" xfId="0" applyFill="1" applyAlignment="1">
      <alignment horizontal="right"/>
    </xf>
    <xf numFmtId="0" fontId="3" fillId="0" borderId="0" xfId="0" quotePrefix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6" fillId="0" borderId="0" xfId="0" quotePrefix="1" applyFont="1" applyFill="1" applyAlignment="1">
      <alignment horizontal="center"/>
    </xf>
    <xf numFmtId="0" fontId="8" fillId="0" borderId="0" xfId="0" quotePrefix="1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quotePrefix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/>
    </xf>
    <xf numFmtId="0" fontId="0" fillId="0" borderId="0" xfId="0" quotePrefix="1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6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2" fillId="0" borderId="0" xfId="1" applyAlignment="1">
      <alignment horizontal="left"/>
    </xf>
    <xf numFmtId="0" fontId="2" fillId="0" borderId="0" xfId="1" applyAlignment="1">
      <alignment horizontal="left" indent="1"/>
    </xf>
    <xf numFmtId="0" fontId="6" fillId="0" borderId="0" xfId="1" applyFont="1" applyAlignment="1">
      <alignment horizontal="left"/>
    </xf>
    <xf numFmtId="0" fontId="2" fillId="0" borderId="0" xfId="3"/>
    <xf numFmtId="0" fontId="2" fillId="0" borderId="0" xfId="1" applyAlignment="1">
      <alignment horizontal="right"/>
    </xf>
    <xf numFmtId="0" fontId="2" fillId="0" borderId="0" xfId="6"/>
    <xf numFmtId="1" fontId="2" fillId="0" borderId="0" xfId="1" applyNumberFormat="1" applyAlignment="1">
      <alignment horizontal="center"/>
    </xf>
    <xf numFmtId="1" fontId="2" fillId="0" borderId="0" xfId="1" applyNumberFormat="1" applyAlignment="1">
      <alignment horizontal="right"/>
    </xf>
    <xf numFmtId="0" fontId="7" fillId="2" borderId="0" xfId="4" applyFont="1" applyFill="1"/>
    <xf numFmtId="0" fontId="6" fillId="0" borderId="0" xfId="6" applyFont="1"/>
    <xf numFmtId="0" fontId="6" fillId="0" borderId="0" xfId="6" applyFont="1" applyAlignment="1">
      <alignment horizontal="left" indent="1"/>
    </xf>
    <xf numFmtId="164" fontId="2" fillId="2" borderId="0" xfId="7" applyNumberFormat="1" applyFont="1" applyFill="1"/>
    <xf numFmtId="164" fontId="2" fillId="2" borderId="0" xfId="4" applyNumberFormat="1" applyFill="1"/>
    <xf numFmtId="0" fontId="27" fillId="0" borderId="0" xfId="6" applyFont="1" applyAlignment="1">
      <alignment horizontal="left"/>
    </xf>
    <xf numFmtId="0" fontId="6" fillId="0" borderId="0" xfId="6" applyFont="1" applyAlignment="1">
      <alignment horizontal="center"/>
    </xf>
    <xf numFmtId="0" fontId="2" fillId="0" borderId="0" xfId="6" applyAlignment="1">
      <alignment horizontal="right"/>
    </xf>
    <xf numFmtId="164" fontId="2" fillId="0" borderId="0" xfId="6" applyNumberFormat="1" applyAlignment="1">
      <alignment horizontal="right"/>
    </xf>
    <xf numFmtId="0" fontId="6" fillId="0" borderId="0" xfId="6" applyFont="1" applyAlignment="1">
      <alignment horizontal="right"/>
    </xf>
    <xf numFmtId="0" fontId="6" fillId="0" borderId="7" xfId="6" applyFont="1" applyBorder="1" applyAlignment="1">
      <alignment horizontal="center"/>
    </xf>
    <xf numFmtId="171" fontId="2" fillId="2" borderId="0" xfId="6" applyNumberFormat="1" applyFill="1" applyAlignment="1">
      <alignment horizontal="center"/>
    </xf>
    <xf numFmtId="0" fontId="2" fillId="2" borderId="0" xfId="6" applyFill="1"/>
    <xf numFmtId="164" fontId="2" fillId="2" borderId="0" xfId="6" applyNumberFormat="1" applyFill="1"/>
    <xf numFmtId="164" fontId="7" fillId="2" borderId="0" xfId="4" applyNumberFormat="1" applyFont="1" applyFill="1"/>
    <xf numFmtId="171" fontId="2" fillId="2" borderId="9" xfId="6" applyNumberFormat="1" applyFill="1" applyBorder="1" applyAlignment="1">
      <alignment horizontal="center"/>
    </xf>
    <xf numFmtId="0" fontId="2" fillId="2" borderId="9" xfId="6" applyFill="1" applyBorder="1"/>
    <xf numFmtId="164" fontId="2" fillId="2" borderId="9" xfId="6" applyNumberFormat="1" applyFill="1" applyBorder="1"/>
    <xf numFmtId="164" fontId="7" fillId="2" borderId="9" xfId="4" applyNumberFormat="1" applyFont="1" applyFill="1" applyBorder="1"/>
    <xf numFmtId="0" fontId="7" fillId="2" borderId="9" xfId="4" applyFont="1" applyFill="1" applyBorder="1"/>
    <xf numFmtId="0" fontId="2" fillId="2" borderId="0" xfId="4" applyFill="1"/>
    <xf numFmtId="171" fontId="2" fillId="0" borderId="0" xfId="6" applyNumberFormat="1" applyAlignment="1">
      <alignment horizontal="center"/>
    </xf>
    <xf numFmtId="164" fontId="2" fillId="0" borderId="0" xfId="6" applyNumberFormat="1"/>
    <xf numFmtId="171" fontId="2" fillId="0" borderId="0" xfId="6" quotePrefix="1" applyNumberFormat="1" applyAlignment="1">
      <alignment horizontal="center"/>
    </xf>
    <xf numFmtId="164" fontId="2" fillId="0" borderId="0" xfId="8" applyNumberFormat="1" applyFont="1" applyFill="1" applyBorder="1"/>
    <xf numFmtId="164" fontId="2" fillId="0" borderId="0" xfId="8" applyNumberFormat="1" applyFont="1" applyBorder="1"/>
    <xf numFmtId="164" fontId="2" fillId="0" borderId="0" xfId="8" applyNumberFormat="1" applyFont="1"/>
    <xf numFmtId="165" fontId="2" fillId="0" borderId="0" xfId="8" applyNumberFormat="1" applyFont="1" applyBorder="1"/>
    <xf numFmtId="164" fontId="2" fillId="0" borderId="6" xfId="8" applyNumberFormat="1" applyFont="1" applyBorder="1"/>
    <xf numFmtId="0" fontId="2" fillId="0" borderId="0" xfId="6" quotePrefix="1" applyAlignment="1">
      <alignment horizontal="left" indent="1"/>
    </xf>
    <xf numFmtId="164" fontId="2" fillId="2" borderId="0" xfId="8" applyNumberFormat="1" applyFont="1" applyFill="1" applyBorder="1"/>
    <xf numFmtId="164" fontId="2" fillId="0" borderId="0" xfId="8" applyNumberFormat="1" applyFont="1" applyBorder="1" applyAlignment="1">
      <alignment horizontal="left" indent="1"/>
    </xf>
    <xf numFmtId="39" fontId="2" fillId="0" borderId="0" xfId="8" applyNumberFormat="1" applyFont="1" applyBorder="1"/>
    <xf numFmtId="37" fontId="2" fillId="0" borderId="0" xfId="8" applyNumberFormat="1" applyFont="1" applyBorder="1" applyAlignment="1">
      <alignment horizontal="center"/>
    </xf>
    <xf numFmtId="171" fontId="2" fillId="2" borderId="0" xfId="4" quotePrefix="1" applyNumberFormat="1" applyFill="1" applyAlignment="1">
      <alignment horizontal="center"/>
    </xf>
    <xf numFmtId="164" fontId="7" fillId="2" borderId="0" xfId="8" applyNumberFormat="1" applyFont="1" applyFill="1" applyBorder="1"/>
    <xf numFmtId="164" fontId="6" fillId="0" borderId="0" xfId="6" applyNumberFormat="1" applyFont="1" applyAlignment="1">
      <alignment horizontal="center"/>
    </xf>
    <xf numFmtId="164" fontId="6" fillId="0" borderId="7" xfId="6" applyNumberFormat="1" applyFont="1" applyBorder="1" applyAlignment="1">
      <alignment horizontal="center"/>
    </xf>
    <xf numFmtId="164" fontId="2" fillId="0" borderId="7" xfId="8" applyNumberFormat="1" applyFont="1" applyBorder="1"/>
    <xf numFmtId="164" fontId="2" fillId="0" borderId="6" xfId="8" applyNumberFormat="1" applyFont="1" applyFill="1" applyBorder="1"/>
    <xf numFmtId="164" fontId="6" fillId="0" borderId="0" xfId="8" applyNumberFormat="1" applyFont="1" applyBorder="1" applyAlignment="1">
      <alignment horizontal="center"/>
    </xf>
    <xf numFmtId="0" fontId="3" fillId="0" borderId="0" xfId="6" applyFont="1" applyAlignment="1">
      <alignment horizontal="center"/>
    </xf>
    <xf numFmtId="164" fontId="3" fillId="0" borderId="0" xfId="8" applyNumberFormat="1" applyFont="1" applyBorder="1" applyAlignment="1">
      <alignment horizontal="center"/>
    </xf>
    <xf numFmtId="170" fontId="2" fillId="0" borderId="0" xfId="8" applyNumberFormat="1" applyFont="1" applyBorder="1" applyAlignment="1">
      <alignment horizontal="left" indent="1"/>
    </xf>
    <xf numFmtId="3" fontId="2" fillId="0" borderId="0" xfId="8" applyNumberFormat="1" applyFont="1" applyFill="1" applyBorder="1"/>
    <xf numFmtId="10" fontId="2" fillId="0" borderId="0" xfId="8" applyNumberFormat="1" applyFont="1" applyBorder="1"/>
    <xf numFmtId="0" fontId="16" fillId="0" borderId="0" xfId="6" applyFont="1"/>
    <xf numFmtId="164" fontId="16" fillId="0" borderId="0" xfId="8" applyNumberFormat="1" applyFont="1" applyBorder="1" applyAlignment="1">
      <alignment horizontal="left" indent="1"/>
    </xf>
    <xf numFmtId="164" fontId="16" fillId="0" borderId="0" xfId="8" applyNumberFormat="1" applyFont="1" applyBorder="1"/>
    <xf numFmtId="164" fontId="26" fillId="0" borderId="0" xfId="6" applyNumberFormat="1" applyFont="1"/>
    <xf numFmtId="164" fontId="14" fillId="2" borderId="0" xfId="6" applyNumberFormat="1" applyFont="1" applyFill="1"/>
    <xf numFmtId="0" fontId="2" fillId="0" borderId="0" xfId="6" applyAlignment="1">
      <alignment horizontal="left"/>
    </xf>
    <xf numFmtId="0" fontId="6" fillId="0" borderId="0" xfId="3" applyFont="1"/>
    <xf numFmtId="0" fontId="3" fillId="0" borderId="0" xfId="3" applyFont="1"/>
    <xf numFmtId="0" fontId="6" fillId="0" borderId="0" xfId="3" applyFont="1" applyAlignment="1">
      <alignment horizontal="center"/>
    </xf>
    <xf numFmtId="0" fontId="6" fillId="0" borderId="7" xfId="3" applyFont="1" applyBorder="1" applyAlignment="1">
      <alignment horizontal="center"/>
    </xf>
    <xf numFmtId="0" fontId="3" fillId="0" borderId="0" xfId="3" applyFont="1" applyAlignment="1">
      <alignment horizontal="left"/>
    </xf>
    <xf numFmtId="164" fontId="2" fillId="0" borderId="0" xfId="3" applyNumberFormat="1"/>
    <xf numFmtId="164" fontId="2" fillId="0" borderId="11" xfId="3" applyNumberFormat="1" applyBorder="1"/>
    <xf numFmtId="0" fontId="6" fillId="0" borderId="0" xfId="3" quotePrefix="1" applyFont="1" applyAlignment="1">
      <alignment horizontal="center"/>
    </xf>
    <xf numFmtId="0" fontId="3" fillId="0" borderId="0" xfId="3" applyFont="1" applyAlignment="1">
      <alignment horizontal="center"/>
    </xf>
    <xf numFmtId="164" fontId="2" fillId="0" borderId="7" xfId="3" applyNumberFormat="1" applyBorder="1" applyAlignment="1">
      <alignment horizontal="right"/>
    </xf>
    <xf numFmtId="164" fontId="2" fillId="0" borderId="0" xfId="3" applyNumberFormat="1" applyAlignment="1">
      <alignment horizontal="right"/>
    </xf>
    <xf numFmtId="164" fontId="2" fillId="0" borderId="12" xfId="3" applyNumberFormat="1" applyBorder="1"/>
    <xf numFmtId="164" fontId="2" fillId="4" borderId="0" xfId="5" applyNumberFormat="1" applyFont="1" applyFill="1"/>
    <xf numFmtId="164" fontId="2" fillId="0" borderId="0" xfId="5" applyNumberFormat="1" applyFont="1" applyFill="1" applyBorder="1"/>
    <xf numFmtId="164" fontId="2" fillId="4" borderId="2" xfId="5" applyNumberFormat="1" applyFont="1" applyFill="1" applyBorder="1"/>
    <xf numFmtId="37" fontId="2" fillId="0" borderId="0" xfId="5" applyNumberFormat="1" applyFont="1" applyFill="1" applyBorder="1"/>
    <xf numFmtId="166" fontId="0" fillId="0" borderId="0" xfId="9" quotePrefix="1" applyNumberFormat="1" applyFont="1" applyFill="1" applyBorder="1"/>
    <xf numFmtId="166" fontId="0" fillId="0" borderId="7" xfId="9" applyNumberFormat="1" applyFont="1" applyFill="1" applyBorder="1"/>
    <xf numFmtId="166" fontId="0" fillId="0" borderId="0" xfId="9" applyNumberFormat="1" applyFont="1" applyFill="1" applyBorder="1"/>
    <xf numFmtId="164" fontId="0" fillId="0" borderId="11" xfId="5" applyNumberFormat="1" applyFont="1" applyBorder="1"/>
    <xf numFmtId="164" fontId="0" fillId="0" borderId="0" xfId="5" applyNumberFormat="1" applyFont="1" applyFill="1" applyBorder="1"/>
    <xf numFmtId="0" fontId="0" fillId="0" borderId="0" xfId="0" quotePrefix="1"/>
    <xf numFmtId="165" fontId="11" fillId="0" borderId="13" xfId="2" applyNumberFormat="1" applyBorder="1" applyAlignment="1">
      <alignment wrapText="1"/>
    </xf>
    <xf numFmtId="0" fontId="1" fillId="6" borderId="13" xfId="10" applyFont="1" applyFill="1" applyBorder="1" applyAlignment="1">
      <alignment horizontal="center" wrapText="1"/>
    </xf>
    <xf numFmtId="164" fontId="11" fillId="0" borderId="13" xfId="10" applyNumberFormat="1" applyBorder="1" applyAlignment="1">
      <alignment wrapText="1"/>
    </xf>
    <xf numFmtId="168" fontId="11" fillId="0" borderId="13" xfId="10" applyNumberFormat="1" applyBorder="1" applyAlignment="1">
      <alignment wrapText="1"/>
    </xf>
    <xf numFmtId="168" fontId="1" fillId="0" borderId="17" xfId="10" applyNumberFormat="1" applyFont="1" applyBorder="1"/>
    <xf numFmtId="164" fontId="34" fillId="0" borderId="18" xfId="11" applyNumberFormat="1" applyFont="1" applyFill="1" applyBorder="1"/>
    <xf numFmtId="165" fontId="11" fillId="0" borderId="19" xfId="2" applyNumberFormat="1" applyBorder="1" applyAlignment="1">
      <alignment wrapText="1"/>
    </xf>
    <xf numFmtId="0" fontId="0" fillId="2" borderId="0" xfId="0" applyFill="1" applyAlignment="1">
      <alignment horizontal="center"/>
    </xf>
    <xf numFmtId="170" fontId="0" fillId="0" borderId="0" xfId="0" applyNumberFormat="1"/>
    <xf numFmtId="0" fontId="0" fillId="0" borderId="0" xfId="0" applyAlignment="1">
      <alignment horizontal="center"/>
    </xf>
    <xf numFmtId="0" fontId="34" fillId="0" borderId="0" xfId="0" applyFont="1" applyFill="1"/>
    <xf numFmtId="0" fontId="25" fillId="0" borderId="0" xfId="0" applyFont="1" applyFill="1"/>
    <xf numFmtId="0" fontId="36" fillId="0" borderId="0" xfId="0" applyFont="1"/>
    <xf numFmtId="164" fontId="0" fillId="0" borderId="0" xfId="0" applyNumberFormat="1" applyFill="1" applyAlignment="1">
      <alignment horizontal="center"/>
    </xf>
    <xf numFmtId="172" fontId="11" fillId="0" borderId="13" xfId="2" applyNumberFormat="1" applyBorder="1" applyAlignment="1">
      <alignment horizontal="center" wrapText="1"/>
    </xf>
    <xf numFmtId="164" fontId="11" fillId="0" borderId="13" xfId="10" applyNumberFormat="1" applyBorder="1" applyAlignment="1">
      <alignment horizontal="center" wrapText="1"/>
    </xf>
    <xf numFmtId="164" fontId="34" fillId="0" borderId="18" xfId="11" applyNumberFormat="1" applyFont="1" applyFill="1" applyBorder="1" applyAlignment="1">
      <alignment horizontal="center"/>
    </xf>
    <xf numFmtId="164" fontId="34" fillId="0" borderId="13" xfId="11" applyNumberFormat="1" applyFont="1" applyFill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0" fontId="34" fillId="0" borderId="0" xfId="0" applyFont="1"/>
    <xf numFmtId="0" fontId="25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3" xfId="0" applyFont="1" applyBorder="1" applyAlignment="1">
      <alignment horizontal="center"/>
    </xf>
    <xf numFmtId="0" fontId="1" fillId="0" borderId="13" xfId="0" applyFont="1" applyBorder="1" applyAlignment="1">
      <alignment horizontal="center" wrapText="1"/>
    </xf>
    <xf numFmtId="10" fontId="0" fillId="0" borderId="13" xfId="2" applyNumberFormat="1" applyFont="1" applyBorder="1" applyAlignment="1">
      <alignment horizontal="center"/>
    </xf>
    <xf numFmtId="0" fontId="1" fillId="7" borderId="13" xfId="10" applyFont="1" applyFill="1" applyBorder="1" applyAlignment="1">
      <alignment horizontal="center" wrapText="1"/>
    </xf>
    <xf numFmtId="164" fontId="1" fillId="7" borderId="17" xfId="10" applyNumberFormat="1" applyFont="1" applyFill="1" applyBorder="1" applyAlignment="1">
      <alignment horizontal="center"/>
    </xf>
    <xf numFmtId="164" fontId="1" fillId="7" borderId="13" xfId="10" applyNumberFormat="1" applyFont="1" applyFill="1" applyBorder="1" applyAlignment="1">
      <alignment horizontal="center" wrapText="1"/>
    </xf>
    <xf numFmtId="164" fontId="1" fillId="7" borderId="13" xfId="0" applyNumberFormat="1" applyFont="1" applyFill="1" applyBorder="1" applyAlignment="1">
      <alignment horizontal="center"/>
    </xf>
    <xf numFmtId="173" fontId="0" fillId="0" borderId="0" xfId="0" applyNumberFormat="1"/>
    <xf numFmtId="0" fontId="1" fillId="6" borderId="13" xfId="10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1" fillId="7" borderId="13" xfId="10" applyFont="1" applyFill="1" applyBorder="1" applyAlignment="1">
      <alignment horizontal="center"/>
    </xf>
    <xf numFmtId="166" fontId="2" fillId="0" borderId="0" xfId="13" applyNumberFormat="1" applyFont="1"/>
    <xf numFmtId="164" fontId="0" fillId="0" borderId="13" xfId="0" applyNumberFormat="1" applyBorder="1"/>
    <xf numFmtId="0" fontId="6" fillId="0" borderId="0" xfId="14" applyFont="1"/>
    <xf numFmtId="0" fontId="40" fillId="0" borderId="0" xfId="14"/>
    <xf numFmtId="0" fontId="6" fillId="0" borderId="0" xfId="14" applyFont="1" applyAlignment="1">
      <alignment horizontal="left"/>
    </xf>
    <xf numFmtId="0" fontId="6" fillId="0" borderId="0" xfId="14" applyFont="1" applyAlignment="1">
      <alignment horizontal="center"/>
    </xf>
    <xf numFmtId="0" fontId="6" fillId="0" borderId="0" xfId="14" applyFont="1" applyAlignment="1">
      <alignment horizontal="left" indent="1"/>
    </xf>
    <xf numFmtId="0" fontId="3" fillId="0" borderId="0" xfId="14" applyFont="1" applyAlignment="1">
      <alignment horizontal="left"/>
    </xf>
    <xf numFmtId="0" fontId="40" fillId="0" borderId="0" xfId="14" applyAlignment="1">
      <alignment horizontal="left" indent="1"/>
    </xf>
    <xf numFmtId="0" fontId="3" fillId="0" borderId="0" xfId="14" applyFont="1"/>
    <xf numFmtId="0" fontId="3" fillId="0" borderId="0" xfId="14" applyFont="1" applyAlignment="1">
      <alignment horizontal="center"/>
    </xf>
    <xf numFmtId="0" fontId="2" fillId="0" borderId="0" xfId="14" applyFont="1" applyAlignment="1">
      <alignment horizontal="left"/>
    </xf>
    <xf numFmtId="164" fontId="40" fillId="0" borderId="0" xfId="14" applyNumberFormat="1"/>
    <xf numFmtId="0" fontId="2" fillId="0" borderId="0" xfId="14" applyFont="1"/>
    <xf numFmtId="0" fontId="14" fillId="0" borderId="0" xfId="14" applyFont="1"/>
    <xf numFmtId="0" fontId="2" fillId="0" borderId="0" xfId="14" applyFont="1" applyAlignment="1">
      <alignment horizontal="left" indent="1"/>
    </xf>
    <xf numFmtId="164" fontId="14" fillId="0" borderId="0" xfId="14" applyNumberFormat="1" applyFont="1"/>
    <xf numFmtId="0" fontId="14" fillId="0" borderId="0" xfId="14" applyFont="1" applyAlignment="1">
      <alignment horizontal="left"/>
    </xf>
    <xf numFmtId="0" fontId="40" fillId="0" borderId="0" xfId="14" applyAlignment="1">
      <alignment horizontal="left"/>
    </xf>
    <xf numFmtId="166" fontId="2" fillId="0" borderId="0" xfId="14" applyNumberFormat="1" applyFont="1"/>
    <xf numFmtId="166" fontId="40" fillId="0" borderId="0" xfId="14" applyNumberFormat="1"/>
    <xf numFmtId="164" fontId="2" fillId="0" borderId="0" xfId="14" applyNumberFormat="1" applyFont="1"/>
    <xf numFmtId="0" fontId="2" fillId="0" borderId="0" xfId="14" applyFont="1" applyAlignment="1">
      <alignment horizontal="right"/>
    </xf>
    <xf numFmtId="164" fontId="6" fillId="5" borderId="3" xfId="14" applyNumberFormat="1" applyFont="1" applyFill="1" applyBorder="1" applyAlignment="1">
      <alignment horizontal="center"/>
    </xf>
    <xf numFmtId="165" fontId="40" fillId="0" borderId="0" xfId="14" applyNumberFormat="1"/>
    <xf numFmtId="0" fontId="6" fillId="5" borderId="4" xfId="14" applyFont="1" applyFill="1" applyBorder="1" applyAlignment="1">
      <alignment horizontal="center"/>
    </xf>
    <xf numFmtId="0" fontId="40" fillId="0" borderId="0" xfId="14" applyAlignment="1">
      <alignment horizontal="right"/>
    </xf>
    <xf numFmtId="164" fontId="40" fillId="5" borderId="4" xfId="14" applyNumberFormat="1" applyFill="1" applyBorder="1"/>
    <xf numFmtId="164" fontId="14" fillId="5" borderId="4" xfId="14" applyNumberFormat="1" applyFont="1" applyFill="1" applyBorder="1"/>
    <xf numFmtId="164" fontId="40" fillId="5" borderId="5" xfId="14" applyNumberFormat="1" applyFill="1" applyBorder="1"/>
    <xf numFmtId="0" fontId="6" fillId="0" borderId="0" xfId="14" quotePrefix="1" applyFont="1" applyAlignment="1">
      <alignment horizontal="center"/>
    </xf>
    <xf numFmtId="10" fontId="7" fillId="2" borderId="0" xfId="14" applyNumberFormat="1" applyFont="1" applyFill="1"/>
    <xf numFmtId="169" fontId="2" fillId="2" borderId="0" xfId="14" quotePrefix="1" applyNumberFormat="1" applyFont="1" applyFill="1" applyAlignment="1">
      <alignment horizontal="center"/>
    </xf>
    <xf numFmtId="0" fontId="2" fillId="2" borderId="0" xfId="14" applyFont="1" applyFill="1"/>
    <xf numFmtId="10" fontId="2" fillId="0" borderId="0" xfId="14" quotePrefix="1" applyNumberFormat="1" applyFont="1" applyAlignment="1">
      <alignment horizontal="right"/>
    </xf>
    <xf numFmtId="0" fontId="2" fillId="0" borderId="0" xfId="14" quotePrefix="1" applyFont="1" applyAlignment="1">
      <alignment horizontal="center"/>
    </xf>
    <xf numFmtId="10" fontId="40" fillId="0" borderId="0" xfId="14" applyNumberFormat="1"/>
    <xf numFmtId="0" fontId="7" fillId="2" borderId="0" xfId="14" applyFont="1" applyFill="1"/>
    <xf numFmtId="0" fontId="40" fillId="2" borderId="0" xfId="14" applyFill="1"/>
    <xf numFmtId="166" fontId="14" fillId="0" borderId="0" xfId="14" applyNumberFormat="1" applyFont="1"/>
    <xf numFmtId="0" fontId="2" fillId="0" borderId="0" xfId="14" applyFont="1" applyAlignment="1">
      <alignment horizontal="center"/>
    </xf>
    <xf numFmtId="3" fontId="40" fillId="0" borderId="0" xfId="14" applyNumberFormat="1" applyAlignment="1">
      <alignment horizontal="center"/>
    </xf>
    <xf numFmtId="0" fontId="3" fillId="0" borderId="0" xfId="14" quotePrefix="1" applyFont="1" applyAlignment="1">
      <alignment horizontal="center"/>
    </xf>
    <xf numFmtId="170" fontId="40" fillId="0" borderId="0" xfId="14" applyNumberFormat="1"/>
    <xf numFmtId="170" fontId="2" fillId="0" borderId="0" xfId="14" applyNumberFormat="1" applyFont="1" applyAlignment="1">
      <alignment horizontal="left" indent="1"/>
    </xf>
    <xf numFmtId="166" fontId="21" fillId="0" borderId="0" xfId="14" applyNumberFormat="1" applyFont="1"/>
    <xf numFmtId="166" fontId="22" fillId="0" borderId="0" xfId="14" applyNumberFormat="1" applyFont="1"/>
    <xf numFmtId="0" fontId="6" fillId="2" borderId="0" xfId="14" quotePrefix="1" applyFont="1" applyFill="1" applyAlignment="1">
      <alignment horizontal="center"/>
    </xf>
    <xf numFmtId="0" fontId="12" fillId="3" borderId="0" xfId="14" applyFont="1" applyFill="1"/>
    <xf numFmtId="0" fontId="13" fillId="3" borderId="0" xfId="14" applyFont="1" applyFill="1"/>
    <xf numFmtId="0" fontId="40" fillId="3" borderId="0" xfId="14" applyFill="1"/>
    <xf numFmtId="164" fontId="40" fillId="4" borderId="0" xfId="14" applyNumberFormat="1" applyFill="1"/>
    <xf numFmtId="0" fontId="40" fillId="0" borderId="0" xfId="14" applyAlignment="1">
      <alignment horizontal="left" indent="2"/>
    </xf>
    <xf numFmtId="164" fontId="7" fillId="0" borderId="0" xfId="14" applyNumberFormat="1" applyFont="1"/>
    <xf numFmtId="3" fontId="2" fillId="0" borderId="0" xfId="14" applyNumberFormat="1" applyFont="1"/>
    <xf numFmtId="10" fontId="2" fillId="0" borderId="0" xfId="14" applyNumberFormat="1" applyFont="1"/>
    <xf numFmtId="10" fontId="7" fillId="0" borderId="0" xfId="14" applyNumberFormat="1" applyFont="1"/>
    <xf numFmtId="0" fontId="2" fillId="0" borderId="0" xfId="14" quotePrefix="1" applyFont="1" applyAlignment="1">
      <alignment horizontal="left" indent="1"/>
    </xf>
    <xf numFmtId="167" fontId="2" fillId="0" borderId="0" xfId="14" applyNumberFormat="1" applyFont="1"/>
    <xf numFmtId="0" fontId="12" fillId="8" borderId="0" xfId="14" applyFont="1" applyFill="1"/>
    <xf numFmtId="0" fontId="40" fillId="0" borderId="0" xfId="14" quotePrefix="1"/>
    <xf numFmtId="164" fontId="2" fillId="2" borderId="2" xfId="14" applyNumberFormat="1" applyFont="1" applyFill="1" applyBorder="1"/>
    <xf numFmtId="164" fontId="40" fillId="2" borderId="0" xfId="14" applyNumberFormat="1" applyFill="1"/>
    <xf numFmtId="0" fontId="17" fillId="0" borderId="0" xfId="14" applyFont="1" applyAlignment="1">
      <alignment horizontal="center"/>
    </xf>
    <xf numFmtId="0" fontId="40" fillId="0" borderId="0" xfId="14" applyAlignment="1">
      <alignment horizontal="center"/>
    </xf>
    <xf numFmtId="164" fontId="2" fillId="2" borderId="0" xfId="14" applyNumberFormat="1" applyFont="1" applyFill="1"/>
    <xf numFmtId="164" fontId="38" fillId="2" borderId="0" xfId="14" applyNumberFormat="1" applyFont="1" applyFill="1"/>
    <xf numFmtId="0" fontId="7" fillId="0" borderId="0" xfId="14" applyFont="1"/>
    <xf numFmtId="0" fontId="23" fillId="0" borderId="0" xfId="14" applyFont="1"/>
    <xf numFmtId="0" fontId="24" fillId="0" borderId="0" xfId="14" applyFont="1"/>
    <xf numFmtId="0" fontId="24" fillId="0" borderId="0" xfId="14" applyFont="1" applyAlignment="1">
      <alignment horizontal="center"/>
    </xf>
    <xf numFmtId="0" fontId="25" fillId="0" borderId="0" xfId="14" applyFont="1" applyAlignment="1">
      <alignment horizontal="center"/>
    </xf>
    <xf numFmtId="37" fontId="7" fillId="0" borderId="0" xfId="14" applyNumberFormat="1" applyFont="1"/>
    <xf numFmtId="164" fontId="2" fillId="0" borderId="6" xfId="14" applyNumberFormat="1" applyFont="1" applyBorder="1"/>
    <xf numFmtId="37" fontId="2" fillId="0" borderId="0" xfId="14" applyNumberFormat="1" applyFont="1" applyAlignment="1">
      <alignment horizontal="left" indent="1"/>
    </xf>
    <xf numFmtId="166" fontId="7" fillId="0" borderId="0" xfId="14" applyNumberFormat="1" applyFont="1"/>
    <xf numFmtId="0" fontId="7" fillId="0" borderId="0" xfId="14" applyFont="1" applyAlignment="1">
      <alignment horizontal="left" indent="1"/>
    </xf>
    <xf numFmtId="166" fontId="7" fillId="0" borderId="0" xfId="14" applyNumberFormat="1" applyFont="1" applyAlignment="1">
      <alignment horizontal="left" indent="1"/>
    </xf>
    <xf numFmtId="164" fontId="24" fillId="0" borderId="0" xfId="14" applyNumberFormat="1" applyFont="1"/>
    <xf numFmtId="37" fontId="26" fillId="0" borderId="0" xfId="14" applyNumberFormat="1" applyFont="1"/>
    <xf numFmtId="0" fontId="7" fillId="0" borderId="0" xfId="14" quotePrefix="1" applyFont="1" applyAlignment="1">
      <alignment horizontal="center"/>
    </xf>
    <xf numFmtId="0" fontId="6" fillId="2" borderId="0" xfId="14" applyFont="1" applyFill="1" applyAlignment="1">
      <alignment horizontal="center"/>
    </xf>
    <xf numFmtId="164" fontId="7" fillId="2" borderId="0" xfId="14" applyNumberFormat="1" applyFont="1" applyFill="1"/>
    <xf numFmtId="0" fontId="6" fillId="2" borderId="8" xfId="14" applyFont="1" applyFill="1" applyBorder="1" applyAlignment="1">
      <alignment horizontal="center"/>
    </xf>
    <xf numFmtId="164" fontId="7" fillId="2" borderId="9" xfId="14" applyNumberFormat="1" applyFont="1" applyFill="1" applyBorder="1"/>
    <xf numFmtId="0" fontId="7" fillId="2" borderId="10" xfId="14" applyFont="1" applyFill="1" applyBorder="1"/>
    <xf numFmtId="0" fontId="26" fillId="2" borderId="0" xfId="14" applyFont="1" applyFill="1"/>
    <xf numFmtId="39" fontId="7" fillId="0" borderId="0" xfId="14" applyNumberFormat="1" applyFont="1" applyAlignment="1">
      <alignment horizontal="left" indent="1"/>
    </xf>
    <xf numFmtId="39" fontId="2" fillId="0" borderId="0" xfId="14" applyNumberFormat="1" applyFont="1" applyAlignment="1">
      <alignment horizontal="left" indent="1"/>
    </xf>
    <xf numFmtId="39" fontId="7" fillId="0" borderId="0" xfId="14" applyNumberFormat="1" applyFont="1"/>
    <xf numFmtId="171" fontId="2" fillId="0" borderId="0" xfId="14" applyNumberFormat="1" applyFont="1" applyAlignment="1">
      <alignment horizontal="center"/>
    </xf>
    <xf numFmtId="0" fontId="2" fillId="0" borderId="0" xfId="14" quotePrefix="1" applyFont="1"/>
    <xf numFmtId="171" fontId="2" fillId="2" borderId="0" xfId="14" quotePrefix="1" applyNumberFormat="1" applyFont="1" applyFill="1" applyAlignment="1">
      <alignment horizontal="center"/>
    </xf>
    <xf numFmtId="0" fontId="28" fillId="0" borderId="0" xfId="14" applyFont="1"/>
    <xf numFmtId="0" fontId="6" fillId="0" borderId="0" xfId="14" quotePrefix="1" applyFont="1" applyAlignment="1">
      <alignment horizontal="left" indent="1"/>
    </xf>
    <xf numFmtId="0" fontId="2" fillId="0" borderId="0" xfId="14" applyFont="1" applyAlignment="1">
      <alignment wrapText="1"/>
    </xf>
    <xf numFmtId="164" fontId="2" fillId="0" borderId="0" xfId="14" quotePrefix="1" applyNumberFormat="1" applyFont="1" applyAlignment="1">
      <alignment horizontal="center"/>
    </xf>
    <xf numFmtId="164" fontId="7" fillId="0" borderId="0" xfId="14" applyNumberFormat="1" applyFont="1" applyAlignment="1">
      <alignment horizontal="right"/>
    </xf>
    <xf numFmtId="170" fontId="2" fillId="0" borderId="0" xfId="14" quotePrefix="1" applyNumberFormat="1" applyFont="1" applyAlignment="1">
      <alignment horizontal="center"/>
    </xf>
    <xf numFmtId="0" fontId="40" fillId="2" borderId="0" xfId="14" applyFill="1" applyAlignment="1">
      <alignment wrapText="1"/>
    </xf>
    <xf numFmtId="0" fontId="40" fillId="0" borderId="0" xfId="14" applyAlignment="1">
      <alignment wrapText="1"/>
    </xf>
    <xf numFmtId="42" fontId="2" fillId="0" borderId="0" xfId="14" quotePrefix="1" applyNumberFormat="1" applyFont="1" applyAlignment="1">
      <alignment horizontal="center"/>
    </xf>
    <xf numFmtId="0" fontId="29" fillId="0" borderId="0" xfId="14" applyFont="1" applyAlignment="1">
      <alignment horizontal="center"/>
    </xf>
    <xf numFmtId="0" fontId="30" fillId="0" borderId="0" xfId="14" applyFont="1"/>
    <xf numFmtId="0" fontId="16" fillId="0" borderId="0" xfId="14" applyFont="1" applyAlignment="1">
      <alignment horizontal="right" indent="1"/>
    </xf>
    <xf numFmtId="42" fontId="16" fillId="0" borderId="0" xfId="14" quotePrefix="1" applyNumberFormat="1" applyFont="1" applyAlignment="1">
      <alignment horizontal="center"/>
    </xf>
    <xf numFmtId="164" fontId="2" fillId="4" borderId="0" xfId="14" applyNumberFormat="1" applyFont="1" applyFill="1"/>
    <xf numFmtId="3" fontId="7" fillId="0" borderId="0" xfId="14" applyNumberFormat="1" applyFont="1"/>
    <xf numFmtId="164" fontId="14" fillId="2" borderId="0" xfId="14" applyNumberFormat="1" applyFont="1" applyFill="1"/>
    <xf numFmtId="0" fontId="7" fillId="0" borderId="0" xfId="14" applyFont="1" applyAlignment="1">
      <alignment horizontal="left"/>
    </xf>
    <xf numFmtId="0" fontId="40" fillId="4" borderId="0" xfId="14" applyFill="1"/>
    <xf numFmtId="164" fontId="14" fillId="4" borderId="0" xfId="14" applyNumberFormat="1" applyFont="1" applyFill="1"/>
    <xf numFmtId="164" fontId="40" fillId="0" borderId="0" xfId="14" applyNumberFormat="1" applyAlignment="1">
      <alignment horizontal="right" indent="1"/>
    </xf>
    <xf numFmtId="164" fontId="16" fillId="0" borderId="0" xfId="14" quotePrefix="1" applyNumberFormat="1" applyFont="1" applyAlignment="1">
      <alignment horizontal="right" wrapText="1"/>
    </xf>
    <xf numFmtId="164" fontId="2" fillId="2" borderId="0" xfId="14" applyNumberFormat="1" applyFont="1" applyFill="1" applyAlignment="1">
      <alignment horizontal="right"/>
    </xf>
    <xf numFmtId="0" fontId="18" fillId="0" borderId="0" xfId="14" applyFont="1"/>
    <xf numFmtId="0" fontId="2" fillId="0" borderId="0" xfId="14" applyFont="1" applyAlignment="1">
      <alignment horizontal="left" indent="2"/>
    </xf>
    <xf numFmtId="0" fontId="31" fillId="0" borderId="0" xfId="14" applyFont="1"/>
    <xf numFmtId="0" fontId="32" fillId="0" borderId="0" xfId="14" applyFont="1" applyAlignment="1">
      <alignment horizontal="center"/>
    </xf>
    <xf numFmtId="0" fontId="40" fillId="0" borderId="7" xfId="14" applyBorder="1" applyAlignment="1">
      <alignment horizontal="center"/>
    </xf>
    <xf numFmtId="0" fontId="2" fillId="0" borderId="7" xfId="14" applyFont="1" applyBorder="1" applyAlignment="1">
      <alignment horizontal="center"/>
    </xf>
    <xf numFmtId="164" fontId="40" fillId="0" borderId="11" xfId="14" applyNumberFormat="1" applyBorder="1"/>
    <xf numFmtId="0" fontId="31" fillId="0" borderId="0" xfId="14" applyFont="1" applyAlignment="1">
      <alignment wrapText="1"/>
    </xf>
    <xf numFmtId="9" fontId="40" fillId="0" borderId="0" xfId="14" applyNumberFormat="1" applyAlignment="1">
      <alignment horizontal="left"/>
    </xf>
    <xf numFmtId="9" fontId="40" fillId="0" borderId="7" xfId="14" applyNumberFormat="1" applyBorder="1"/>
    <xf numFmtId="0" fontId="15" fillId="0" borderId="0" xfId="14" applyFont="1"/>
    <xf numFmtId="10" fontId="16" fillId="0" borderId="0" xfId="14" applyNumberFormat="1" applyFont="1" applyAlignment="1">
      <alignment horizontal="left"/>
    </xf>
    <xf numFmtId="0" fontId="2" fillId="0" borderId="0" xfId="14" applyFont="1" applyAlignment="1">
      <alignment horizontal="left" vertical="center" indent="1"/>
    </xf>
    <xf numFmtId="0" fontId="1" fillId="0" borderId="13" xfId="0" applyFont="1" applyBorder="1" applyAlignment="1">
      <alignment horizontal="right"/>
    </xf>
    <xf numFmtId="0" fontId="33" fillId="6" borderId="13" xfId="10" applyFont="1" applyFill="1" applyBorder="1" applyAlignment="1">
      <alignment horizontal="center" vertical="center" wrapText="1"/>
    </xf>
    <xf numFmtId="0" fontId="11" fillId="0" borderId="14" xfId="10" applyBorder="1" applyAlignment="1">
      <alignment horizontal="left" wrapText="1"/>
    </xf>
    <xf numFmtId="0" fontId="11" fillId="0" borderId="15" xfId="10" applyBorder="1" applyAlignment="1">
      <alignment horizontal="left" wrapText="1"/>
    </xf>
    <xf numFmtId="0" fontId="11" fillId="0" borderId="16" xfId="10" applyBorder="1" applyAlignment="1">
      <alignment horizontal="left" wrapText="1"/>
    </xf>
    <xf numFmtId="0" fontId="11" fillId="0" borderId="13" xfId="10" applyBorder="1" applyAlignment="1">
      <alignment wrapText="1"/>
    </xf>
    <xf numFmtId="0" fontId="11" fillId="0" borderId="13" xfId="10" applyBorder="1" applyAlignment="1">
      <alignment horizontal="left"/>
    </xf>
    <xf numFmtId="0" fontId="1" fillId="0" borderId="14" xfId="10" applyFont="1" applyBorder="1" applyAlignment="1">
      <alignment horizontal="right"/>
    </xf>
    <xf numFmtId="0" fontId="1" fillId="0" borderId="15" xfId="10" applyFont="1" applyBorder="1" applyAlignment="1">
      <alignment horizontal="right"/>
    </xf>
    <xf numFmtId="0" fontId="1" fillId="0" borderId="16" xfId="10" applyFont="1" applyBorder="1" applyAlignment="1">
      <alignment horizontal="right"/>
    </xf>
    <xf numFmtId="0" fontId="1" fillId="6" borderId="13" xfId="10" quotePrefix="1" applyFont="1" applyFill="1" applyBorder="1" applyAlignment="1">
      <alignment horizontal="center"/>
    </xf>
    <xf numFmtId="0" fontId="1" fillId="6" borderId="13" xfId="10" applyFont="1" applyFill="1" applyBorder="1" applyAlignment="1">
      <alignment horizontal="center"/>
    </xf>
    <xf numFmtId="0" fontId="34" fillId="0" borderId="13" xfId="10" applyFont="1" applyBorder="1" applyAlignment="1">
      <alignment wrapText="1"/>
    </xf>
    <xf numFmtId="0" fontId="0" fillId="0" borderId="14" xfId="10" applyFont="1" applyBorder="1" applyAlignment="1">
      <alignment horizontal="left" wrapText="1"/>
    </xf>
    <xf numFmtId="0" fontId="1" fillId="7" borderId="14" xfId="10" applyFont="1" applyFill="1" applyBorder="1" applyAlignment="1">
      <alignment horizontal="right"/>
    </xf>
    <xf numFmtId="0" fontId="1" fillId="7" borderId="15" xfId="10" applyFont="1" applyFill="1" applyBorder="1" applyAlignment="1">
      <alignment horizontal="right"/>
    </xf>
    <xf numFmtId="0" fontId="1" fillId="7" borderId="16" xfId="10" applyFont="1" applyFill="1" applyBorder="1" applyAlignment="1">
      <alignment horizontal="right"/>
    </xf>
    <xf numFmtId="0" fontId="0" fillId="7" borderId="14" xfId="10" applyFont="1" applyFill="1" applyBorder="1" applyAlignment="1">
      <alignment horizontal="center" wrapText="1"/>
    </xf>
    <xf numFmtId="0" fontId="0" fillId="7" borderId="15" xfId="10" applyFont="1" applyFill="1" applyBorder="1" applyAlignment="1">
      <alignment horizontal="center" wrapText="1"/>
    </xf>
    <xf numFmtId="0" fontId="0" fillId="7" borderId="16" xfId="10" applyFont="1" applyFill="1" applyBorder="1" applyAlignment="1">
      <alignment horizontal="center" wrapText="1"/>
    </xf>
    <xf numFmtId="0" fontId="0" fillId="0" borderId="13" xfId="0" applyBorder="1" applyAlignment="1">
      <alignment horizontal="center"/>
    </xf>
    <xf numFmtId="0" fontId="33" fillId="7" borderId="13" xfId="10" applyFont="1" applyFill="1" applyBorder="1" applyAlignment="1">
      <alignment horizontal="center" vertical="center" wrapText="1"/>
    </xf>
    <xf numFmtId="0" fontId="1" fillId="7" borderId="13" xfId="10" quotePrefix="1" applyFont="1" applyFill="1" applyBorder="1" applyAlignment="1">
      <alignment horizontal="center"/>
    </xf>
    <xf numFmtId="0" fontId="1" fillId="7" borderId="13" xfId="10" applyFont="1" applyFill="1" applyBorder="1" applyAlignment="1">
      <alignment horizontal="center"/>
    </xf>
    <xf numFmtId="0" fontId="0" fillId="0" borderId="13" xfId="10" applyFont="1" applyBorder="1" applyAlignment="1">
      <alignment wrapText="1"/>
    </xf>
    <xf numFmtId="0" fontId="1" fillId="7" borderId="13" xfId="10" applyFont="1" applyFill="1" applyBorder="1" applyAlignment="1">
      <alignment horizontal="right"/>
    </xf>
    <xf numFmtId="0" fontId="11" fillId="7" borderId="13" xfId="10" applyFill="1" applyBorder="1" applyAlignment="1">
      <alignment horizontal="left"/>
    </xf>
  </cellXfs>
  <cellStyles count="15">
    <cellStyle name="Comma 2" xfId="5" xr:uid="{4D6E5B40-F4EA-4B8C-9D21-F3E7D5C4A9A7}"/>
    <cellStyle name="Comma 2 2 2" xfId="8" xr:uid="{5E128944-5AC2-4FD8-8DBD-828D4096D6AD}"/>
    <cellStyle name="Comma 6 3 3" xfId="11" xr:uid="{DED83EC9-150B-4698-A592-697FD2DA8914}"/>
    <cellStyle name="Currency 2" xfId="7" xr:uid="{B2F3E153-AA9B-4C08-9D70-69978DF7A445}"/>
    <cellStyle name="Normal" xfId="0" builtinId="0"/>
    <cellStyle name="Normal 10" xfId="4" xr:uid="{169C322D-4E67-464E-BE78-54B2F214C850}"/>
    <cellStyle name="Normal 17 3 3" xfId="10" xr:uid="{41594DEF-69B0-42D5-BFBF-E72DAAFDC25F}"/>
    <cellStyle name="Normal 2" xfId="1" xr:uid="{00000000-0005-0000-0000-000001000000}"/>
    <cellStyle name="Normal 2 2 2" xfId="6" xr:uid="{9A4C741B-D2B1-430C-9293-ECA796DCAE21}"/>
    <cellStyle name="Normal 3" xfId="12" xr:uid="{E5254FFA-CD91-4240-A59F-124B2DF8213B}"/>
    <cellStyle name="Normal 4" xfId="13" xr:uid="{F2C3B585-280E-47F5-8C0B-FFA86E69AC7A}"/>
    <cellStyle name="Normal 5" xfId="14" xr:uid="{7F14B779-10B9-4704-8148-F17250B77222}"/>
    <cellStyle name="Normal 7" xfId="3" xr:uid="{D8A5E044-BC98-447E-B87C-9237E5934846}"/>
    <cellStyle name="Percent" xfId="2" builtinId="5"/>
    <cellStyle name="Percent 2" xfId="9" xr:uid="{609A5F89-DDA9-48CE-A0B7-E845EFD788AB}"/>
  </cellStyles>
  <dxfs count="9">
    <dxf>
      <fill>
        <patternFill>
          <bgColor indexed="42"/>
        </patternFill>
      </fill>
    </dxf>
    <dxf>
      <font>
        <condense val="0"/>
        <extend val="0"/>
        <color auto="1"/>
      </font>
    </dxf>
    <dxf>
      <fill>
        <patternFill>
          <bgColor indexed="42"/>
        </patternFill>
      </fill>
    </dxf>
    <dxf>
      <font>
        <condense val="0"/>
        <extend val="0"/>
        <color auto="1"/>
      </font>
    </dxf>
    <dxf>
      <fill>
        <patternFill>
          <bgColor indexed="42"/>
        </patternFill>
      </fill>
    </dxf>
    <dxf>
      <font>
        <condense val="0"/>
        <extend val="0"/>
        <color auto="1"/>
      </font>
    </dxf>
    <dxf>
      <fill>
        <patternFill>
          <bgColor indexed="42"/>
        </patternFill>
      </fill>
    </dxf>
    <dxf>
      <font>
        <condense val="0"/>
        <extend val="0"/>
        <color auto="1"/>
      </font>
    </dxf>
    <dxf>
      <font>
        <condense val="0"/>
        <extend val="0"/>
        <color auto="1"/>
      </font>
    </dxf>
  </dxfs>
  <tableStyles count="0" defaultTableStyle="TableStyleMedium2" defaultPivotStyle="PivotStyleLight16"/>
  <colors>
    <mruColors>
      <color rgb="FFCCFFCC"/>
      <color rgb="FFCCECFF"/>
      <color rgb="FF66CC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7"/>
  <sheetViews>
    <sheetView tabSelected="1" zoomScaleNormal="100" workbookViewId="0"/>
  </sheetViews>
  <sheetFormatPr defaultRowHeight="14.5" x14ac:dyDescent="0.35"/>
  <cols>
    <col min="1" max="1" width="4.81640625" customWidth="1"/>
    <col min="2" max="2" width="6.7265625" customWidth="1"/>
    <col min="3" max="3" width="10.7265625" customWidth="1"/>
    <col min="4" max="4" width="6.7265625" customWidth="1"/>
    <col min="5" max="5" width="5.7265625" customWidth="1"/>
    <col min="6" max="6" width="15.7265625" customWidth="1"/>
    <col min="7" max="7" width="4.7265625" customWidth="1"/>
  </cols>
  <sheetData>
    <row r="1" spans="1:12" x14ac:dyDescent="0.35">
      <c r="A1" s="21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x14ac:dyDescent="0.35">
      <c r="A2" s="22"/>
      <c r="B2" s="22" t="s">
        <v>1</v>
      </c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2" x14ac:dyDescent="0.35">
      <c r="A3" s="22"/>
      <c r="B3" s="22" t="s">
        <v>2</v>
      </c>
      <c r="C3" s="22"/>
      <c r="D3" s="22"/>
      <c r="E3" s="22"/>
      <c r="F3" s="22"/>
      <c r="G3" s="22"/>
      <c r="H3" s="22"/>
      <c r="I3" s="22"/>
      <c r="J3" s="22"/>
      <c r="K3" s="22"/>
      <c r="L3" s="22"/>
    </row>
    <row r="4" spans="1:12" x14ac:dyDescent="0.35">
      <c r="A4" s="22"/>
      <c r="B4" s="22" t="s">
        <v>3</v>
      </c>
      <c r="C4" s="22"/>
      <c r="D4" s="22"/>
      <c r="E4" s="22"/>
      <c r="F4" s="22"/>
      <c r="G4" s="22"/>
      <c r="H4" s="22"/>
      <c r="I4" s="22"/>
      <c r="J4" s="22"/>
      <c r="K4" s="22"/>
      <c r="L4" s="22"/>
    </row>
    <row r="5" spans="1:12" x14ac:dyDescent="0.35">
      <c r="A5" s="22"/>
      <c r="B5" s="22" t="s">
        <v>4</v>
      </c>
      <c r="C5" s="22"/>
      <c r="D5" s="22"/>
      <c r="E5" s="22"/>
      <c r="F5" s="22"/>
      <c r="G5" s="22"/>
      <c r="H5" s="22"/>
      <c r="I5" s="22"/>
      <c r="J5" s="22"/>
      <c r="K5" s="22"/>
      <c r="L5" s="22"/>
    </row>
    <row r="6" spans="1:12" x14ac:dyDescent="0.3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</row>
    <row r="7" spans="1:12" x14ac:dyDescent="0.35">
      <c r="A7" s="22"/>
      <c r="B7" s="21" t="s">
        <v>5</v>
      </c>
      <c r="C7" s="22"/>
      <c r="D7" s="22"/>
      <c r="E7" s="22"/>
      <c r="F7" s="22"/>
      <c r="G7" s="22"/>
      <c r="H7" s="22"/>
      <c r="I7" s="22"/>
      <c r="J7" s="22"/>
      <c r="K7" s="22"/>
      <c r="L7" s="22"/>
    </row>
    <row r="8" spans="1:12" x14ac:dyDescent="0.35">
      <c r="A8" s="22"/>
      <c r="B8" s="137" t="s">
        <v>6</v>
      </c>
      <c r="C8" s="22"/>
      <c r="D8" s="22"/>
      <c r="E8" s="22"/>
      <c r="F8" s="28">
        <f>F23</f>
        <v>-234044756.22835258</v>
      </c>
      <c r="G8" s="22"/>
      <c r="H8" s="22" t="s">
        <v>7</v>
      </c>
      <c r="I8" s="22"/>
      <c r="J8" s="22"/>
      <c r="K8" s="22"/>
      <c r="L8" s="22"/>
    </row>
    <row r="9" spans="1:12" x14ac:dyDescent="0.35">
      <c r="A9" s="22"/>
      <c r="B9" s="137"/>
      <c r="C9" s="22"/>
      <c r="D9" s="22"/>
      <c r="E9" s="22"/>
      <c r="F9" s="28"/>
      <c r="G9" s="22"/>
      <c r="H9" s="22"/>
      <c r="I9" s="22"/>
      <c r="J9" s="22"/>
      <c r="K9" s="22"/>
      <c r="L9" s="22"/>
    </row>
    <row r="10" spans="1:12" x14ac:dyDescent="0.35">
      <c r="A10" s="22"/>
      <c r="B10" s="138" t="s">
        <v>8</v>
      </c>
      <c r="C10" s="22"/>
      <c r="D10" s="22"/>
      <c r="E10" s="22"/>
      <c r="F10" s="28"/>
      <c r="G10" s="22"/>
      <c r="H10" s="22"/>
      <c r="I10" s="22"/>
      <c r="J10" s="22"/>
      <c r="K10" s="22"/>
      <c r="L10" s="22"/>
    </row>
    <row r="11" spans="1:12" x14ac:dyDescent="0.35">
      <c r="A11" s="22"/>
      <c r="B11" s="22" t="s">
        <v>9</v>
      </c>
      <c r="C11" s="22"/>
      <c r="D11" s="22"/>
      <c r="E11" s="22"/>
      <c r="F11" s="29">
        <f>'One Time Adjust for TUTRR'!L30</f>
        <v>-13009111.466331804</v>
      </c>
      <c r="G11" s="22"/>
      <c r="H11" s="22" t="s">
        <v>10</v>
      </c>
      <c r="I11" s="22"/>
      <c r="J11" s="22"/>
      <c r="K11" s="22"/>
      <c r="L11" s="22"/>
    </row>
    <row r="12" spans="1:12" x14ac:dyDescent="0.35">
      <c r="A12" s="22"/>
      <c r="B12" s="22"/>
      <c r="C12" s="22"/>
      <c r="D12" s="22"/>
      <c r="E12" s="30"/>
      <c r="F12" s="22"/>
      <c r="G12" s="22"/>
      <c r="H12" s="22"/>
      <c r="I12" s="22"/>
      <c r="J12" s="22"/>
      <c r="K12" s="22"/>
      <c r="L12" s="22"/>
    </row>
    <row r="13" spans="1:12" x14ac:dyDescent="0.35">
      <c r="A13" s="22"/>
      <c r="B13" s="138" t="s">
        <v>11</v>
      </c>
      <c r="C13" s="22"/>
      <c r="D13" s="22"/>
      <c r="E13" s="22"/>
      <c r="F13" s="22"/>
      <c r="G13" s="22"/>
      <c r="H13" s="22"/>
      <c r="I13" s="22"/>
      <c r="J13" s="22"/>
      <c r="K13" s="22"/>
      <c r="L13" s="22"/>
    </row>
    <row r="14" spans="1:12" x14ac:dyDescent="0.35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</row>
    <row r="15" spans="1:12" x14ac:dyDescent="0.35">
      <c r="A15" s="22"/>
      <c r="B15" s="22"/>
      <c r="C15" s="22"/>
      <c r="D15" s="31" t="s">
        <v>12</v>
      </c>
      <c r="E15" s="22"/>
      <c r="F15" s="31" t="s">
        <v>13</v>
      </c>
      <c r="G15" s="22"/>
      <c r="H15" s="22"/>
      <c r="I15" s="22"/>
      <c r="J15" s="22"/>
      <c r="K15" s="22"/>
      <c r="L15" s="22"/>
    </row>
    <row r="16" spans="1:12" x14ac:dyDescent="0.35">
      <c r="A16" s="22"/>
      <c r="B16" s="22"/>
      <c r="C16" s="22"/>
      <c r="D16" s="22"/>
      <c r="E16" s="22"/>
      <c r="F16" s="32" t="s">
        <v>14</v>
      </c>
      <c r="G16" s="22"/>
      <c r="H16" s="22"/>
      <c r="I16" s="22"/>
      <c r="J16" s="22"/>
      <c r="K16" s="22"/>
      <c r="L16" s="22"/>
    </row>
    <row r="17" spans="1:12" x14ac:dyDescent="0.35">
      <c r="A17" s="22"/>
      <c r="B17" s="22"/>
      <c r="C17" s="22"/>
      <c r="D17" s="22"/>
      <c r="E17" s="22"/>
      <c r="F17" s="33" t="s">
        <v>15</v>
      </c>
      <c r="G17" s="22"/>
      <c r="H17" s="22"/>
      <c r="I17" s="22"/>
      <c r="J17" s="22"/>
      <c r="K17" s="22"/>
      <c r="L17" s="22"/>
    </row>
    <row r="18" spans="1:12" x14ac:dyDescent="0.35">
      <c r="A18" s="22"/>
      <c r="B18" s="22"/>
      <c r="C18" s="22"/>
      <c r="D18" s="22"/>
      <c r="E18" s="22"/>
      <c r="F18" s="34" t="s">
        <v>16</v>
      </c>
      <c r="G18" s="22"/>
      <c r="H18" s="22"/>
      <c r="I18" s="22"/>
      <c r="J18" s="22"/>
      <c r="K18" s="22"/>
      <c r="L18" s="22"/>
    </row>
    <row r="19" spans="1:12" x14ac:dyDescent="0.35">
      <c r="A19" s="22"/>
      <c r="B19" s="22"/>
      <c r="C19" s="22"/>
      <c r="D19" s="22"/>
      <c r="E19" s="22"/>
      <c r="F19" s="35" t="s">
        <v>17</v>
      </c>
      <c r="G19" s="22"/>
      <c r="H19" s="22"/>
      <c r="I19" s="22"/>
      <c r="J19" s="22"/>
      <c r="K19" s="22"/>
      <c r="L19" s="22"/>
    </row>
    <row r="20" spans="1:12" x14ac:dyDescent="0.35">
      <c r="A20" s="22"/>
      <c r="B20" s="22"/>
      <c r="C20" s="22"/>
      <c r="D20" s="22"/>
      <c r="E20" s="36" t="s">
        <v>18</v>
      </c>
      <c r="F20" s="35" t="s">
        <v>19</v>
      </c>
      <c r="G20" s="22"/>
      <c r="H20" s="22"/>
      <c r="I20" s="22"/>
      <c r="J20" s="22"/>
      <c r="K20" s="22"/>
      <c r="L20" s="22"/>
    </row>
    <row r="21" spans="1:12" x14ac:dyDescent="0.35">
      <c r="A21" s="22"/>
      <c r="B21" s="22"/>
      <c r="C21" s="22"/>
      <c r="D21" s="22"/>
      <c r="E21" s="37" t="s">
        <v>20</v>
      </c>
      <c r="F21" s="35" t="s">
        <v>21</v>
      </c>
      <c r="G21" s="22"/>
      <c r="H21" s="22"/>
      <c r="I21" s="22"/>
      <c r="J21" s="22"/>
      <c r="K21" s="22"/>
      <c r="L21" s="22"/>
    </row>
    <row r="22" spans="1:12" x14ac:dyDescent="0.35">
      <c r="A22" s="22"/>
      <c r="B22" s="38" t="s">
        <v>22</v>
      </c>
      <c r="C22" s="25" t="s">
        <v>23</v>
      </c>
      <c r="D22" s="25" t="s">
        <v>24</v>
      </c>
      <c r="E22" s="37" t="s">
        <v>25</v>
      </c>
      <c r="F22" s="16" t="s">
        <v>26</v>
      </c>
      <c r="G22" s="22"/>
      <c r="H22" s="22"/>
      <c r="I22" s="22"/>
      <c r="J22" s="22"/>
      <c r="K22" s="22"/>
      <c r="L22" s="22"/>
    </row>
    <row r="23" spans="1:12" x14ac:dyDescent="0.35">
      <c r="B23" s="13">
        <v>11</v>
      </c>
      <c r="C23" s="2" t="s">
        <v>27</v>
      </c>
      <c r="D23" s="26">
        <v>2018</v>
      </c>
      <c r="E23" s="27" t="s">
        <v>28</v>
      </c>
      <c r="F23" s="8">
        <v>-234044756.22835258</v>
      </c>
      <c r="G23" s="19" t="s">
        <v>29</v>
      </c>
    </row>
    <row r="24" spans="1:12" x14ac:dyDescent="0.35">
      <c r="B24" s="13">
        <f t="shared" ref="B24:B35" si="0">B23+1</f>
        <v>12</v>
      </c>
      <c r="C24" s="2" t="s">
        <v>30</v>
      </c>
      <c r="D24" s="26">
        <v>2019</v>
      </c>
      <c r="E24" s="27" t="s">
        <v>28</v>
      </c>
      <c r="F24" s="11"/>
      <c r="H24" t="s">
        <v>31</v>
      </c>
    </row>
    <row r="25" spans="1:12" x14ac:dyDescent="0.35">
      <c r="B25" s="13">
        <f t="shared" si="0"/>
        <v>13</v>
      </c>
      <c r="C25" s="3" t="s">
        <v>32</v>
      </c>
      <c r="D25" s="26">
        <v>2019</v>
      </c>
      <c r="E25" s="27" t="s">
        <v>28</v>
      </c>
      <c r="F25" s="11"/>
      <c r="H25" t="s">
        <v>33</v>
      </c>
    </row>
    <row r="26" spans="1:12" x14ac:dyDescent="0.35">
      <c r="B26" s="13">
        <f t="shared" si="0"/>
        <v>14</v>
      </c>
      <c r="C26" s="3" t="s">
        <v>34</v>
      </c>
      <c r="D26" s="26">
        <v>2019</v>
      </c>
      <c r="E26" s="27" t="s">
        <v>28</v>
      </c>
      <c r="F26" s="11"/>
      <c r="H26" t="s">
        <v>35</v>
      </c>
    </row>
    <row r="27" spans="1:12" x14ac:dyDescent="0.35">
      <c r="B27" s="13">
        <f t="shared" si="0"/>
        <v>15</v>
      </c>
      <c r="C27" s="2" t="s">
        <v>36</v>
      </c>
      <c r="D27" s="26">
        <v>2019</v>
      </c>
      <c r="E27" s="27" t="s">
        <v>28</v>
      </c>
      <c r="F27" s="11"/>
    </row>
    <row r="28" spans="1:12" x14ac:dyDescent="0.35">
      <c r="B28" s="13">
        <f t="shared" si="0"/>
        <v>16</v>
      </c>
      <c r="C28" s="3" t="s">
        <v>37</v>
      </c>
      <c r="D28" s="26">
        <v>2019</v>
      </c>
      <c r="E28" s="27" t="s">
        <v>28</v>
      </c>
      <c r="F28" s="11"/>
    </row>
    <row r="29" spans="1:12" x14ac:dyDescent="0.35">
      <c r="B29" s="13">
        <f t="shared" si="0"/>
        <v>17</v>
      </c>
      <c r="C29" s="3" t="s">
        <v>38</v>
      </c>
      <c r="D29" s="26">
        <v>2019</v>
      </c>
      <c r="E29" s="27" t="s">
        <v>28</v>
      </c>
      <c r="F29" s="11"/>
    </row>
    <row r="30" spans="1:12" x14ac:dyDescent="0.35">
      <c r="B30" s="13">
        <f t="shared" si="0"/>
        <v>18</v>
      </c>
      <c r="C30" s="2" t="s">
        <v>39</v>
      </c>
      <c r="D30" s="26">
        <v>2019</v>
      </c>
      <c r="E30" s="27" t="s">
        <v>28</v>
      </c>
      <c r="F30" s="11"/>
    </row>
    <row r="31" spans="1:12" x14ac:dyDescent="0.35">
      <c r="B31" s="13">
        <f t="shared" si="0"/>
        <v>19</v>
      </c>
      <c r="C31" s="3" t="s">
        <v>40</v>
      </c>
      <c r="D31" s="26">
        <v>2019</v>
      </c>
      <c r="E31" s="27" t="s">
        <v>28</v>
      </c>
      <c r="F31" s="11"/>
    </row>
    <row r="32" spans="1:12" x14ac:dyDescent="0.35">
      <c r="B32" s="13">
        <f t="shared" si="0"/>
        <v>20</v>
      </c>
      <c r="C32" s="3" t="s">
        <v>41</v>
      </c>
      <c r="D32" s="26">
        <v>2019</v>
      </c>
      <c r="E32" s="27" t="s">
        <v>28</v>
      </c>
      <c r="F32" s="11"/>
    </row>
    <row r="33" spans="2:7" x14ac:dyDescent="0.35">
      <c r="B33" s="13">
        <f t="shared" si="0"/>
        <v>21</v>
      </c>
      <c r="C33" s="2" t="s">
        <v>42</v>
      </c>
      <c r="D33" s="26">
        <v>2019</v>
      </c>
      <c r="E33" s="27" t="s">
        <v>28</v>
      </c>
      <c r="F33" s="11"/>
    </row>
    <row r="34" spans="2:7" x14ac:dyDescent="0.35">
      <c r="B34" s="13">
        <f t="shared" si="0"/>
        <v>22</v>
      </c>
      <c r="C34" s="2" t="s">
        <v>43</v>
      </c>
      <c r="D34" s="26">
        <v>2019</v>
      </c>
      <c r="E34" s="27" t="s">
        <v>28</v>
      </c>
      <c r="F34" s="11"/>
    </row>
    <row r="35" spans="2:7" x14ac:dyDescent="0.35">
      <c r="B35" s="13">
        <f t="shared" si="0"/>
        <v>23</v>
      </c>
      <c r="C35" s="3" t="s">
        <v>27</v>
      </c>
      <c r="D35" s="26">
        <v>2019</v>
      </c>
      <c r="E35" s="27" t="s">
        <v>28</v>
      </c>
      <c r="F35" s="8">
        <f>F11+'2019 Wildfire Adj'!G8+'2019 EDIT Amortization Adj'!G12</f>
        <v>5317330.4702929016</v>
      </c>
      <c r="G35" s="19" t="s">
        <v>44</v>
      </c>
    </row>
    <row r="36" spans="2:7" x14ac:dyDescent="0.35">
      <c r="G36" s="126" t="s">
        <v>45</v>
      </c>
    </row>
    <row r="37" spans="2:7" x14ac:dyDescent="0.35">
      <c r="G37" s="126" t="s">
        <v>46</v>
      </c>
    </row>
  </sheetData>
  <pageMargins left="0.7" right="0.7" top="0.75" bottom="0.75" header="0.3" footer="0.3"/>
  <pageSetup scale="77" orientation="portrait" r:id="rId1"/>
  <headerFooter>
    <oddHeader>&amp;C&amp;"Arial,Regular"&amp;9&amp;K000000Schedule 5 ROR-3
Return and Capitalization&amp;R&amp;"Arial,Regular"&amp;9&amp;K000000TO2021 Draft Annual Update
Attachment 5
TO2018 True Up TRR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EEC15B-E415-4E1E-A463-FC7022493E07}">
  <sheetPr>
    <tabColor rgb="FFCCFFCC"/>
  </sheetPr>
  <dimension ref="A1:L175"/>
  <sheetViews>
    <sheetView zoomScale="80" zoomScaleNormal="80" zoomScalePageLayoutView="85" workbookViewId="0"/>
  </sheetViews>
  <sheetFormatPr defaultRowHeight="12.5" x14ac:dyDescent="0.25"/>
  <cols>
    <col min="1" max="1" width="4.54296875" style="164" customWidth="1"/>
    <col min="2" max="6" width="8.7265625" style="164"/>
    <col min="7" max="7" width="6.54296875" style="164" customWidth="1"/>
    <col min="8" max="8" width="25.54296875" style="164" bestFit="1" customWidth="1"/>
    <col min="9" max="9" width="29.453125" style="164" customWidth="1"/>
    <col min="10" max="10" width="2.54296875" style="164" customWidth="1"/>
    <col min="11" max="11" width="17.54296875" style="164" customWidth="1"/>
    <col min="12" max="12" width="7.54296875" style="164" customWidth="1"/>
    <col min="13" max="16384" width="8.7265625" style="164"/>
  </cols>
  <sheetData>
    <row r="1" spans="1:11" ht="13" x14ac:dyDescent="0.3">
      <c r="A1" s="163" t="s">
        <v>220</v>
      </c>
    </row>
    <row r="2" spans="1:11" x14ac:dyDescent="0.25">
      <c r="I2" s="199" t="s">
        <v>221</v>
      </c>
      <c r="J2" s="199"/>
    </row>
    <row r="3" spans="1:11" ht="13" x14ac:dyDescent="0.3">
      <c r="A3" s="163" t="s">
        <v>222</v>
      </c>
    </row>
    <row r="4" spans="1:11" ht="13" x14ac:dyDescent="0.3">
      <c r="H4" s="166"/>
      <c r="I4" s="166" t="s">
        <v>107</v>
      </c>
      <c r="K4" s="208">
        <v>2019</v>
      </c>
    </row>
    <row r="5" spans="1:11" ht="13" x14ac:dyDescent="0.3">
      <c r="A5" s="168" t="s">
        <v>108</v>
      </c>
      <c r="H5" s="171" t="s">
        <v>111</v>
      </c>
      <c r="I5" s="171" t="s">
        <v>112</v>
      </c>
      <c r="K5" s="171" t="s">
        <v>223</v>
      </c>
    </row>
    <row r="7" spans="1:11" ht="13" x14ac:dyDescent="0.3">
      <c r="A7" s="209" t="s">
        <v>224</v>
      </c>
      <c r="B7" s="210"/>
      <c r="C7" s="210"/>
      <c r="D7" s="210"/>
      <c r="E7" s="210"/>
      <c r="F7" s="210"/>
      <c r="G7" s="210"/>
      <c r="H7" s="211"/>
      <c r="I7" s="211"/>
      <c r="J7" s="211"/>
      <c r="K7" s="211"/>
    </row>
    <row r="9" spans="1:11" ht="13" x14ac:dyDescent="0.3">
      <c r="A9" s="166">
        <v>1</v>
      </c>
      <c r="B9" s="172" t="s">
        <v>113</v>
      </c>
      <c r="I9" s="174" t="s">
        <v>690</v>
      </c>
      <c r="K9" s="173">
        <v>9285531120.7645969</v>
      </c>
    </row>
    <row r="10" spans="1:11" ht="13" x14ac:dyDescent="0.3">
      <c r="A10" s="166">
        <f>A9+1</f>
        <v>2</v>
      </c>
      <c r="B10" s="172" t="s">
        <v>225</v>
      </c>
      <c r="I10" s="174" t="s">
        <v>691</v>
      </c>
      <c r="K10" s="173">
        <v>295141395.33780432</v>
      </c>
    </row>
    <row r="11" spans="1:11" ht="13" x14ac:dyDescent="0.3">
      <c r="A11" s="166">
        <f>A10+1</f>
        <v>3</v>
      </c>
      <c r="B11" s="172" t="s">
        <v>117</v>
      </c>
      <c r="I11" s="174" t="s">
        <v>693</v>
      </c>
      <c r="K11" s="173">
        <v>9942155</v>
      </c>
    </row>
    <row r="12" spans="1:11" ht="13" x14ac:dyDescent="0.3">
      <c r="A12" s="166">
        <f>A11+1</f>
        <v>4</v>
      </c>
      <c r="B12" s="172" t="s">
        <v>118</v>
      </c>
      <c r="I12" s="174" t="s">
        <v>696</v>
      </c>
      <c r="K12" s="173">
        <v>0</v>
      </c>
    </row>
    <row r="13" spans="1:11" ht="13" x14ac:dyDescent="0.3">
      <c r="A13" s="166"/>
      <c r="B13" s="172"/>
      <c r="K13" s="173"/>
    </row>
    <row r="14" spans="1:11" ht="13" x14ac:dyDescent="0.3">
      <c r="A14" s="166"/>
      <c r="B14" s="175" t="s">
        <v>226</v>
      </c>
      <c r="K14" s="173"/>
    </row>
    <row r="15" spans="1:11" ht="13" x14ac:dyDescent="0.3">
      <c r="A15" s="166">
        <f>A12+1</f>
        <v>5</v>
      </c>
      <c r="B15" s="176" t="s">
        <v>120</v>
      </c>
      <c r="I15" s="174" t="s">
        <v>700</v>
      </c>
      <c r="K15" s="173">
        <v>23772508.986329257</v>
      </c>
    </row>
    <row r="16" spans="1:11" ht="13" x14ac:dyDescent="0.3">
      <c r="A16" s="166">
        <f>A15+1</f>
        <v>6</v>
      </c>
      <c r="B16" s="169" t="s">
        <v>121</v>
      </c>
      <c r="I16" s="174" t="s">
        <v>701</v>
      </c>
      <c r="K16" s="173">
        <v>14005541.534857571</v>
      </c>
    </row>
    <row r="17" spans="1:11" ht="13" x14ac:dyDescent="0.3">
      <c r="A17" s="166">
        <f>A16+1</f>
        <v>7</v>
      </c>
      <c r="B17" s="176" t="s">
        <v>122</v>
      </c>
      <c r="I17" s="174" t="str">
        <f>"(Line "&amp;A124&amp;" + Line "&amp;A125&amp;") / 8"</f>
        <v>(Line 66 + Line 67) / 8</v>
      </c>
      <c r="K17" s="177">
        <f>(K124+K125)/8</f>
        <v>24351242.598457407</v>
      </c>
    </row>
    <row r="18" spans="1:11" ht="13" x14ac:dyDescent="0.3">
      <c r="A18" s="166">
        <f>A17+1</f>
        <v>8</v>
      </c>
      <c r="B18" s="176" t="s">
        <v>124</v>
      </c>
      <c r="I18" s="174" t="str">
        <f>"Line "&amp;A15&amp;" + Line "&amp;A16&amp;" + Line "&amp;A17&amp;""</f>
        <v>Line 5 + Line 6 + Line 7</v>
      </c>
      <c r="K18" s="173">
        <f>SUM(K15:K17)</f>
        <v>62129293.11964424</v>
      </c>
    </row>
    <row r="19" spans="1:11" ht="13" x14ac:dyDescent="0.3">
      <c r="A19" s="166"/>
      <c r="B19" s="176"/>
      <c r="K19" s="173"/>
    </row>
    <row r="20" spans="1:11" ht="13" x14ac:dyDescent="0.3">
      <c r="A20" s="166"/>
      <c r="B20" s="178" t="s">
        <v>227</v>
      </c>
      <c r="K20" s="173"/>
    </row>
    <row r="21" spans="1:11" ht="13" x14ac:dyDescent="0.3">
      <c r="A21" s="166">
        <f>A18+1</f>
        <v>9</v>
      </c>
      <c r="B21" s="176" t="s">
        <v>228</v>
      </c>
      <c r="H21" s="164" t="s">
        <v>127</v>
      </c>
      <c r="I21" s="174" t="s">
        <v>721</v>
      </c>
      <c r="K21" s="173">
        <v>-1910452318.1000457</v>
      </c>
    </row>
    <row r="22" spans="1:11" ht="13" x14ac:dyDescent="0.3">
      <c r="A22" s="166">
        <f>A21+1</f>
        <v>10</v>
      </c>
      <c r="B22" s="176" t="s">
        <v>229</v>
      </c>
      <c r="H22" s="164" t="s">
        <v>127</v>
      </c>
      <c r="I22" s="174" t="s">
        <v>722</v>
      </c>
      <c r="K22" s="173">
        <v>0</v>
      </c>
    </row>
    <row r="23" spans="1:11" ht="13" x14ac:dyDescent="0.3">
      <c r="A23" s="166">
        <f>A22+1</f>
        <v>11</v>
      </c>
      <c r="B23" s="176" t="s">
        <v>230</v>
      </c>
      <c r="C23" s="47"/>
      <c r="H23" s="164" t="s">
        <v>127</v>
      </c>
      <c r="I23" s="174" t="s">
        <v>723</v>
      </c>
      <c r="K23" s="177">
        <v>-105759955.80085519</v>
      </c>
    </row>
    <row r="24" spans="1:11" ht="13" x14ac:dyDescent="0.3">
      <c r="A24" s="166">
        <f>A23+1</f>
        <v>12</v>
      </c>
      <c r="B24" s="46" t="s">
        <v>130</v>
      </c>
      <c r="C24" s="47"/>
      <c r="I24" s="174" t="str">
        <f>"Line "&amp;A21&amp;" + Line "&amp;A22&amp;" + Line "&amp;A23&amp;""</f>
        <v>Line 9 + Line 10 + Line 11</v>
      </c>
      <c r="K24" s="173">
        <f>SUM(K21:K23)</f>
        <v>-2016212273.9009008</v>
      </c>
    </row>
    <row r="25" spans="1:11" x14ac:dyDescent="0.25">
      <c r="B25" s="174"/>
      <c r="K25" s="173"/>
    </row>
    <row r="26" spans="1:11" ht="13" x14ac:dyDescent="0.3">
      <c r="A26" s="166">
        <f>A24+1</f>
        <v>13</v>
      </c>
      <c r="B26" s="179" t="s">
        <v>131</v>
      </c>
      <c r="H26" s="164" t="s">
        <v>127</v>
      </c>
      <c r="I26" s="174" t="s">
        <v>725</v>
      </c>
      <c r="K26" s="173">
        <v>-1621347526.6225657</v>
      </c>
    </row>
    <row r="27" spans="1:11" ht="13" x14ac:dyDescent="0.3">
      <c r="A27" s="166"/>
      <c r="B27" s="179"/>
    </row>
    <row r="28" spans="1:11" ht="13" x14ac:dyDescent="0.3">
      <c r="A28" s="166">
        <f>A26+1</f>
        <v>14</v>
      </c>
      <c r="B28" s="172" t="s">
        <v>132</v>
      </c>
      <c r="I28" s="174" t="s">
        <v>727</v>
      </c>
      <c r="K28" s="173">
        <v>647481518.01999998</v>
      </c>
    </row>
    <row r="29" spans="1:11" ht="13" x14ac:dyDescent="0.3">
      <c r="A29" s="166"/>
      <c r="B29" s="172"/>
      <c r="K29" s="173"/>
    </row>
    <row r="30" spans="1:11" ht="13" x14ac:dyDescent="0.3">
      <c r="A30" s="166">
        <f>A28+1</f>
        <v>15</v>
      </c>
      <c r="B30" s="172" t="s">
        <v>135</v>
      </c>
      <c r="I30" s="174" t="s">
        <v>734</v>
      </c>
      <c r="K30" s="173">
        <v>0</v>
      </c>
    </row>
    <row r="31" spans="1:11" ht="13" x14ac:dyDescent="0.3">
      <c r="A31" s="166">
        <f>A30+1</f>
        <v>16</v>
      </c>
      <c r="B31" s="179" t="s">
        <v>134</v>
      </c>
      <c r="I31" s="174" t="s">
        <v>732</v>
      </c>
      <c r="K31" s="173">
        <v>-197804839.17250916</v>
      </c>
    </row>
    <row r="32" spans="1:11" ht="13" x14ac:dyDescent="0.3">
      <c r="A32" s="166">
        <f>A31+1</f>
        <v>17</v>
      </c>
      <c r="B32" s="179" t="s">
        <v>133</v>
      </c>
      <c r="H32" s="164" t="s">
        <v>127</v>
      </c>
      <c r="I32" s="174" t="s">
        <v>729</v>
      </c>
      <c r="K32" s="173">
        <v>-36762569.307422847</v>
      </c>
    </row>
    <row r="33" spans="1:12" ht="13" x14ac:dyDescent="0.3">
      <c r="A33" s="166"/>
      <c r="B33" s="179"/>
    </row>
    <row r="34" spans="1:12" ht="13" x14ac:dyDescent="0.3">
      <c r="A34" s="166">
        <f>A32+1</f>
        <v>18</v>
      </c>
      <c r="B34" s="164" t="s">
        <v>136</v>
      </c>
      <c r="I34" s="174" t="str">
        <f>"L"&amp;A9&amp;" + L"&amp;A10&amp;" + L"&amp;A11&amp;" + L"&amp;A12&amp;" + L"&amp;A18&amp;" + L"&amp;A24&amp;" +"</f>
        <v>L1 + L2 + L3 + L4 + L8 + L12 +</v>
      </c>
      <c r="K34" s="173">
        <f>K9+K10+K11+K12+K18+K24+K26+K28+K30+K31+K32</f>
        <v>6428098273.2386484</v>
      </c>
    </row>
    <row r="35" spans="1:12" ht="13" x14ac:dyDescent="0.3">
      <c r="A35" s="166"/>
      <c r="I35" s="172" t="str">
        <f>"L"&amp;A26&amp;" + L"&amp;A28&amp;"+ L"&amp;A30&amp;"+ L"&amp;A31&amp;" + L"&amp;A32&amp;""</f>
        <v>L13 + L14+ L15+ L16 + L17</v>
      </c>
      <c r="K35" s="173"/>
    </row>
    <row r="37" spans="1:12" ht="13" x14ac:dyDescent="0.3">
      <c r="A37" s="209" t="s">
        <v>231</v>
      </c>
      <c r="B37" s="210"/>
      <c r="C37" s="210"/>
      <c r="D37" s="210"/>
      <c r="E37" s="210"/>
      <c r="F37" s="210"/>
      <c r="G37" s="210"/>
      <c r="H37" s="211"/>
      <c r="I37" s="211"/>
      <c r="J37" s="211"/>
      <c r="K37" s="211"/>
    </row>
    <row r="39" spans="1:12" ht="13" x14ac:dyDescent="0.3">
      <c r="A39" s="166">
        <f>A34+1</f>
        <v>19</v>
      </c>
      <c r="B39" s="174" t="s">
        <v>232</v>
      </c>
      <c r="H39" s="194" t="s">
        <v>233</v>
      </c>
      <c r="I39" s="174" t="s">
        <v>234</v>
      </c>
      <c r="K39" s="212">
        <v>329452981</v>
      </c>
      <c r="L39" s="174"/>
    </row>
    <row r="40" spans="1:12" ht="13" x14ac:dyDescent="0.3">
      <c r="A40" s="166">
        <f>A39+1</f>
        <v>20</v>
      </c>
      <c r="B40" s="169" t="s">
        <v>235</v>
      </c>
      <c r="I40" s="174" t="s">
        <v>556</v>
      </c>
      <c r="K40" s="181">
        <v>0.18668153702052509</v>
      </c>
    </row>
    <row r="41" spans="1:12" ht="13" x14ac:dyDescent="0.3">
      <c r="A41" s="166">
        <f>A40+1</f>
        <v>21</v>
      </c>
      <c r="B41" s="164" t="s">
        <v>236</v>
      </c>
      <c r="I41" s="174" t="str">
        <f>"Line "&amp;A39&amp;" * Line "&amp;A40&amp;""</f>
        <v>Line 19 * Line 20</v>
      </c>
      <c r="K41" s="173">
        <f>K39*K40</f>
        <v>61502788.869073845</v>
      </c>
    </row>
    <row r="42" spans="1:12" ht="13" x14ac:dyDescent="0.3">
      <c r="A42" s="166" t="s">
        <v>237</v>
      </c>
      <c r="H42" s="174"/>
      <c r="K42" s="181"/>
    </row>
    <row r="43" spans="1:12" ht="13" x14ac:dyDescent="0.3">
      <c r="A43" s="166">
        <f>A41+1</f>
        <v>22</v>
      </c>
      <c r="B43" s="174" t="s">
        <v>238</v>
      </c>
      <c r="K43" s="181"/>
    </row>
    <row r="44" spans="1:12" ht="13" x14ac:dyDescent="0.3">
      <c r="A44" s="166">
        <f t="shared" ref="A44:A56" si="0">A43+1</f>
        <v>23</v>
      </c>
      <c r="B44" s="169" t="s">
        <v>239</v>
      </c>
      <c r="E44" s="163"/>
      <c r="F44" s="163"/>
      <c r="G44" s="163"/>
      <c r="I44" s="174" t="str">
        <f>"Line "&amp;A45&amp;" + Line "&amp;A46&amp;"+ Line "&amp;A47&amp;""</f>
        <v>Line 24 + Line 25+ Line 26</v>
      </c>
      <c r="K44" s="173">
        <f>SUM(K45:K47)</f>
        <v>117647986</v>
      </c>
    </row>
    <row r="45" spans="1:12" ht="13" x14ac:dyDescent="0.3">
      <c r="A45" s="166">
        <f t="shared" si="0"/>
        <v>24</v>
      </c>
      <c r="B45" s="213" t="s">
        <v>240</v>
      </c>
      <c r="E45" s="163"/>
      <c r="F45" s="163"/>
      <c r="G45" s="163"/>
      <c r="H45" s="194" t="s">
        <v>241</v>
      </c>
      <c r="I45" s="174" t="s">
        <v>234</v>
      </c>
      <c r="K45" s="212">
        <v>116228864</v>
      </c>
      <c r="L45" s="174"/>
    </row>
    <row r="46" spans="1:12" ht="13" x14ac:dyDescent="0.3">
      <c r="A46" s="166">
        <f t="shared" si="0"/>
        <v>25</v>
      </c>
      <c r="B46" s="213" t="s">
        <v>242</v>
      </c>
      <c r="E46" s="163"/>
      <c r="F46" s="163"/>
      <c r="G46" s="163"/>
      <c r="H46" s="194" t="s">
        <v>243</v>
      </c>
      <c r="I46" s="174" t="s">
        <v>234</v>
      </c>
      <c r="K46" s="212">
        <v>1175852</v>
      </c>
      <c r="L46" s="174"/>
    </row>
    <row r="47" spans="1:12" ht="13" x14ac:dyDescent="0.3">
      <c r="A47" s="166">
        <f t="shared" si="0"/>
        <v>26</v>
      </c>
      <c r="B47" s="213" t="s">
        <v>244</v>
      </c>
      <c r="E47" s="163"/>
      <c r="F47" s="163"/>
      <c r="G47" s="163"/>
      <c r="H47" s="194" t="s">
        <v>245</v>
      </c>
      <c r="I47" s="174" t="s">
        <v>234</v>
      </c>
      <c r="K47" s="212">
        <v>243270</v>
      </c>
      <c r="L47" s="174"/>
    </row>
    <row r="48" spans="1:12" ht="13" x14ac:dyDescent="0.3">
      <c r="A48" s="166">
        <f t="shared" si="0"/>
        <v>27</v>
      </c>
      <c r="B48" s="176" t="s">
        <v>246</v>
      </c>
      <c r="H48" s="194" t="s">
        <v>247</v>
      </c>
      <c r="I48" s="174" t="s">
        <v>234</v>
      </c>
      <c r="K48" s="212">
        <v>5948364</v>
      </c>
      <c r="L48" s="174"/>
    </row>
    <row r="49" spans="1:12" ht="13" x14ac:dyDescent="0.3">
      <c r="A49" s="166">
        <f t="shared" si="0"/>
        <v>28</v>
      </c>
      <c r="B49" s="169" t="s">
        <v>248</v>
      </c>
      <c r="H49" s="194" t="s">
        <v>249</v>
      </c>
      <c r="I49" s="174" t="s">
        <v>234</v>
      </c>
      <c r="K49" s="212">
        <v>1718978</v>
      </c>
      <c r="L49" s="174"/>
    </row>
    <row r="50" spans="1:12" ht="13" x14ac:dyDescent="0.3">
      <c r="A50" s="166">
        <f t="shared" si="0"/>
        <v>29</v>
      </c>
      <c r="B50" s="169" t="s">
        <v>250</v>
      </c>
      <c r="H50" s="194" t="s">
        <v>251</v>
      </c>
      <c r="I50" s="174" t="s">
        <v>234</v>
      </c>
      <c r="K50" s="212">
        <v>1879323</v>
      </c>
      <c r="L50" s="174"/>
    </row>
    <row r="51" spans="1:12" ht="13" x14ac:dyDescent="0.3">
      <c r="A51" s="166">
        <f t="shared" si="0"/>
        <v>30</v>
      </c>
      <c r="B51" s="169" t="s">
        <v>252</v>
      </c>
      <c r="H51" s="194" t="s">
        <v>253</v>
      </c>
      <c r="I51" s="174" t="s">
        <v>234</v>
      </c>
      <c r="K51" s="212">
        <v>39927</v>
      </c>
      <c r="L51" s="174"/>
    </row>
    <row r="52" spans="1:12" ht="13" x14ac:dyDescent="0.3">
      <c r="A52" s="166">
        <f t="shared" si="0"/>
        <v>31</v>
      </c>
      <c r="B52" s="164" t="s">
        <v>254</v>
      </c>
      <c r="I52" s="174" t="str">
        <f>"Line "&amp;A44&amp;" + (Line "&amp;A48&amp;" to Line "&amp;A51&amp;")"</f>
        <v>Line 23 + (Line 27 to Line 30)</v>
      </c>
      <c r="K52" s="173">
        <f>K44+K48+K49+K50+K51</f>
        <v>127234578</v>
      </c>
    </row>
    <row r="53" spans="1:12" ht="13" x14ac:dyDescent="0.3">
      <c r="A53" s="166">
        <f t="shared" si="0"/>
        <v>32</v>
      </c>
      <c r="B53" s="174" t="s">
        <v>255</v>
      </c>
      <c r="H53" s="174"/>
      <c r="I53" s="174" t="s">
        <v>741</v>
      </c>
      <c r="K53" s="214">
        <v>57891732.990000002</v>
      </c>
    </row>
    <row r="54" spans="1:12" ht="13" x14ac:dyDescent="0.3">
      <c r="A54" s="166">
        <f t="shared" si="0"/>
        <v>33</v>
      </c>
      <c r="B54" s="164" t="s">
        <v>256</v>
      </c>
      <c r="I54" s="174" t="str">
        <f>"Line "&amp;A52&amp;" - Line "&amp;A53&amp;""</f>
        <v>Line 31 - Line 32</v>
      </c>
      <c r="K54" s="173">
        <f>K52-K53</f>
        <v>69342845.00999999</v>
      </c>
    </row>
    <row r="55" spans="1:12" ht="13" x14ac:dyDescent="0.3">
      <c r="A55" s="166">
        <f t="shared" si="0"/>
        <v>34</v>
      </c>
      <c r="B55" s="176" t="s">
        <v>257</v>
      </c>
      <c r="I55" s="174" t="s">
        <v>553</v>
      </c>
      <c r="K55" s="181">
        <v>6.5693761162178274E-2</v>
      </c>
    </row>
    <row r="56" spans="1:12" ht="13" x14ac:dyDescent="0.3">
      <c r="A56" s="166">
        <f t="shared" si="0"/>
        <v>35</v>
      </c>
      <c r="B56" s="172" t="s">
        <v>238</v>
      </c>
      <c r="I56" s="174" t="str">
        <f>"Line "&amp;A54&amp;" * Line "&amp;A55&amp;""</f>
        <v>Line 33 * Line 34</v>
      </c>
      <c r="K56" s="173">
        <f>K54*K55</f>
        <v>4555392.2983928854</v>
      </c>
    </row>
    <row r="57" spans="1:12" ht="13" x14ac:dyDescent="0.3">
      <c r="A57" s="166"/>
      <c r="K57" s="173"/>
    </row>
    <row r="58" spans="1:12" ht="13" x14ac:dyDescent="0.3">
      <c r="A58" s="166">
        <f>A56+1</f>
        <v>36</v>
      </c>
      <c r="B58" s="174" t="s">
        <v>156</v>
      </c>
      <c r="H58" s="174" t="s">
        <v>258</v>
      </c>
      <c r="I58" s="174" t="str">
        <f>"Line "&amp;A41&amp;" + Line "&amp;A56&amp;""</f>
        <v>Line 21 + Line 35</v>
      </c>
      <c r="K58" s="173">
        <f>K41+K56</f>
        <v>66058181.16746673</v>
      </c>
    </row>
    <row r="60" spans="1:12" ht="13" x14ac:dyDescent="0.3">
      <c r="A60" s="209" t="s">
        <v>259</v>
      </c>
      <c r="B60" s="210"/>
      <c r="C60" s="210"/>
      <c r="D60" s="210"/>
      <c r="E60" s="210"/>
      <c r="F60" s="210"/>
      <c r="G60" s="210"/>
      <c r="H60" s="211"/>
      <c r="I60" s="211"/>
      <c r="J60" s="211"/>
      <c r="K60" s="211"/>
    </row>
    <row r="61" spans="1:12" ht="13" x14ac:dyDescent="0.3">
      <c r="A61" s="163"/>
      <c r="B61" s="174"/>
      <c r="C61" s="174"/>
      <c r="D61" s="174"/>
      <c r="E61" s="174"/>
      <c r="F61" s="174"/>
      <c r="G61" s="174"/>
      <c r="H61" s="174"/>
      <c r="I61" s="174"/>
      <c r="J61" s="174"/>
      <c r="K61" s="174"/>
    </row>
    <row r="62" spans="1:12" x14ac:dyDescent="0.25">
      <c r="A62" s="201"/>
      <c r="B62" s="175" t="s">
        <v>260</v>
      </c>
      <c r="C62" s="174"/>
      <c r="D62" s="174"/>
      <c r="E62" s="174"/>
      <c r="F62" s="174"/>
      <c r="G62" s="174"/>
      <c r="H62" s="174"/>
      <c r="I62" s="174"/>
      <c r="J62" s="174"/>
      <c r="K62" s="174"/>
    </row>
    <row r="63" spans="1:12" ht="13" x14ac:dyDescent="0.3">
      <c r="A63" s="166">
        <f>A58+1</f>
        <v>37</v>
      </c>
      <c r="B63" s="174" t="s">
        <v>261</v>
      </c>
      <c r="C63" s="174"/>
      <c r="D63" s="174"/>
      <c r="E63" s="174"/>
      <c r="F63" s="174"/>
      <c r="G63" s="174"/>
      <c r="H63" s="174"/>
      <c r="I63" s="174" t="s">
        <v>262</v>
      </c>
      <c r="J63" s="174"/>
      <c r="K63" s="182">
        <v>14367696054.330769</v>
      </c>
    </row>
    <row r="64" spans="1:12" ht="13" x14ac:dyDescent="0.3">
      <c r="A64" s="166">
        <f>A63+1</f>
        <v>38</v>
      </c>
      <c r="B64" s="174" t="s">
        <v>263</v>
      </c>
      <c r="C64" s="174"/>
      <c r="D64" s="174"/>
      <c r="E64" s="174"/>
      <c r="F64" s="174"/>
      <c r="G64" s="174"/>
      <c r="H64" s="174"/>
      <c r="I64" s="174" t="s">
        <v>264</v>
      </c>
      <c r="J64" s="174"/>
      <c r="K64" s="182">
        <v>655538361</v>
      </c>
    </row>
    <row r="65" spans="1:11" ht="13" x14ac:dyDescent="0.3">
      <c r="A65" s="166">
        <f>A64+1</f>
        <v>39</v>
      </c>
      <c r="B65" s="174" t="s">
        <v>265</v>
      </c>
      <c r="C65" s="174"/>
      <c r="D65" s="174"/>
      <c r="E65" s="174"/>
      <c r="F65" s="174"/>
      <c r="G65" s="174"/>
      <c r="I65" s="174" t="s">
        <v>266</v>
      </c>
      <c r="J65" s="174"/>
      <c r="K65" s="180">
        <v>4.5625851112183362E-2</v>
      </c>
    </row>
    <row r="66" spans="1:11" ht="13" x14ac:dyDescent="0.3">
      <c r="A66" s="166"/>
      <c r="B66" s="174"/>
      <c r="C66" s="174"/>
      <c r="D66" s="174"/>
      <c r="E66" s="174"/>
      <c r="F66" s="174"/>
      <c r="G66" s="174"/>
      <c r="I66" s="174"/>
      <c r="J66" s="174"/>
      <c r="K66" s="180"/>
    </row>
    <row r="67" spans="1:11" ht="13" x14ac:dyDescent="0.3">
      <c r="A67" s="166"/>
      <c r="B67" s="175" t="s">
        <v>267</v>
      </c>
      <c r="C67" s="174"/>
      <c r="D67" s="174"/>
      <c r="E67" s="174"/>
      <c r="F67" s="174"/>
      <c r="G67" s="174"/>
      <c r="H67" s="174"/>
      <c r="I67" s="174"/>
      <c r="J67" s="174"/>
      <c r="K67" s="286"/>
    </row>
    <row r="68" spans="1:11" ht="13" x14ac:dyDescent="0.3">
      <c r="A68" s="166">
        <f>A65+1</f>
        <v>40</v>
      </c>
      <c r="B68" s="174" t="s">
        <v>268</v>
      </c>
      <c r="C68" s="174"/>
      <c r="D68" s="174"/>
      <c r="E68" s="174"/>
      <c r="F68" s="174"/>
      <c r="G68" s="174"/>
      <c r="H68" s="174"/>
      <c r="I68" s="174" t="s">
        <v>269</v>
      </c>
      <c r="J68" s="174"/>
      <c r="K68" s="182">
        <v>2192067551.2041321</v>
      </c>
    </row>
    <row r="69" spans="1:11" ht="13" x14ac:dyDescent="0.3">
      <c r="A69" s="166">
        <f>A68+1</f>
        <v>41</v>
      </c>
      <c r="B69" s="174" t="s">
        <v>270</v>
      </c>
      <c r="C69" s="174"/>
      <c r="D69" s="174"/>
      <c r="E69" s="174"/>
      <c r="F69" s="174"/>
      <c r="G69" s="174"/>
      <c r="H69" s="174"/>
      <c r="I69" s="174" t="s">
        <v>271</v>
      </c>
      <c r="J69" s="174"/>
      <c r="K69" s="182">
        <v>125382686.05206428</v>
      </c>
    </row>
    <row r="70" spans="1:11" ht="13" x14ac:dyDescent="0.3">
      <c r="A70" s="166">
        <f>A69+1</f>
        <v>42</v>
      </c>
      <c r="B70" s="174" t="s">
        <v>272</v>
      </c>
      <c r="C70" s="174"/>
      <c r="D70" s="174"/>
      <c r="E70" s="174"/>
      <c r="F70" s="174"/>
      <c r="G70" s="174"/>
      <c r="I70" s="174" t="s">
        <v>273</v>
      </c>
      <c r="J70" s="174"/>
      <c r="K70" s="180">
        <v>5.719836780722834E-2</v>
      </c>
    </row>
    <row r="71" spans="1:11" ht="13" x14ac:dyDescent="0.3">
      <c r="A71" s="166"/>
      <c r="B71" s="174"/>
      <c r="C71" s="174"/>
      <c r="D71" s="174"/>
      <c r="E71" s="174"/>
      <c r="F71" s="174"/>
      <c r="G71" s="174"/>
      <c r="I71" s="174"/>
      <c r="J71" s="174"/>
      <c r="K71" s="180"/>
    </row>
    <row r="72" spans="1:11" ht="13" x14ac:dyDescent="0.3">
      <c r="A72" s="166"/>
      <c r="B72" s="175" t="s">
        <v>274</v>
      </c>
      <c r="C72" s="174"/>
      <c r="D72" s="174"/>
      <c r="E72" s="174"/>
      <c r="F72" s="174"/>
      <c r="G72" s="174"/>
      <c r="H72" s="174"/>
      <c r="I72" s="174"/>
      <c r="J72" s="174"/>
      <c r="K72" s="174"/>
    </row>
    <row r="73" spans="1:11" ht="13" x14ac:dyDescent="0.3">
      <c r="A73" s="166">
        <f>A70+1</f>
        <v>43</v>
      </c>
      <c r="B73" s="174" t="s">
        <v>275</v>
      </c>
      <c r="C73" s="174"/>
      <c r="D73" s="174"/>
      <c r="E73" s="174"/>
      <c r="F73" s="174"/>
      <c r="G73" s="174"/>
      <c r="H73" s="174"/>
      <c r="I73" s="174" t="s">
        <v>744</v>
      </c>
      <c r="J73" s="174"/>
      <c r="K73" s="182">
        <v>13448514639.698006</v>
      </c>
    </row>
    <row r="74" spans="1:11" ht="13" x14ac:dyDescent="0.3">
      <c r="A74" s="166"/>
      <c r="B74" s="174"/>
      <c r="C74" s="174"/>
      <c r="D74" s="174"/>
      <c r="E74" s="174"/>
      <c r="F74" s="174"/>
      <c r="G74" s="174"/>
      <c r="H74" s="174"/>
      <c r="I74" s="215"/>
      <c r="J74" s="174"/>
      <c r="K74" s="174"/>
    </row>
    <row r="75" spans="1:11" ht="13" x14ac:dyDescent="0.3">
      <c r="A75" s="166">
        <f>A73+1</f>
        <v>44</v>
      </c>
      <c r="B75" s="174" t="s">
        <v>276</v>
      </c>
      <c r="C75" s="174"/>
      <c r="D75" s="174"/>
      <c r="E75" s="174"/>
      <c r="F75" s="174"/>
      <c r="G75" s="174"/>
      <c r="H75" s="174"/>
      <c r="I75" s="174" t="str">
        <f>"Line "&amp;A63&amp;" + Line "&amp;A68&amp;" + Line "&amp;A73&amp;""</f>
        <v>Line 37 + Line 40 + Line 43</v>
      </c>
      <c r="J75" s="174"/>
      <c r="K75" s="182">
        <f>K63+K68+K73</f>
        <v>30008278245.232906</v>
      </c>
    </row>
    <row r="76" spans="1:11" ht="13" x14ac:dyDescent="0.3">
      <c r="A76" s="166"/>
      <c r="B76" s="176"/>
      <c r="C76" s="174"/>
      <c r="D76" s="174"/>
      <c r="E76" s="174"/>
      <c r="F76" s="174"/>
      <c r="G76" s="174"/>
      <c r="I76" s="174"/>
      <c r="J76" s="174"/>
      <c r="K76" s="182"/>
    </row>
    <row r="77" spans="1:11" ht="13" x14ac:dyDescent="0.3">
      <c r="A77" s="166"/>
      <c r="B77" s="175" t="s">
        <v>277</v>
      </c>
      <c r="C77" s="174"/>
      <c r="D77" s="174"/>
      <c r="E77" s="174"/>
      <c r="F77" s="174"/>
      <c r="G77" s="174"/>
      <c r="H77" s="174"/>
      <c r="I77" s="174"/>
      <c r="J77" s="174"/>
      <c r="K77" s="174"/>
    </row>
    <row r="78" spans="1:11" ht="13" x14ac:dyDescent="0.3">
      <c r="A78" s="166">
        <f>A75+1</f>
        <v>45</v>
      </c>
      <c r="B78" s="174" t="s">
        <v>278</v>
      </c>
      <c r="C78" s="174"/>
      <c r="D78" s="174"/>
      <c r="E78" s="174"/>
      <c r="F78" s="174"/>
      <c r="G78" s="174"/>
      <c r="H78" s="174"/>
      <c r="I78" s="174" t="str">
        <f>"Line "&amp;A63&amp;" / Line "&amp;A75&amp;""</f>
        <v>Line 37 / Line 44</v>
      </c>
      <c r="J78" s="174"/>
      <c r="K78" s="180">
        <f>K63/K75</f>
        <v>0.47879108347754706</v>
      </c>
    </row>
    <row r="79" spans="1:11" ht="13" x14ac:dyDescent="0.3">
      <c r="A79" s="166">
        <f>A78+1</f>
        <v>46</v>
      </c>
      <c r="B79" s="174" t="s">
        <v>279</v>
      </c>
      <c r="C79" s="174"/>
      <c r="D79" s="174"/>
      <c r="E79" s="174"/>
      <c r="F79" s="174"/>
      <c r="G79" s="174"/>
      <c r="H79" s="174"/>
      <c r="I79" s="174" t="str">
        <f>"Line "&amp;A68&amp;" / Line "&amp;A75&amp;""</f>
        <v>Line 40 / Line 44</v>
      </c>
      <c r="J79" s="174"/>
      <c r="K79" s="180">
        <f>K68/K75</f>
        <v>7.3048761188168554E-2</v>
      </c>
    </row>
    <row r="80" spans="1:11" ht="13" x14ac:dyDescent="0.3">
      <c r="A80" s="166">
        <f>A79+1</f>
        <v>47</v>
      </c>
      <c r="B80" s="174" t="s">
        <v>280</v>
      </c>
      <c r="C80" s="174"/>
      <c r="D80" s="174"/>
      <c r="E80" s="174"/>
      <c r="F80" s="174"/>
      <c r="G80" s="174"/>
      <c r="H80" s="174"/>
      <c r="I80" s="174" t="str">
        <f>"Line "&amp;A73&amp;" / Line "&amp;A75&amp;""</f>
        <v>Line 43 / Line 44</v>
      </c>
      <c r="J80" s="174"/>
      <c r="K80" s="200">
        <f>K73/K75</f>
        <v>0.44816015533428438</v>
      </c>
    </row>
    <row r="81" spans="1:12" ht="13" x14ac:dyDescent="0.3">
      <c r="A81" s="166"/>
      <c r="B81" s="174"/>
      <c r="C81" s="174"/>
      <c r="D81" s="174"/>
      <c r="E81" s="174"/>
      <c r="F81" s="174"/>
      <c r="G81" s="174"/>
      <c r="H81" s="174"/>
      <c r="I81" s="174" t="str">
        <f>"Line "&amp;A78&amp;" + Line "&amp;A79&amp;"+ Line "&amp;A80&amp;""</f>
        <v>Line 45 + Line 46+ Line 47</v>
      </c>
      <c r="J81" s="174"/>
      <c r="K81" s="180">
        <f>SUM(K78:K80)</f>
        <v>1</v>
      </c>
    </row>
    <row r="82" spans="1:12" ht="13" x14ac:dyDescent="0.3">
      <c r="A82" s="166"/>
      <c r="B82" s="175" t="s">
        <v>281</v>
      </c>
      <c r="C82" s="174"/>
      <c r="D82" s="174"/>
      <c r="E82" s="174"/>
      <c r="F82" s="174"/>
      <c r="G82" s="174"/>
      <c r="H82" s="174"/>
      <c r="I82" s="174"/>
      <c r="J82" s="174"/>
      <c r="K82" s="180"/>
    </row>
    <row r="83" spans="1:12" ht="13" x14ac:dyDescent="0.3">
      <c r="A83" s="166">
        <f>A80+1</f>
        <v>48</v>
      </c>
      <c r="B83" s="174" t="s">
        <v>265</v>
      </c>
      <c r="C83" s="174"/>
      <c r="D83" s="174"/>
      <c r="E83" s="174"/>
      <c r="F83" s="174"/>
      <c r="G83" s="174"/>
      <c r="I83" s="174" t="str">
        <f>"Line "&amp;A65&amp;""</f>
        <v>Line 39</v>
      </c>
      <c r="J83" s="174"/>
      <c r="K83" s="180">
        <f>K65</f>
        <v>4.5625851112183362E-2</v>
      </c>
    </row>
    <row r="84" spans="1:12" ht="13" x14ac:dyDescent="0.3">
      <c r="A84" s="166">
        <f>A83+1</f>
        <v>49</v>
      </c>
      <c r="B84" s="174" t="s">
        <v>272</v>
      </c>
      <c r="C84" s="174"/>
      <c r="D84" s="174"/>
      <c r="E84" s="174"/>
      <c r="F84" s="174"/>
      <c r="G84" s="174"/>
      <c r="I84" s="174" t="str">
        <f>"Line "&amp;A70&amp;""</f>
        <v>Line 42</v>
      </c>
      <c r="J84" s="174"/>
      <c r="K84" s="180">
        <f>K70</f>
        <v>5.719836780722834E-2</v>
      </c>
    </row>
    <row r="85" spans="1:12" ht="13" x14ac:dyDescent="0.3">
      <c r="A85" s="166">
        <f>A84+1</f>
        <v>50</v>
      </c>
      <c r="B85" s="174" t="s">
        <v>282</v>
      </c>
      <c r="C85" s="174"/>
      <c r="D85" s="174"/>
      <c r="E85" s="174"/>
      <c r="F85" s="174"/>
      <c r="G85" s="174"/>
      <c r="H85" s="174" t="s">
        <v>283</v>
      </c>
      <c r="I85" s="174" t="s">
        <v>284</v>
      </c>
      <c r="J85" s="174"/>
      <c r="K85" s="216">
        <v>0.112</v>
      </c>
      <c r="L85" s="287"/>
    </row>
    <row r="86" spans="1:12" ht="13" x14ac:dyDescent="0.3">
      <c r="A86" s="166"/>
      <c r="B86" s="174"/>
      <c r="C86" s="174"/>
      <c r="D86" s="174"/>
      <c r="E86" s="174"/>
      <c r="F86" s="174"/>
      <c r="G86" s="174"/>
      <c r="I86" s="218"/>
      <c r="J86" s="174"/>
      <c r="K86" s="180"/>
    </row>
    <row r="87" spans="1:12" ht="13" x14ac:dyDescent="0.3">
      <c r="A87" s="166"/>
      <c r="B87" s="175" t="s">
        <v>285</v>
      </c>
      <c r="C87" s="174"/>
      <c r="D87" s="174"/>
      <c r="E87" s="174"/>
      <c r="F87" s="174"/>
      <c r="G87" s="174"/>
      <c r="H87" s="174"/>
      <c r="I87" s="174"/>
      <c r="J87" s="174"/>
      <c r="K87" s="174"/>
    </row>
    <row r="88" spans="1:12" ht="13" x14ac:dyDescent="0.3">
      <c r="A88" s="166">
        <f>A85+1</f>
        <v>51</v>
      </c>
      <c r="B88" s="174" t="s">
        <v>286</v>
      </c>
      <c r="C88" s="174"/>
      <c r="D88" s="174"/>
      <c r="E88" s="174"/>
      <c r="F88" s="174"/>
      <c r="G88" s="174"/>
      <c r="I88" s="174" t="str">
        <f>"Line "&amp;A65&amp;" * Line "&amp;A78&amp;""</f>
        <v>Line 39 * Line 45</v>
      </c>
      <c r="J88" s="174"/>
      <c r="K88" s="180">
        <f>K65*K78</f>
        <v>2.1845250688587517E-2</v>
      </c>
    </row>
    <row r="89" spans="1:12" ht="13" x14ac:dyDescent="0.3">
      <c r="A89" s="166">
        <f>A88+1</f>
        <v>52</v>
      </c>
      <c r="B89" s="174" t="s">
        <v>287</v>
      </c>
      <c r="C89" s="174"/>
      <c r="D89" s="174"/>
      <c r="E89" s="174"/>
      <c r="F89" s="174"/>
      <c r="G89" s="174"/>
      <c r="I89" s="174" t="str">
        <f>"Line "&amp;A70&amp;" * Line "&amp;A79&amp;""</f>
        <v>Line 42 * Line 46</v>
      </c>
      <c r="J89" s="174"/>
      <c r="K89" s="180">
        <f>K70*K79</f>
        <v>4.1782699103032513E-3</v>
      </c>
    </row>
    <row r="90" spans="1:12" ht="13" x14ac:dyDescent="0.3">
      <c r="A90" s="166">
        <f>A89+1</f>
        <v>53</v>
      </c>
      <c r="B90" s="174" t="s">
        <v>288</v>
      </c>
      <c r="C90" s="174"/>
      <c r="D90" s="174"/>
      <c r="E90" s="174"/>
      <c r="F90" s="174"/>
      <c r="G90" s="174"/>
      <c r="I90" s="174" t="str">
        <f>"Line "&amp;A80&amp;" * Line "&amp;A85&amp;""</f>
        <v>Line 47 * Line 50</v>
      </c>
      <c r="J90" s="174"/>
      <c r="K90" s="200">
        <f>K80*K85</f>
        <v>5.0193937397439853E-2</v>
      </c>
    </row>
    <row r="91" spans="1:12" ht="13" x14ac:dyDescent="0.3">
      <c r="A91" s="166">
        <f>A90+1</f>
        <v>54</v>
      </c>
      <c r="B91" s="176" t="s">
        <v>138</v>
      </c>
      <c r="C91" s="174"/>
      <c r="D91" s="174"/>
      <c r="E91" s="174"/>
      <c r="F91" s="174"/>
      <c r="G91" s="174"/>
      <c r="I91" s="174" t="str">
        <f>"Line "&amp;A88&amp;" + Line "&amp;A89&amp;" + Line "&amp;A90&amp;""</f>
        <v>Line 51 + Line 52 + Line 53</v>
      </c>
      <c r="J91" s="174"/>
      <c r="K91" s="180">
        <f>SUM(K88:K90)</f>
        <v>7.6217457996330618E-2</v>
      </c>
    </row>
    <row r="92" spans="1:12" ht="13" x14ac:dyDescent="0.3">
      <c r="A92" s="166"/>
      <c r="B92" s="176"/>
      <c r="C92" s="174"/>
      <c r="D92" s="174"/>
      <c r="E92" s="174"/>
      <c r="F92" s="174"/>
      <c r="G92" s="174"/>
      <c r="I92" s="174"/>
      <c r="J92" s="174"/>
      <c r="K92" s="219"/>
    </row>
    <row r="93" spans="1:12" ht="13" x14ac:dyDescent="0.3">
      <c r="A93" s="166">
        <f>A91+1</f>
        <v>55</v>
      </c>
      <c r="B93" s="172" t="s">
        <v>289</v>
      </c>
      <c r="C93" s="174"/>
      <c r="D93" s="174"/>
      <c r="E93" s="174"/>
      <c r="F93" s="174"/>
      <c r="G93" s="174"/>
      <c r="H93" s="174" t="s">
        <v>290</v>
      </c>
      <c r="I93" s="174" t="str">
        <f>"Line "&amp;A89&amp;" + Line "&amp;A90&amp;""</f>
        <v>Line 52 + Line 53</v>
      </c>
      <c r="J93" s="174"/>
      <c r="K93" s="180">
        <f>K89+K90</f>
        <v>5.4372207307743101E-2</v>
      </c>
    </row>
    <row r="94" spans="1:12" ht="13" x14ac:dyDescent="0.3">
      <c r="A94" s="166"/>
      <c r="B94" s="174"/>
      <c r="C94" s="174"/>
      <c r="D94" s="174"/>
      <c r="E94" s="174"/>
      <c r="F94" s="174"/>
      <c r="G94" s="174"/>
      <c r="I94" s="174"/>
      <c r="J94" s="174"/>
      <c r="K94" s="219"/>
    </row>
    <row r="95" spans="1:12" ht="13" x14ac:dyDescent="0.3">
      <c r="A95" s="166">
        <f>A93+1</f>
        <v>56</v>
      </c>
      <c r="B95" s="174" t="s">
        <v>140</v>
      </c>
      <c r="C95" s="174"/>
      <c r="D95" s="174"/>
      <c r="E95" s="174"/>
      <c r="F95" s="174"/>
      <c r="G95" s="174"/>
      <c r="I95" s="174" t="str">
        <f>"Line "&amp;A34&amp;" * Line "&amp;A91&amp;""</f>
        <v>Line 18 * Line 54</v>
      </c>
      <c r="J95" s="174"/>
      <c r="K95" s="182">
        <f>K34*K91</f>
        <v>489933310.13685209</v>
      </c>
    </row>
    <row r="96" spans="1:12" x14ac:dyDescent="0.25">
      <c r="A96" s="201"/>
      <c r="B96" s="174"/>
      <c r="C96" s="174"/>
      <c r="D96" s="174"/>
      <c r="E96" s="174"/>
      <c r="F96" s="174"/>
      <c r="G96" s="174"/>
      <c r="H96" s="174"/>
      <c r="I96" s="174"/>
      <c r="J96" s="174"/>
      <c r="K96" s="174"/>
    </row>
    <row r="97" spans="1:11" x14ac:dyDescent="0.25">
      <c r="A97" s="174"/>
      <c r="B97" s="174"/>
      <c r="C97" s="174"/>
      <c r="D97" s="174"/>
      <c r="E97" s="174"/>
      <c r="F97" s="174"/>
      <c r="G97" s="174"/>
      <c r="H97" s="174"/>
      <c r="I97" s="174"/>
      <c r="J97" s="174"/>
      <c r="K97" s="174"/>
    </row>
    <row r="98" spans="1:11" ht="13" x14ac:dyDescent="0.3">
      <c r="A98" s="209" t="s">
        <v>291</v>
      </c>
      <c r="B98" s="210"/>
      <c r="C98" s="210"/>
      <c r="D98" s="210"/>
      <c r="E98" s="210"/>
      <c r="F98" s="210"/>
      <c r="G98" s="210"/>
      <c r="H98" s="211"/>
      <c r="I98" s="211"/>
      <c r="J98" s="211"/>
      <c r="K98" s="211"/>
    </row>
    <row r="100" spans="1:11" ht="13" x14ac:dyDescent="0.3">
      <c r="A100" s="166">
        <f>A95+1</f>
        <v>57</v>
      </c>
      <c r="B100" s="164" t="s">
        <v>292</v>
      </c>
      <c r="I100" s="164" t="s">
        <v>742</v>
      </c>
      <c r="K100" s="181">
        <v>0.21</v>
      </c>
    </row>
    <row r="101" spans="1:11" ht="13" x14ac:dyDescent="0.3">
      <c r="A101" s="166">
        <f>A100+1</f>
        <v>58</v>
      </c>
      <c r="B101" s="174" t="s">
        <v>293</v>
      </c>
      <c r="I101" s="164" t="s">
        <v>743</v>
      </c>
      <c r="K101" s="181">
        <v>8.8400000000000006E-2</v>
      </c>
    </row>
    <row r="102" spans="1:11" ht="13" x14ac:dyDescent="0.3">
      <c r="A102" s="166">
        <f>A101+1</f>
        <v>59</v>
      </c>
      <c r="B102" s="174" t="s">
        <v>294</v>
      </c>
      <c r="H102" s="221" t="s">
        <v>295</v>
      </c>
      <c r="I102" s="174" t="str">
        <f>"(L"&amp;A100&amp;" + L"&amp;A101&amp;") - (L"&amp;A100&amp;" * L"&amp;A101&amp;")"</f>
        <v>(L57 + L58) - (L57 * L58)</v>
      </c>
      <c r="K102" s="181">
        <f>(K100+K101)-(K100*K101)</f>
        <v>0.27983599999999997</v>
      </c>
    </row>
    <row r="103" spans="1:11" ht="13" x14ac:dyDescent="0.3">
      <c r="A103" s="166"/>
      <c r="K103" s="181"/>
    </row>
    <row r="104" spans="1:11" ht="13.5" thickBot="1" x14ac:dyDescent="0.35">
      <c r="A104" s="166"/>
      <c r="B104" s="175" t="s">
        <v>296</v>
      </c>
      <c r="K104" s="181"/>
    </row>
    <row r="105" spans="1:11" ht="13.5" thickBot="1" x14ac:dyDescent="0.35">
      <c r="A105" s="166">
        <f>A102+1</f>
        <v>60</v>
      </c>
      <c r="B105" s="172" t="s">
        <v>297</v>
      </c>
      <c r="H105" s="174" t="s">
        <v>298</v>
      </c>
      <c r="K105" s="222">
        <v>-15761285</v>
      </c>
    </row>
    <row r="106" spans="1:11" ht="13" x14ac:dyDescent="0.3">
      <c r="A106" s="166">
        <f>A105+1</f>
        <v>61</v>
      </c>
      <c r="B106" s="172" t="s">
        <v>299</v>
      </c>
      <c r="H106" s="174" t="s">
        <v>298</v>
      </c>
      <c r="K106" s="223">
        <v>-183000</v>
      </c>
    </row>
    <row r="107" spans="1:11" ht="13" x14ac:dyDescent="0.3">
      <c r="A107" s="166">
        <f>A106+1</f>
        <v>62</v>
      </c>
      <c r="B107" s="172" t="s">
        <v>300</v>
      </c>
      <c r="H107" s="174" t="s">
        <v>298</v>
      </c>
      <c r="K107" s="177">
        <v>2606000</v>
      </c>
    </row>
    <row r="108" spans="1:11" ht="13" x14ac:dyDescent="0.3">
      <c r="A108" s="166">
        <f>A107+1</f>
        <v>63</v>
      </c>
      <c r="B108" s="176" t="s">
        <v>301</v>
      </c>
      <c r="I108" s="174" t="str">
        <f>"Line "&amp;A105&amp;" + Line "&amp;A106&amp;"+ Line "&amp;A107&amp;""</f>
        <v>Line 60 + Line 61+ Line 62</v>
      </c>
      <c r="K108" s="173">
        <f>SUM(K105:K107)</f>
        <v>-13338285</v>
      </c>
    </row>
    <row r="109" spans="1:11" ht="13" x14ac:dyDescent="0.3">
      <c r="A109" s="224"/>
    </row>
    <row r="110" spans="1:11" ht="13" x14ac:dyDescent="0.3">
      <c r="A110" s="166">
        <f>A108+1</f>
        <v>64</v>
      </c>
      <c r="B110" s="174" t="s">
        <v>302</v>
      </c>
      <c r="I110" s="164" t="str">
        <f>"Formula on Line "&amp;A112&amp;""</f>
        <v>Formula on Line 65</v>
      </c>
      <c r="K110" s="173">
        <f>(((K34*K93) + K119)*(K102/(1-K102)))+(K108/(1-K102))</f>
        <v>118810877.99936798</v>
      </c>
    </row>
    <row r="111" spans="1:11" ht="13" x14ac:dyDescent="0.3">
      <c r="A111" s="166"/>
    </row>
    <row r="112" spans="1:11" ht="13" x14ac:dyDescent="0.3">
      <c r="A112" s="166">
        <f>A110+1</f>
        <v>65</v>
      </c>
      <c r="B112" s="174" t="s">
        <v>142</v>
      </c>
      <c r="C112" s="174"/>
      <c r="D112" s="174"/>
      <c r="E112" s="174"/>
      <c r="F112" s="174"/>
      <c r="G112" s="174"/>
    </row>
    <row r="113" spans="1:11" x14ac:dyDescent="0.25">
      <c r="A113" s="225"/>
      <c r="I113" s="174"/>
    </row>
    <row r="114" spans="1:11" x14ac:dyDescent="0.25">
      <c r="A114" s="225"/>
      <c r="C114" s="164" t="s">
        <v>143</v>
      </c>
    </row>
    <row r="115" spans="1:11" x14ac:dyDescent="0.25">
      <c r="A115" s="225"/>
      <c r="C115" s="169" t="s">
        <v>144</v>
      </c>
      <c r="I115" s="174" t="str">
        <f>"Line "&amp;A34&amp;""</f>
        <v>Line 18</v>
      </c>
    </row>
    <row r="116" spans="1:11" x14ac:dyDescent="0.25">
      <c r="A116" s="225"/>
      <c r="C116" s="176" t="s">
        <v>303</v>
      </c>
      <c r="I116" s="174" t="str">
        <f>"Line "&amp;A93&amp;""</f>
        <v>Line 55</v>
      </c>
    </row>
    <row r="117" spans="1:11" x14ac:dyDescent="0.25">
      <c r="A117" s="225"/>
      <c r="C117" s="169" t="s">
        <v>147</v>
      </c>
      <c r="I117" s="174" t="str">
        <f>"Line "&amp;A102&amp;""</f>
        <v>Line 59</v>
      </c>
    </row>
    <row r="118" spans="1:11" x14ac:dyDescent="0.25">
      <c r="A118" s="225"/>
      <c r="C118" s="169" t="s">
        <v>148</v>
      </c>
      <c r="I118" s="174" t="str">
        <f>"Line "&amp;A108&amp;""</f>
        <v>Line 63</v>
      </c>
    </row>
    <row r="119" spans="1:11" x14ac:dyDescent="0.25">
      <c r="A119" s="225"/>
      <c r="C119" s="169" t="s">
        <v>149</v>
      </c>
      <c r="I119" s="164" t="s">
        <v>304</v>
      </c>
      <c r="K119" s="226">
        <v>3917123</v>
      </c>
    </row>
    <row r="121" spans="1:11" ht="13" x14ac:dyDescent="0.3">
      <c r="A121" s="209" t="s">
        <v>305</v>
      </c>
      <c r="B121" s="210"/>
      <c r="C121" s="210"/>
      <c r="D121" s="210"/>
      <c r="E121" s="210"/>
      <c r="F121" s="210"/>
      <c r="G121" s="210"/>
      <c r="H121" s="211"/>
      <c r="I121" s="211"/>
      <c r="J121" s="211"/>
      <c r="K121" s="211"/>
    </row>
    <row r="123" spans="1:11" x14ac:dyDescent="0.25">
      <c r="B123" s="175" t="s">
        <v>306</v>
      </c>
    </row>
    <row r="124" spans="1:11" ht="13" x14ac:dyDescent="0.3">
      <c r="A124" s="166">
        <f>A112+1</f>
        <v>66</v>
      </c>
      <c r="B124" s="164" t="s">
        <v>151</v>
      </c>
      <c r="H124" s="169"/>
      <c r="I124" s="164" t="s">
        <v>745</v>
      </c>
      <c r="K124" s="173">
        <v>112781173.69267865</v>
      </c>
    </row>
    <row r="125" spans="1:11" ht="13" x14ac:dyDescent="0.3">
      <c r="A125" s="166">
        <f t="shared" ref="A125:A140" si="1">A124+1</f>
        <v>67</v>
      </c>
      <c r="B125" s="174" t="s">
        <v>152</v>
      </c>
      <c r="H125" s="169"/>
      <c r="I125" s="164" t="s">
        <v>746</v>
      </c>
      <c r="K125" s="173">
        <v>82028767.094980612</v>
      </c>
    </row>
    <row r="126" spans="1:11" ht="13" x14ac:dyDescent="0.3">
      <c r="A126" s="166">
        <f t="shared" si="1"/>
        <v>68</v>
      </c>
      <c r="B126" s="164" t="s">
        <v>153</v>
      </c>
      <c r="H126" s="169"/>
      <c r="I126" s="174" t="s">
        <v>730</v>
      </c>
      <c r="K126" s="173">
        <v>4075483.5901751588</v>
      </c>
    </row>
    <row r="127" spans="1:11" ht="13" x14ac:dyDescent="0.3">
      <c r="A127" s="166">
        <f t="shared" si="1"/>
        <v>69</v>
      </c>
      <c r="B127" s="174" t="s">
        <v>154</v>
      </c>
      <c r="H127" s="169"/>
      <c r="I127" s="164" t="s">
        <v>747</v>
      </c>
      <c r="K127" s="173">
        <v>255157633.3971031</v>
      </c>
    </row>
    <row r="128" spans="1:11" ht="13" x14ac:dyDescent="0.3">
      <c r="A128" s="166">
        <f t="shared" si="1"/>
        <v>70</v>
      </c>
      <c r="B128" s="174" t="s">
        <v>155</v>
      </c>
      <c r="H128" s="169"/>
      <c r="I128" s="164" t="s">
        <v>697</v>
      </c>
      <c r="K128" s="173">
        <v>0</v>
      </c>
    </row>
    <row r="129" spans="1:11" ht="13" x14ac:dyDescent="0.3">
      <c r="A129" s="166">
        <f t="shared" si="1"/>
        <v>71</v>
      </c>
      <c r="B129" s="174" t="s">
        <v>156</v>
      </c>
      <c r="H129" s="169"/>
      <c r="I129" s="164" t="str">
        <f>"Line "&amp;A58&amp;""</f>
        <v>Line 36</v>
      </c>
      <c r="K129" s="173">
        <f>K58</f>
        <v>66058181.16746673</v>
      </c>
    </row>
    <row r="130" spans="1:11" ht="13" x14ac:dyDescent="0.3">
      <c r="A130" s="166">
        <f t="shared" si="1"/>
        <v>72</v>
      </c>
      <c r="B130" s="164" t="s">
        <v>157</v>
      </c>
      <c r="H130" s="176" t="s">
        <v>127</v>
      </c>
      <c r="I130" s="164" t="s">
        <v>748</v>
      </c>
      <c r="K130" s="173">
        <v>-54094032.244774804</v>
      </c>
    </row>
    <row r="131" spans="1:11" ht="13" x14ac:dyDescent="0.3">
      <c r="A131" s="166">
        <f t="shared" si="1"/>
        <v>73</v>
      </c>
      <c r="B131" s="164" t="s">
        <v>158</v>
      </c>
      <c r="H131" s="169"/>
      <c r="I131" s="164" t="str">
        <f>"Line "&amp;A95&amp;""</f>
        <v>Line 56</v>
      </c>
      <c r="K131" s="173">
        <f>K95</f>
        <v>489933310.13685209</v>
      </c>
    </row>
    <row r="132" spans="1:11" ht="13" x14ac:dyDescent="0.3">
      <c r="A132" s="166">
        <f t="shared" si="1"/>
        <v>74</v>
      </c>
      <c r="B132" s="164" t="s">
        <v>159</v>
      </c>
      <c r="H132" s="169"/>
      <c r="I132" s="164" t="str">
        <f>"Line "&amp;A110&amp;""</f>
        <v>Line 64</v>
      </c>
      <c r="K132" s="182">
        <f>K110</f>
        <v>118810877.99936798</v>
      </c>
    </row>
    <row r="133" spans="1:11" ht="13" x14ac:dyDescent="0.3">
      <c r="A133" s="166">
        <f t="shared" si="1"/>
        <v>75</v>
      </c>
      <c r="B133" s="164" t="s">
        <v>307</v>
      </c>
      <c r="H133" s="176" t="s">
        <v>308</v>
      </c>
      <c r="I133" s="174" t="s">
        <v>694</v>
      </c>
      <c r="K133" s="182">
        <v>0</v>
      </c>
    </row>
    <row r="134" spans="1:11" ht="13" x14ac:dyDescent="0.3">
      <c r="A134" s="166">
        <f t="shared" si="1"/>
        <v>76</v>
      </c>
      <c r="B134" s="48" t="s">
        <v>161</v>
      </c>
      <c r="C134" s="48"/>
      <c r="H134" s="169"/>
      <c r="I134" s="174" t="s">
        <v>735</v>
      </c>
      <c r="K134" s="182">
        <v>0</v>
      </c>
    </row>
    <row r="135" spans="1:11" ht="13" x14ac:dyDescent="0.3">
      <c r="A135" s="166">
        <f t="shared" si="1"/>
        <v>77</v>
      </c>
      <c r="B135" s="174" t="s">
        <v>309</v>
      </c>
      <c r="H135" s="169"/>
      <c r="I135" s="164" t="s">
        <v>737</v>
      </c>
      <c r="K135" s="182">
        <v>24863592.427097436</v>
      </c>
    </row>
    <row r="136" spans="1:11" s="174" customFormat="1" ht="13" x14ac:dyDescent="0.3">
      <c r="A136" s="166" t="s">
        <v>310</v>
      </c>
      <c r="B136" s="174" t="s">
        <v>311</v>
      </c>
      <c r="H136" s="174" t="s">
        <v>312</v>
      </c>
      <c r="I136" s="174" t="s">
        <v>313</v>
      </c>
      <c r="K136" s="182">
        <f>-K135</f>
        <v>-24863592.427097436</v>
      </c>
    </row>
    <row r="137" spans="1:11" ht="13" x14ac:dyDescent="0.3">
      <c r="A137" s="166">
        <f>A135+1</f>
        <v>78</v>
      </c>
      <c r="B137" s="174" t="s">
        <v>314</v>
      </c>
      <c r="H137" s="169"/>
      <c r="I137" s="164" t="str">
        <f>"Sum of Lines "&amp;A124&amp;" to "&amp;A135&amp;""</f>
        <v>Sum of Lines 66 to 77</v>
      </c>
      <c r="K137" s="173">
        <f>SUM(K124:K136)</f>
        <v>1074751394.8338494</v>
      </c>
    </row>
    <row r="138" spans="1:11" ht="13" x14ac:dyDescent="0.3">
      <c r="A138" s="224"/>
      <c r="B138" s="174"/>
      <c r="H138" s="169"/>
      <c r="K138" s="173"/>
    </row>
    <row r="139" spans="1:11" ht="13" x14ac:dyDescent="0.3">
      <c r="A139" s="166">
        <f>A137+1</f>
        <v>79</v>
      </c>
      <c r="B139" s="174" t="s">
        <v>315</v>
      </c>
      <c r="I139" s="164" t="s">
        <v>739</v>
      </c>
      <c r="K139" s="173">
        <v>9939384.5885199234</v>
      </c>
    </row>
    <row r="140" spans="1:11" ht="13" x14ac:dyDescent="0.3">
      <c r="A140" s="166">
        <f t="shared" si="1"/>
        <v>80</v>
      </c>
      <c r="B140" s="174" t="s">
        <v>316</v>
      </c>
      <c r="I140" s="164" t="s">
        <v>740</v>
      </c>
      <c r="K140" s="173">
        <v>2293527.6289248266</v>
      </c>
    </row>
    <row r="141" spans="1:11" ht="13" x14ac:dyDescent="0.3">
      <c r="A141" s="166"/>
      <c r="B141" s="174"/>
      <c r="K141" s="173"/>
    </row>
    <row r="142" spans="1:11" ht="13" x14ac:dyDescent="0.3">
      <c r="A142" s="166">
        <f>A140+1</f>
        <v>81</v>
      </c>
      <c r="B142" s="174" t="s">
        <v>317</v>
      </c>
      <c r="I142" s="164" t="str">
        <f>"Line "&amp;A137&amp;" + Line "&amp;A139&amp;"+ Line "&amp;A140&amp;""</f>
        <v>Line 78 + Line 79+ Line 80</v>
      </c>
      <c r="K142" s="173">
        <f>K137+K139+K140</f>
        <v>1086984307.0512941</v>
      </c>
    </row>
    <row r="144" spans="1:11" ht="13" x14ac:dyDescent="0.3">
      <c r="A144" s="209" t="s">
        <v>318</v>
      </c>
      <c r="B144" s="210"/>
      <c r="C144" s="210"/>
      <c r="D144" s="210"/>
      <c r="E144" s="210"/>
      <c r="F144" s="210"/>
      <c r="G144" s="210"/>
      <c r="H144" s="211"/>
      <c r="I144" s="211"/>
      <c r="J144" s="211"/>
      <c r="K144" s="211"/>
    </row>
    <row r="146" spans="1:11" x14ac:dyDescent="0.25">
      <c r="B146" s="175" t="s">
        <v>319</v>
      </c>
    </row>
    <row r="147" spans="1:11" ht="13" x14ac:dyDescent="0.3">
      <c r="A147" s="166">
        <f>A142+1</f>
        <v>82</v>
      </c>
      <c r="B147" s="164" t="s">
        <v>317</v>
      </c>
      <c r="I147" s="164" t="str">
        <f>"Line "&amp;A142&amp;""</f>
        <v>Line 81</v>
      </c>
      <c r="K147" s="173">
        <f>K142</f>
        <v>1086984307.0512941</v>
      </c>
    </row>
    <row r="148" spans="1:11" ht="13" x14ac:dyDescent="0.3">
      <c r="A148" s="166">
        <f>A147+1</f>
        <v>83</v>
      </c>
      <c r="B148" s="164" t="s">
        <v>320</v>
      </c>
      <c r="I148" s="174" t="s">
        <v>749</v>
      </c>
      <c r="K148" s="173">
        <v>104100278.82720406</v>
      </c>
    </row>
    <row r="149" spans="1:11" ht="13" x14ac:dyDescent="0.3">
      <c r="A149" s="166">
        <f>A148+1</f>
        <v>84</v>
      </c>
      <c r="B149" s="174" t="s">
        <v>321</v>
      </c>
      <c r="H149" s="174"/>
      <c r="I149" s="174" t="s">
        <v>750</v>
      </c>
      <c r="K149" s="182">
        <v>-55389865.445276529</v>
      </c>
    </row>
    <row r="150" spans="1:11" ht="13" x14ac:dyDescent="0.3">
      <c r="A150" s="166">
        <f>A149+1</f>
        <v>85</v>
      </c>
      <c r="B150" s="174" t="s">
        <v>322</v>
      </c>
      <c r="H150" s="174" t="s">
        <v>323</v>
      </c>
      <c r="K150" s="269">
        <v>0</v>
      </c>
    </row>
    <row r="151" spans="1:11" ht="13" x14ac:dyDescent="0.3">
      <c r="A151" s="166"/>
      <c r="K151" s="173"/>
    </row>
    <row r="152" spans="1:11" ht="13" x14ac:dyDescent="0.3">
      <c r="A152" s="166">
        <f>A150+1</f>
        <v>86</v>
      </c>
      <c r="B152" s="174" t="s">
        <v>324</v>
      </c>
      <c r="H152" s="174" t="s">
        <v>325</v>
      </c>
      <c r="I152" s="164" t="str">
        <f>"L "&amp;A147&amp;" + L "&amp;A148&amp;" + L "&amp;A149&amp;" + L "&amp;A150&amp;""</f>
        <v>L 82 + L 83 + L 84 + L 85</v>
      </c>
      <c r="K152" s="173">
        <f>K147+K148+K149+K150</f>
        <v>1135694720.4332216</v>
      </c>
    </row>
    <row r="153" spans="1:11" ht="13" x14ac:dyDescent="0.3">
      <c r="A153" s="166"/>
      <c r="K153" s="173"/>
    </row>
    <row r="154" spans="1:11" ht="13" x14ac:dyDescent="0.3">
      <c r="A154" s="166"/>
      <c r="B154" s="175" t="s">
        <v>326</v>
      </c>
      <c r="K154" s="173"/>
    </row>
    <row r="155" spans="1:11" ht="13" x14ac:dyDescent="0.3">
      <c r="A155" s="166">
        <f>A152+1</f>
        <v>87</v>
      </c>
      <c r="B155" s="164" t="s">
        <v>327</v>
      </c>
      <c r="I155" s="164" t="str">
        <f>"Line "&amp;A152&amp;""</f>
        <v>Line 86</v>
      </c>
      <c r="K155" s="173">
        <f>K152</f>
        <v>1135694720.4332216</v>
      </c>
    </row>
    <row r="156" spans="1:11" ht="13" x14ac:dyDescent="0.3">
      <c r="A156" s="166">
        <f>A155+1</f>
        <v>88</v>
      </c>
      <c r="B156" s="164" t="s">
        <v>328</v>
      </c>
      <c r="I156" s="174" t="s">
        <v>751</v>
      </c>
      <c r="K156" s="177">
        <v>-4755231.449505615</v>
      </c>
    </row>
    <row r="157" spans="1:11" ht="13" x14ac:dyDescent="0.3">
      <c r="A157" s="166">
        <f>A156+1</f>
        <v>89</v>
      </c>
      <c r="B157" s="164" t="s">
        <v>326</v>
      </c>
      <c r="I157" s="164" t="str">
        <f>"Line "&amp;A155&amp;" + Line "&amp;A156&amp;""</f>
        <v>Line 87 + Line 88</v>
      </c>
      <c r="K157" s="173">
        <f>K155+K156</f>
        <v>1130939488.983716</v>
      </c>
    </row>
    <row r="158" spans="1:11" x14ac:dyDescent="0.25">
      <c r="H158" s="174"/>
    </row>
    <row r="160" spans="1:11" ht="13" x14ac:dyDescent="0.3">
      <c r="B160" s="170" t="s">
        <v>87</v>
      </c>
    </row>
    <row r="161" spans="2:6" x14ac:dyDescent="0.25">
      <c r="B161" s="174" t="s">
        <v>329</v>
      </c>
    </row>
    <row r="162" spans="2:6" x14ac:dyDescent="0.25">
      <c r="B162" s="176" t="s">
        <v>330</v>
      </c>
    </row>
    <row r="163" spans="2:6" s="174" customFormat="1" x14ac:dyDescent="0.25">
      <c r="B163" s="174" t="s">
        <v>331</v>
      </c>
      <c r="C163" s="276"/>
      <c r="D163" s="276"/>
      <c r="E163" s="276"/>
    </row>
    <row r="164" spans="2:6" s="174" customFormat="1" x14ac:dyDescent="0.25">
      <c r="B164" s="176" t="s">
        <v>332</v>
      </c>
      <c r="C164" s="276"/>
      <c r="D164" s="276"/>
      <c r="E164" s="276"/>
    </row>
    <row r="165" spans="2:6" s="174" customFormat="1" x14ac:dyDescent="0.25">
      <c r="B165" s="176" t="s">
        <v>333</v>
      </c>
      <c r="C165" s="276"/>
      <c r="D165" s="276"/>
      <c r="E165" s="276"/>
    </row>
    <row r="166" spans="2:6" s="174" customFormat="1" x14ac:dyDescent="0.25">
      <c r="B166" s="176" t="s">
        <v>334</v>
      </c>
      <c r="C166" s="276"/>
      <c r="D166" s="276"/>
      <c r="E166" s="276"/>
      <c r="F166" s="252"/>
    </row>
    <row r="167" spans="2:6" s="174" customFormat="1" x14ac:dyDescent="0.25">
      <c r="B167" s="176" t="s">
        <v>335</v>
      </c>
    </row>
    <row r="168" spans="2:6" x14ac:dyDescent="0.25">
      <c r="B168" s="174" t="s">
        <v>336</v>
      </c>
    </row>
    <row r="169" spans="2:6" x14ac:dyDescent="0.25">
      <c r="B169" s="169" t="s">
        <v>337</v>
      </c>
    </row>
    <row r="170" spans="2:6" s="174" customFormat="1" x14ac:dyDescent="0.25">
      <c r="B170" s="176" t="s">
        <v>338</v>
      </c>
    </row>
    <row r="171" spans="2:6" s="174" customFormat="1" x14ac:dyDescent="0.25">
      <c r="B171" s="176" t="s">
        <v>339</v>
      </c>
    </row>
    <row r="172" spans="2:6" s="174" customFormat="1" x14ac:dyDescent="0.25">
      <c r="B172" s="288" t="s">
        <v>340</v>
      </c>
    </row>
    <row r="173" spans="2:6" x14ac:dyDescent="0.25">
      <c r="B173" s="174" t="s">
        <v>341</v>
      </c>
    </row>
    <row r="174" spans="2:6" s="174" customFormat="1" x14ac:dyDescent="0.25">
      <c r="B174" s="174" t="s">
        <v>342</v>
      </c>
    </row>
    <row r="175" spans="2:6" s="174" customFormat="1" x14ac:dyDescent="0.25">
      <c r="B175" s="174" t="s">
        <v>343</v>
      </c>
    </row>
  </sheetData>
  <pageMargins left="0.75" right="0.75" top="1" bottom="1" header="0.5" footer="0.5"/>
  <pageSetup scale="65" orientation="portrait" cellComments="asDisplayed" r:id="rId1"/>
  <headerFooter alignWithMargins="0">
    <oddHeader xml:space="preserve">&amp;CSchedule 1
Base TRR
(TO2018 EDIT Amortization Adj)&amp;RTO2021 Draft Annual Update
Attachment 4
WP-Schedule 3-One Time Adjustment Transition
Page &amp;P of &amp;N
</oddHeader>
    <oddFooter>&amp;R&amp;A</oddFooter>
  </headerFooter>
  <rowBreaks count="2" manualBreakCount="2">
    <brk id="59" max="16383" man="1"/>
    <brk id="120" max="16383" man="1"/>
  </rowBreaks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85CA8-0654-4FAC-9376-F0653314DBF4}">
  <sheetPr>
    <tabColor rgb="FFCCFFCC"/>
  </sheetPr>
  <dimension ref="A1:N172"/>
  <sheetViews>
    <sheetView zoomScale="90" zoomScaleNormal="90" workbookViewId="0"/>
  </sheetViews>
  <sheetFormatPr defaultRowHeight="12.5" x14ac:dyDescent="0.25"/>
  <cols>
    <col min="1" max="2" width="4.54296875" style="164" customWidth="1"/>
    <col min="3" max="3" width="18.54296875" style="164" customWidth="1"/>
    <col min="4" max="4" width="10.453125" style="164" bestFit="1" customWidth="1"/>
    <col min="5" max="7" width="15.54296875" style="164" customWidth="1"/>
    <col min="8" max="8" width="24.54296875" style="164" customWidth="1"/>
    <col min="9" max="9" width="4.54296875" style="164" customWidth="1"/>
    <col min="10" max="10" width="15.54296875" style="164" customWidth="1"/>
    <col min="11" max="11" width="2.54296875" style="164" customWidth="1"/>
    <col min="12" max="12" width="14.453125" style="164" customWidth="1"/>
    <col min="13" max="13" width="4.453125" style="164" customWidth="1"/>
    <col min="14" max="14" width="15.453125" style="164" customWidth="1"/>
    <col min="15" max="16384" width="8.7265625" style="164"/>
  </cols>
  <sheetData>
    <row r="1" spans="1:14" ht="13" x14ac:dyDescent="0.3">
      <c r="A1" s="163" t="s">
        <v>104</v>
      </c>
    </row>
    <row r="3" spans="1:14" ht="13" x14ac:dyDescent="0.3">
      <c r="B3" s="165" t="s">
        <v>105</v>
      </c>
      <c r="L3" s="166"/>
    </row>
    <row r="4" spans="1:14" ht="13" x14ac:dyDescent="0.3">
      <c r="B4" s="167"/>
      <c r="F4" s="166" t="s">
        <v>106</v>
      </c>
      <c r="G4" s="166"/>
      <c r="H4" s="166" t="s">
        <v>107</v>
      </c>
      <c r="L4" s="166"/>
      <c r="N4" s="166"/>
    </row>
    <row r="5" spans="1:14" ht="13" x14ac:dyDescent="0.3">
      <c r="A5" s="168" t="s">
        <v>108</v>
      </c>
      <c r="B5" s="169"/>
      <c r="C5" s="170" t="s">
        <v>109</v>
      </c>
      <c r="F5" s="171" t="s">
        <v>110</v>
      </c>
      <c r="G5" s="171" t="s">
        <v>111</v>
      </c>
      <c r="H5" s="171" t="s">
        <v>112</v>
      </c>
      <c r="J5" s="171" t="s">
        <v>96</v>
      </c>
      <c r="L5" s="171"/>
      <c r="N5" s="171"/>
    </row>
    <row r="6" spans="1:14" ht="13" x14ac:dyDescent="0.3">
      <c r="A6" s="166">
        <v>1</v>
      </c>
      <c r="C6" s="172" t="s">
        <v>113</v>
      </c>
      <c r="F6" s="164" t="s">
        <v>114</v>
      </c>
      <c r="H6" s="172" t="s">
        <v>688</v>
      </c>
      <c r="J6" s="173">
        <v>8939630709.3337479</v>
      </c>
      <c r="L6" s="173"/>
      <c r="N6" s="173"/>
    </row>
    <row r="7" spans="1:14" ht="13" x14ac:dyDescent="0.3">
      <c r="A7" s="166">
        <f>A6+1</f>
        <v>2</v>
      </c>
      <c r="C7" s="172" t="s">
        <v>115</v>
      </c>
      <c r="F7" s="164" t="s">
        <v>116</v>
      </c>
      <c r="H7" s="172" t="s">
        <v>689</v>
      </c>
      <c r="J7" s="173">
        <v>288986135.3460899</v>
      </c>
      <c r="L7" s="173"/>
      <c r="N7" s="173"/>
    </row>
    <row r="8" spans="1:14" ht="13" x14ac:dyDescent="0.3">
      <c r="A8" s="166">
        <f>A7+1</f>
        <v>3</v>
      </c>
      <c r="C8" s="172" t="s">
        <v>117</v>
      </c>
      <c r="F8" s="164" t="s">
        <v>116</v>
      </c>
      <c r="H8" s="164" t="s">
        <v>692</v>
      </c>
      <c r="J8" s="173">
        <v>9942155</v>
      </c>
      <c r="L8" s="173"/>
      <c r="N8" s="173"/>
    </row>
    <row r="9" spans="1:14" ht="13" x14ac:dyDescent="0.3">
      <c r="A9" s="166">
        <f>A8+1</f>
        <v>4</v>
      </c>
      <c r="C9" s="172" t="s">
        <v>118</v>
      </c>
      <c r="F9" s="164" t="s">
        <v>116</v>
      </c>
      <c r="H9" s="174" t="s">
        <v>695</v>
      </c>
      <c r="J9" s="173">
        <v>0</v>
      </c>
      <c r="L9" s="173"/>
      <c r="N9" s="173"/>
    </row>
    <row r="10" spans="1:14" ht="13" x14ac:dyDescent="0.3">
      <c r="A10" s="166"/>
      <c r="C10" s="172"/>
      <c r="J10" s="173"/>
      <c r="L10" s="173"/>
      <c r="N10" s="173"/>
    </row>
    <row r="11" spans="1:14" ht="13" x14ac:dyDescent="0.3">
      <c r="A11" s="166"/>
      <c r="C11" s="175" t="s">
        <v>119</v>
      </c>
      <c r="J11" s="173"/>
      <c r="L11" s="173"/>
      <c r="N11" s="173"/>
    </row>
    <row r="12" spans="1:14" ht="13" x14ac:dyDescent="0.3">
      <c r="A12" s="166">
        <f>A9+1</f>
        <v>5</v>
      </c>
      <c r="C12" s="176" t="s">
        <v>120</v>
      </c>
      <c r="F12" s="164" t="s">
        <v>114</v>
      </c>
      <c r="H12" s="172" t="s">
        <v>698</v>
      </c>
      <c r="J12" s="173">
        <v>21476899.868948326</v>
      </c>
      <c r="L12" s="173"/>
      <c r="N12" s="173"/>
    </row>
    <row r="13" spans="1:14" ht="13" x14ac:dyDescent="0.3">
      <c r="A13" s="166">
        <f>A12+1</f>
        <v>6</v>
      </c>
      <c r="C13" s="169" t="s">
        <v>121</v>
      </c>
      <c r="F13" s="164" t="s">
        <v>114</v>
      </c>
      <c r="H13" s="172" t="s">
        <v>699</v>
      </c>
      <c r="J13" s="173">
        <v>21286307.043254811</v>
      </c>
      <c r="L13" s="173"/>
      <c r="N13" s="173"/>
    </row>
    <row r="14" spans="1:14" ht="13" x14ac:dyDescent="0.3">
      <c r="A14" s="166">
        <f>A13+1</f>
        <v>7</v>
      </c>
      <c r="C14" s="176" t="s">
        <v>122</v>
      </c>
      <c r="F14" s="174" t="s">
        <v>123</v>
      </c>
      <c r="H14" s="164" t="s">
        <v>702</v>
      </c>
      <c r="J14" s="177">
        <v>24081483.480682343</v>
      </c>
      <c r="L14" s="177"/>
      <c r="N14" s="173"/>
    </row>
    <row r="15" spans="1:14" ht="13" x14ac:dyDescent="0.3">
      <c r="A15" s="166">
        <f>A14+1</f>
        <v>8</v>
      </c>
      <c r="C15" s="176" t="s">
        <v>124</v>
      </c>
      <c r="H15" s="164" t="str">
        <f>"Line "&amp;A12&amp;" + Line "&amp;A13&amp;" + Line "&amp;A14&amp;""</f>
        <v>Line 5 + Line 6 + Line 7</v>
      </c>
      <c r="J15" s="173">
        <f>SUM(J12:J14)</f>
        <v>66844690.392885476</v>
      </c>
      <c r="L15" s="173"/>
      <c r="N15" s="173"/>
    </row>
    <row r="16" spans="1:14" ht="13" x14ac:dyDescent="0.3">
      <c r="A16" s="166"/>
      <c r="C16" s="176"/>
      <c r="J16" s="173"/>
      <c r="L16" s="173"/>
      <c r="N16" s="173"/>
    </row>
    <row r="17" spans="1:14" ht="13" x14ac:dyDescent="0.3">
      <c r="A17" s="166"/>
      <c r="C17" s="178" t="s">
        <v>125</v>
      </c>
      <c r="J17" s="173"/>
      <c r="L17" s="173"/>
      <c r="N17" s="173"/>
    </row>
    <row r="18" spans="1:14" ht="13" x14ac:dyDescent="0.3">
      <c r="A18" s="166">
        <f>A15+1</f>
        <v>9</v>
      </c>
      <c r="C18" s="176" t="s">
        <v>126</v>
      </c>
      <c r="F18" s="164" t="s">
        <v>114</v>
      </c>
      <c r="G18" s="164" t="s">
        <v>127</v>
      </c>
      <c r="H18" s="172" t="s">
        <v>718</v>
      </c>
      <c r="J18" s="173">
        <v>-1839774172.2805853</v>
      </c>
      <c r="L18" s="173"/>
      <c r="N18" s="173"/>
    </row>
    <row r="19" spans="1:14" ht="13" x14ac:dyDescent="0.3">
      <c r="A19" s="166">
        <f>A18+1</f>
        <v>10</v>
      </c>
      <c r="C19" s="176" t="s">
        <v>128</v>
      </c>
      <c r="F19" s="164" t="s">
        <v>116</v>
      </c>
      <c r="G19" s="164" t="s">
        <v>127</v>
      </c>
      <c r="H19" s="172" t="s">
        <v>719</v>
      </c>
      <c r="J19" s="173">
        <v>0</v>
      </c>
      <c r="L19" s="173"/>
      <c r="N19" s="173"/>
    </row>
    <row r="20" spans="1:14" ht="13" x14ac:dyDescent="0.3">
      <c r="A20" s="166">
        <f>A19+1</f>
        <v>11</v>
      </c>
      <c r="C20" s="176" t="s">
        <v>129</v>
      </c>
      <c r="D20" s="47"/>
      <c r="F20" s="164" t="s">
        <v>116</v>
      </c>
      <c r="G20" s="164" t="s">
        <v>127</v>
      </c>
      <c r="H20" s="172" t="s">
        <v>720</v>
      </c>
      <c r="J20" s="177">
        <v>-105809932.94764221</v>
      </c>
      <c r="L20" s="173"/>
      <c r="N20" s="173"/>
    </row>
    <row r="21" spans="1:14" ht="13" x14ac:dyDescent="0.3">
      <c r="A21" s="166">
        <f>A20+1</f>
        <v>12</v>
      </c>
      <c r="C21" s="46" t="s">
        <v>130</v>
      </c>
      <c r="D21" s="47"/>
      <c r="H21" s="164" t="str">
        <f>"Line "&amp;A18&amp;" + Line "&amp;A19&amp;" + Line "&amp;A20&amp;""</f>
        <v>Line 9 + Line 10 + Line 11</v>
      </c>
      <c r="J21" s="173">
        <f>SUM(J18:J20)</f>
        <v>-1945584105.2282276</v>
      </c>
      <c r="L21" s="173"/>
      <c r="N21" s="173"/>
    </row>
    <row r="22" spans="1:14" ht="13" x14ac:dyDescent="0.3">
      <c r="A22" s="166"/>
      <c r="C22" s="174"/>
      <c r="J22" s="173"/>
      <c r="L22" s="173"/>
      <c r="N22" s="173"/>
    </row>
    <row r="23" spans="1:14" ht="13" x14ac:dyDescent="0.3">
      <c r="A23" s="166">
        <f>A21+1</f>
        <v>13</v>
      </c>
      <c r="C23" s="179" t="s">
        <v>131</v>
      </c>
      <c r="F23" s="172" t="s">
        <v>116</v>
      </c>
      <c r="H23" s="172" t="s">
        <v>752</v>
      </c>
      <c r="J23" s="173">
        <v>-1632145854.7122164</v>
      </c>
      <c r="L23" s="173"/>
      <c r="N23" s="173"/>
    </row>
    <row r="24" spans="1:14" ht="13" x14ac:dyDescent="0.3">
      <c r="A24" s="166">
        <f>A23+1</f>
        <v>14</v>
      </c>
      <c r="C24" s="172" t="s">
        <v>132</v>
      </c>
      <c r="F24" s="164" t="s">
        <v>114</v>
      </c>
      <c r="H24" s="172" t="s">
        <v>726</v>
      </c>
      <c r="J24" s="173">
        <v>601481319.8292309</v>
      </c>
      <c r="L24" s="173"/>
      <c r="N24" s="173"/>
    </row>
    <row r="25" spans="1:14" ht="13" x14ac:dyDescent="0.3">
      <c r="A25" s="166">
        <f>A24+1</f>
        <v>15</v>
      </c>
      <c r="C25" s="179" t="s">
        <v>133</v>
      </c>
      <c r="F25" s="164" t="s">
        <v>116</v>
      </c>
      <c r="G25" s="164" t="s">
        <v>127</v>
      </c>
      <c r="H25" s="172" t="s">
        <v>728</v>
      </c>
      <c r="J25" s="173">
        <v>-50661304.942000374</v>
      </c>
      <c r="L25" s="173"/>
      <c r="N25" s="173"/>
    </row>
    <row r="26" spans="1:14" ht="13" x14ac:dyDescent="0.3">
      <c r="A26" s="166">
        <f t="shared" ref="A26:A27" si="0">A25+1</f>
        <v>16</v>
      </c>
      <c r="C26" s="172" t="s">
        <v>134</v>
      </c>
      <c r="H26" s="174" t="s">
        <v>731</v>
      </c>
      <c r="J26" s="173">
        <v>-192258245.62261316</v>
      </c>
      <c r="L26" s="173"/>
      <c r="N26" s="173"/>
    </row>
    <row r="27" spans="1:14" ht="13" x14ac:dyDescent="0.3">
      <c r="A27" s="166">
        <f t="shared" si="0"/>
        <v>17</v>
      </c>
      <c r="C27" s="179" t="s">
        <v>135</v>
      </c>
      <c r="F27" s="164" t="s">
        <v>116</v>
      </c>
      <c r="H27" s="172" t="s">
        <v>733</v>
      </c>
      <c r="J27" s="173">
        <v>0</v>
      </c>
      <c r="L27" s="173"/>
      <c r="N27" s="173"/>
    </row>
    <row r="28" spans="1:14" ht="13" x14ac:dyDescent="0.3">
      <c r="A28" s="166"/>
      <c r="C28" s="179"/>
      <c r="L28" s="173"/>
      <c r="N28" s="173"/>
    </row>
    <row r="29" spans="1:14" ht="13" x14ac:dyDescent="0.3">
      <c r="A29" s="166">
        <f>A27+1</f>
        <v>18</v>
      </c>
      <c r="C29" s="164" t="s">
        <v>136</v>
      </c>
      <c r="H29" s="164" t="str">
        <f>"L"&amp;A6&amp;"+L"&amp;A7&amp;"+L"&amp;A8&amp;"+L"&amp;A9&amp;"+L"&amp;A15&amp;"+L"&amp;A21&amp;"+"</f>
        <v>L1+L2+L3+L4+L8+L12+</v>
      </c>
      <c r="J29" s="173">
        <f>J6+ J7+J8+J9+J15+J21+J23+J24+J25+J26+J27</f>
        <v>6086235499.3968973</v>
      </c>
      <c r="L29" s="173"/>
      <c r="N29" s="173"/>
    </row>
    <row r="30" spans="1:14" ht="13" x14ac:dyDescent="0.3">
      <c r="A30" s="166"/>
      <c r="H30" s="164" t="str">
        <f>"L"&amp;A23&amp;"+L"&amp;A24&amp;"+L"&amp;A25&amp;"+L"&amp;A26&amp;"+L"&amp;A27&amp;""</f>
        <v>L13+L14+L15+L16+L17</v>
      </c>
      <c r="J30" s="173"/>
      <c r="L30" s="173"/>
      <c r="N30" s="173"/>
    </row>
    <row r="31" spans="1:14" ht="13" x14ac:dyDescent="0.3">
      <c r="A31" s="166"/>
      <c r="B31" s="163" t="s">
        <v>137</v>
      </c>
      <c r="J31" s="173"/>
      <c r="L31" s="173"/>
      <c r="N31" s="173"/>
    </row>
    <row r="32" spans="1:14" ht="13" x14ac:dyDescent="0.3">
      <c r="A32" s="168" t="s">
        <v>108</v>
      </c>
      <c r="C32" s="163"/>
      <c r="J32" s="173"/>
      <c r="L32" s="173"/>
      <c r="N32" s="173"/>
    </row>
    <row r="33" spans="1:14" ht="13" x14ac:dyDescent="0.3">
      <c r="A33" s="166">
        <f>A29+1</f>
        <v>19</v>
      </c>
      <c r="B33" s="174"/>
      <c r="C33" s="174" t="s">
        <v>138</v>
      </c>
      <c r="D33" s="174"/>
      <c r="E33" s="174"/>
      <c r="F33" s="174"/>
      <c r="G33" s="174" t="s">
        <v>139</v>
      </c>
      <c r="H33" s="174" t="str">
        <f>"Instruction 1, Line "&amp;B98&amp;""</f>
        <v>Instruction 1, Line j</v>
      </c>
      <c r="I33" s="174"/>
      <c r="J33" s="180">
        <f>E98</f>
        <v>7.7413313403901507E-2</v>
      </c>
      <c r="L33" s="181"/>
      <c r="M33" s="181"/>
      <c r="N33" s="181"/>
    </row>
    <row r="34" spans="1:14" ht="13" x14ac:dyDescent="0.3">
      <c r="A34" s="166">
        <f>A33+1</f>
        <v>20</v>
      </c>
      <c r="C34" s="174" t="s">
        <v>140</v>
      </c>
      <c r="D34" s="174"/>
      <c r="E34" s="174"/>
      <c r="F34" s="174"/>
      <c r="G34" s="174"/>
      <c r="H34" s="164" t="str">
        <f>"Line "&amp;A29&amp;" * Line "&amp;A33&amp;""</f>
        <v>Line 18 * Line 19</v>
      </c>
      <c r="J34" s="182">
        <f>J29*J33</f>
        <v>471155656.16476303</v>
      </c>
      <c r="L34" s="173"/>
      <c r="N34" s="173"/>
    </row>
    <row r="35" spans="1:14" ht="13" x14ac:dyDescent="0.3">
      <c r="A35" s="166"/>
      <c r="B35" s="169"/>
      <c r="L35" s="173"/>
      <c r="N35" s="173"/>
    </row>
    <row r="36" spans="1:14" ht="13" x14ac:dyDescent="0.3">
      <c r="A36" s="166"/>
      <c r="B36" s="163" t="s">
        <v>141</v>
      </c>
      <c r="L36" s="173"/>
      <c r="N36" s="173"/>
    </row>
    <row r="37" spans="1:14" ht="13" x14ac:dyDescent="0.3">
      <c r="A37" s="166"/>
      <c r="B37" s="169"/>
      <c r="L37" s="173"/>
      <c r="N37" s="173"/>
    </row>
    <row r="38" spans="1:14" ht="13" x14ac:dyDescent="0.3">
      <c r="A38" s="166">
        <f>A34+1</f>
        <v>21</v>
      </c>
      <c r="C38" s="174" t="s">
        <v>142</v>
      </c>
      <c r="J38" s="173">
        <f>(((J29*J42) + J45) *(J43/(1-J43)))+(J44/(1-J43))</f>
        <v>117312375.63981014</v>
      </c>
      <c r="L38" s="173"/>
      <c r="N38" s="173"/>
    </row>
    <row r="39" spans="1:14" ht="13" x14ac:dyDescent="0.3">
      <c r="A39" s="166"/>
      <c r="J39" s="174"/>
      <c r="L39" s="173"/>
      <c r="N39" s="173"/>
    </row>
    <row r="40" spans="1:14" ht="13" x14ac:dyDescent="0.3">
      <c r="A40" s="166"/>
      <c r="D40" s="164" t="s">
        <v>143</v>
      </c>
      <c r="L40" s="173"/>
      <c r="N40" s="173"/>
    </row>
    <row r="41" spans="1:14" ht="13" x14ac:dyDescent="0.3">
      <c r="A41" s="166">
        <f>A38+1</f>
        <v>22</v>
      </c>
      <c r="D41" s="169" t="s">
        <v>144</v>
      </c>
      <c r="H41" s="164" t="str">
        <f>"Line "&amp;A29&amp;""</f>
        <v>Line 18</v>
      </c>
      <c r="J41" s="173">
        <f>J29</f>
        <v>6086235499.3968973</v>
      </c>
      <c r="L41" s="173"/>
      <c r="N41" s="173"/>
    </row>
    <row r="42" spans="1:14" ht="13" x14ac:dyDescent="0.3">
      <c r="A42" s="166">
        <f>A41+1</f>
        <v>23</v>
      </c>
      <c r="D42" s="176" t="s">
        <v>145</v>
      </c>
      <c r="G42" s="174" t="s">
        <v>146</v>
      </c>
      <c r="H42" s="174" t="str">
        <f>"Instruction 1, Line "&amp;B103&amp;""</f>
        <v>Instruction 1, Line k</v>
      </c>
      <c r="J42" s="180">
        <f>E103</f>
        <v>5.6792653471962606E-2</v>
      </c>
      <c r="L42" s="181"/>
      <c r="M42" s="181"/>
      <c r="N42" s="181"/>
    </row>
    <row r="43" spans="1:14" ht="13" x14ac:dyDescent="0.3">
      <c r="A43" s="166">
        <f>A42+1</f>
        <v>24</v>
      </c>
      <c r="D43" s="169" t="s">
        <v>147</v>
      </c>
      <c r="H43" s="164" t="s">
        <v>703</v>
      </c>
      <c r="J43" s="181">
        <v>0.27983599999999997</v>
      </c>
      <c r="L43" s="181"/>
      <c r="M43" s="181"/>
      <c r="N43" s="181"/>
    </row>
    <row r="44" spans="1:14" ht="13" x14ac:dyDescent="0.3">
      <c r="A44" s="166">
        <f>A43+1</f>
        <v>25</v>
      </c>
      <c r="D44" s="169" t="s">
        <v>148</v>
      </c>
      <c r="H44" s="164" t="s">
        <v>704</v>
      </c>
      <c r="J44" s="173">
        <v>-13338285</v>
      </c>
      <c r="L44" s="173"/>
      <c r="N44" s="173"/>
    </row>
    <row r="45" spans="1:14" ht="13" x14ac:dyDescent="0.3">
      <c r="A45" s="166">
        <f>A44+1</f>
        <v>26</v>
      </c>
      <c r="D45" s="169" t="s">
        <v>149</v>
      </c>
      <c r="H45" s="164" t="s">
        <v>705</v>
      </c>
      <c r="J45" s="182">
        <v>3917123</v>
      </c>
      <c r="L45" s="173"/>
      <c r="N45" s="173"/>
    </row>
    <row r="46" spans="1:14" ht="13" x14ac:dyDescent="0.3">
      <c r="A46" s="166"/>
      <c r="B46" s="169"/>
      <c r="L46" s="173"/>
      <c r="N46" s="173"/>
    </row>
    <row r="47" spans="1:14" ht="13" x14ac:dyDescent="0.3">
      <c r="A47" s="166"/>
      <c r="B47" s="163" t="s">
        <v>150</v>
      </c>
      <c r="L47" s="173"/>
      <c r="N47" s="173"/>
    </row>
    <row r="48" spans="1:14" ht="13" x14ac:dyDescent="0.3">
      <c r="A48" s="166">
        <f>A45+1</f>
        <v>27</v>
      </c>
      <c r="B48" s="169"/>
      <c r="C48" s="164" t="s">
        <v>151</v>
      </c>
      <c r="H48" s="164" t="s">
        <v>706</v>
      </c>
      <c r="J48" s="173">
        <v>110879588.38578117</v>
      </c>
      <c r="L48" s="173"/>
      <c r="N48" s="173"/>
    </row>
    <row r="49" spans="1:14" ht="13" x14ac:dyDescent="0.3">
      <c r="A49" s="166">
        <f t="shared" ref="A49:A59" si="1">A48+1</f>
        <v>28</v>
      </c>
      <c r="B49" s="169"/>
      <c r="C49" s="174" t="s">
        <v>152</v>
      </c>
      <c r="H49" s="164" t="s">
        <v>707</v>
      </c>
      <c r="J49" s="173">
        <v>81772279.459677577</v>
      </c>
      <c r="L49" s="173"/>
      <c r="N49" s="173"/>
    </row>
    <row r="50" spans="1:14" ht="13" x14ac:dyDescent="0.3">
      <c r="A50" s="166">
        <f>A49+1</f>
        <v>29</v>
      </c>
      <c r="B50" s="169"/>
      <c r="C50" s="164" t="s">
        <v>153</v>
      </c>
      <c r="H50" s="164" t="s">
        <v>708</v>
      </c>
      <c r="J50" s="173">
        <v>4075483.5901751588</v>
      </c>
      <c r="L50" s="173"/>
      <c r="N50" s="173"/>
    </row>
    <row r="51" spans="1:14" ht="13" x14ac:dyDescent="0.3">
      <c r="A51" s="166">
        <f t="shared" si="1"/>
        <v>30</v>
      </c>
      <c r="B51" s="169"/>
      <c r="C51" s="174" t="s">
        <v>154</v>
      </c>
      <c r="H51" s="164" t="s">
        <v>709</v>
      </c>
      <c r="J51" s="173">
        <v>255151988.45508885</v>
      </c>
      <c r="L51" s="173"/>
      <c r="N51" s="173"/>
    </row>
    <row r="52" spans="1:14" ht="13" x14ac:dyDescent="0.3">
      <c r="A52" s="166">
        <f t="shared" si="1"/>
        <v>31</v>
      </c>
      <c r="B52" s="169"/>
      <c r="C52" s="174" t="s">
        <v>155</v>
      </c>
      <c r="H52" s="164" t="s">
        <v>710</v>
      </c>
      <c r="J52" s="173">
        <v>0</v>
      </c>
      <c r="L52" s="173"/>
      <c r="N52" s="173"/>
    </row>
    <row r="53" spans="1:14" ht="13" x14ac:dyDescent="0.3">
      <c r="A53" s="166">
        <f t="shared" si="1"/>
        <v>32</v>
      </c>
      <c r="B53" s="169"/>
      <c r="C53" s="174" t="s">
        <v>156</v>
      </c>
      <c r="H53" s="164" t="s">
        <v>711</v>
      </c>
      <c r="J53" s="173">
        <v>66056888.527829707</v>
      </c>
      <c r="L53" s="173"/>
      <c r="N53" s="173"/>
    </row>
    <row r="54" spans="1:14" ht="13" x14ac:dyDescent="0.3">
      <c r="A54" s="166">
        <f t="shared" si="1"/>
        <v>33</v>
      </c>
      <c r="B54" s="169"/>
      <c r="C54" s="164" t="s">
        <v>157</v>
      </c>
      <c r="G54" s="174"/>
      <c r="H54" s="164" t="s">
        <v>712</v>
      </c>
      <c r="J54" s="173">
        <v>-54094032.244774804</v>
      </c>
      <c r="L54" s="173"/>
      <c r="N54" s="173"/>
    </row>
    <row r="55" spans="1:14" ht="13" x14ac:dyDescent="0.3">
      <c r="A55" s="166">
        <f t="shared" si="1"/>
        <v>34</v>
      </c>
      <c r="B55" s="169"/>
      <c r="C55" s="164" t="s">
        <v>158</v>
      </c>
      <c r="H55" s="164" t="str">
        <f>"Line "&amp;A34&amp;""</f>
        <v>Line 20</v>
      </c>
      <c r="J55" s="173">
        <f>J34</f>
        <v>471155656.16476303</v>
      </c>
      <c r="L55" s="173"/>
      <c r="N55" s="173"/>
    </row>
    <row r="56" spans="1:14" ht="13" x14ac:dyDescent="0.3">
      <c r="A56" s="166">
        <f t="shared" si="1"/>
        <v>35</v>
      </c>
      <c r="B56" s="169"/>
      <c r="C56" s="164" t="s">
        <v>159</v>
      </c>
      <c r="H56" s="164" t="str">
        <f>"Line "&amp;A38&amp;""</f>
        <v>Line 21</v>
      </c>
      <c r="J56" s="182">
        <f>J38</f>
        <v>117312375.63981014</v>
      </c>
      <c r="L56" s="173"/>
      <c r="N56" s="173"/>
    </row>
    <row r="57" spans="1:14" ht="13" x14ac:dyDescent="0.3">
      <c r="A57" s="166">
        <f t="shared" si="1"/>
        <v>36</v>
      </c>
      <c r="B57" s="169"/>
      <c r="C57" s="174" t="s">
        <v>160</v>
      </c>
      <c r="H57" s="164" t="s">
        <v>713</v>
      </c>
      <c r="J57" s="182">
        <v>0</v>
      </c>
      <c r="L57" s="173"/>
      <c r="N57" s="173"/>
    </row>
    <row r="58" spans="1:14" ht="13" x14ac:dyDescent="0.3">
      <c r="A58" s="166">
        <f t="shared" si="1"/>
        <v>37</v>
      </c>
      <c r="B58" s="169"/>
      <c r="C58" s="48" t="s">
        <v>161</v>
      </c>
      <c r="D58" s="48"/>
      <c r="H58" s="164" t="s">
        <v>714</v>
      </c>
      <c r="J58" s="177">
        <v>0</v>
      </c>
      <c r="L58" s="173"/>
      <c r="N58" s="173"/>
    </row>
    <row r="59" spans="1:14" ht="13" x14ac:dyDescent="0.3">
      <c r="A59" s="166">
        <f t="shared" si="1"/>
        <v>38</v>
      </c>
      <c r="B59" s="169"/>
      <c r="C59" s="174" t="s">
        <v>162</v>
      </c>
      <c r="H59" s="164" t="str">
        <f>"Sum Line "&amp;A48&amp;" to Line "&amp;A58&amp;""</f>
        <v>Sum Line 27 to Line 37</v>
      </c>
      <c r="J59" s="173">
        <f>SUM(J48:J58)</f>
        <v>1052310227.9783509</v>
      </c>
      <c r="L59" s="173"/>
      <c r="N59" s="173"/>
    </row>
    <row r="60" spans="1:14" ht="13" x14ac:dyDescent="0.3">
      <c r="A60" s="166"/>
      <c r="B60" s="169"/>
      <c r="J60" s="173"/>
      <c r="L60" s="173"/>
      <c r="N60" s="173"/>
    </row>
    <row r="61" spans="1:14" ht="12.75" customHeight="1" x14ac:dyDescent="0.3">
      <c r="A61" s="166">
        <f>A59+1</f>
        <v>39</v>
      </c>
      <c r="B61" s="169"/>
      <c r="C61" s="174" t="s">
        <v>163</v>
      </c>
      <c r="H61" s="164" t="s">
        <v>736</v>
      </c>
      <c r="J61" s="173">
        <v>26714525.602631234</v>
      </c>
      <c r="L61" s="173"/>
      <c r="N61" s="173"/>
    </row>
    <row r="62" spans="1:14" ht="12.75" customHeight="1" x14ac:dyDescent="0.3">
      <c r="A62" s="166" t="s">
        <v>164</v>
      </c>
      <c r="B62" s="169"/>
      <c r="C62" s="174" t="s">
        <v>165</v>
      </c>
      <c r="H62" s="174" t="s">
        <v>166</v>
      </c>
      <c r="J62" s="173">
        <f>-J61</f>
        <v>-26714525.602631234</v>
      </c>
      <c r="L62" s="173"/>
      <c r="N62" s="173"/>
    </row>
    <row r="63" spans="1:14" ht="13" x14ac:dyDescent="0.3">
      <c r="A63" s="166"/>
      <c r="B63" s="169"/>
      <c r="C63" s="174"/>
      <c r="J63" s="173"/>
      <c r="L63" s="173"/>
      <c r="N63" s="173"/>
    </row>
    <row r="64" spans="1:14" ht="13" x14ac:dyDescent="0.3">
      <c r="A64" s="166">
        <f>A61+1</f>
        <v>40</v>
      </c>
      <c r="B64" s="169"/>
      <c r="C64" s="174" t="s">
        <v>167</v>
      </c>
      <c r="H64" s="164" t="str">
        <f>"Sum of Lines "&amp;A59&amp;" to "&amp;A62&amp;""</f>
        <v>Sum of Lines 38 to 39a</v>
      </c>
      <c r="J64" s="173">
        <f>J59+J61+J62</f>
        <v>1052310227.978351</v>
      </c>
      <c r="L64" s="173"/>
      <c r="N64" s="173"/>
    </row>
    <row r="65" spans="1:14" ht="13" x14ac:dyDescent="0.3">
      <c r="A65" s="166"/>
      <c r="B65" s="169"/>
      <c r="C65" s="174"/>
      <c r="J65" s="173"/>
    </row>
    <row r="66" spans="1:14" ht="13" x14ac:dyDescent="0.3">
      <c r="A66" s="166"/>
      <c r="B66" s="165" t="s">
        <v>169</v>
      </c>
      <c r="C66" s="174"/>
      <c r="J66" s="173"/>
      <c r="N66" s="166"/>
    </row>
    <row r="67" spans="1:14" ht="13.5" thickBot="1" x14ac:dyDescent="0.35">
      <c r="A67" s="168" t="s">
        <v>108</v>
      </c>
      <c r="B67" s="179"/>
      <c r="G67" s="170" t="s">
        <v>170</v>
      </c>
      <c r="N67" s="171"/>
    </row>
    <row r="68" spans="1:14" ht="13" x14ac:dyDescent="0.3">
      <c r="A68" s="166">
        <f>A64+1</f>
        <v>41</v>
      </c>
      <c r="B68" s="179"/>
      <c r="D68" s="183" t="s">
        <v>171</v>
      </c>
      <c r="E68" s="173">
        <f>J64</f>
        <v>1052310227.978351</v>
      </c>
      <c r="G68" s="164" t="str">
        <f>"Line "&amp;A64&amp;""</f>
        <v>Line 40</v>
      </c>
      <c r="J68" s="184" t="s">
        <v>172</v>
      </c>
      <c r="L68" s="173"/>
      <c r="N68" s="173"/>
    </row>
    <row r="69" spans="1:14" ht="13" x14ac:dyDescent="0.3">
      <c r="A69" s="166">
        <f>A68+1</f>
        <v>42</v>
      </c>
      <c r="B69" s="179"/>
      <c r="D69" s="183" t="s">
        <v>173</v>
      </c>
      <c r="E69" s="185">
        <v>9.2480778683301876E-3</v>
      </c>
      <c r="G69" s="164" t="s">
        <v>738</v>
      </c>
      <c r="J69" s="186" t="s">
        <v>174</v>
      </c>
      <c r="L69" s="181"/>
      <c r="N69" s="181"/>
    </row>
    <row r="70" spans="1:14" ht="13" x14ac:dyDescent="0.3">
      <c r="A70" s="166">
        <f>A69+1</f>
        <v>43</v>
      </c>
      <c r="B70" s="179"/>
      <c r="D70" s="187" t="s">
        <v>175</v>
      </c>
      <c r="E70" s="173">
        <f>E68*E69</f>
        <v>9731846.9299840815</v>
      </c>
      <c r="G70" s="164" t="str">
        <f>"Line "&amp;A68&amp;" * Line "&amp;A69&amp;""</f>
        <v>Line 41 * Line 42</v>
      </c>
      <c r="J70" s="188">
        <f>E73</f>
        <v>1064287712.9169666</v>
      </c>
      <c r="L70" s="173"/>
      <c r="N70" s="173"/>
    </row>
    <row r="71" spans="1:14" ht="13" x14ac:dyDescent="0.3">
      <c r="A71" s="166">
        <f>A70+1</f>
        <v>44</v>
      </c>
      <c r="B71" s="179"/>
      <c r="D71" s="183" t="s">
        <v>176</v>
      </c>
      <c r="E71" s="185">
        <v>2.134007585335019E-3</v>
      </c>
      <c r="G71" s="164" t="s">
        <v>738</v>
      </c>
      <c r="J71" s="189">
        <v>1045038533.2814256</v>
      </c>
      <c r="L71" s="181" t="s">
        <v>683</v>
      </c>
      <c r="N71" s="181"/>
    </row>
    <row r="72" spans="1:14" ht="13.5" thickBot="1" x14ac:dyDescent="0.35">
      <c r="A72" s="166">
        <f>A71+1</f>
        <v>45</v>
      </c>
      <c r="B72" s="179"/>
      <c r="D72" s="183" t="s">
        <v>177</v>
      </c>
      <c r="E72" s="173">
        <f>E68*E71</f>
        <v>2245638.008631424</v>
      </c>
      <c r="G72" s="164" t="str">
        <f>"Line "&amp;A68&amp;" * Line "&amp;A71&amp;""</f>
        <v>Line 41 * Line 44</v>
      </c>
      <c r="J72" s="190">
        <f>J70-J71</f>
        <v>19249179.635540962</v>
      </c>
      <c r="L72" s="173"/>
      <c r="N72" s="173"/>
    </row>
    <row r="73" spans="1:14" ht="13" x14ac:dyDescent="0.3">
      <c r="A73" s="166">
        <f>A72+1</f>
        <v>46</v>
      </c>
      <c r="B73" s="179"/>
      <c r="D73" s="183" t="s">
        <v>178</v>
      </c>
      <c r="E73" s="173">
        <f>E68+E70+E72</f>
        <v>1064287712.9169666</v>
      </c>
      <c r="G73" s="164" t="str">
        <f>"L "&amp;A68&amp;" + L "&amp;A70&amp;" + L "&amp;A72&amp;""</f>
        <v>L 41 + L 43 + L 45</v>
      </c>
      <c r="L73" s="173"/>
      <c r="N73" s="173"/>
    </row>
    <row r="74" spans="1:14" ht="13" x14ac:dyDescent="0.3">
      <c r="B74" s="165" t="s">
        <v>179</v>
      </c>
      <c r="D74" s="187"/>
      <c r="E74" s="173"/>
      <c r="H74" s="50"/>
    </row>
    <row r="75" spans="1:14" ht="13" x14ac:dyDescent="0.3">
      <c r="A75" s="166"/>
      <c r="B75" s="174" t="s">
        <v>180</v>
      </c>
      <c r="C75" s="165"/>
      <c r="D75" s="187"/>
      <c r="E75" s="173"/>
    </row>
    <row r="76" spans="1:14" ht="13" x14ac:dyDescent="0.3">
      <c r="A76" s="166"/>
      <c r="B76" s="174" t="s">
        <v>181</v>
      </c>
      <c r="C76" s="165"/>
      <c r="D76" s="187"/>
      <c r="E76" s="173"/>
    </row>
    <row r="77" spans="1:14" ht="13" x14ac:dyDescent="0.3">
      <c r="A77" s="166"/>
      <c r="B77" s="172" t="s">
        <v>182</v>
      </c>
      <c r="C77" s="174"/>
      <c r="D77" s="187"/>
      <c r="E77" s="173"/>
    </row>
    <row r="78" spans="1:14" ht="13" x14ac:dyDescent="0.3">
      <c r="A78" s="166"/>
      <c r="B78" s="172" t="s">
        <v>183</v>
      </c>
      <c r="D78" s="187"/>
      <c r="E78" s="173"/>
    </row>
    <row r="79" spans="1:14" ht="13" x14ac:dyDescent="0.3">
      <c r="A79" s="166"/>
    </row>
    <row r="80" spans="1:14" ht="13" x14ac:dyDescent="0.3">
      <c r="A80" s="166"/>
      <c r="B80" s="174" t="s">
        <v>184</v>
      </c>
    </row>
    <row r="81" spans="1:12" ht="13" x14ac:dyDescent="0.3">
      <c r="A81" s="166"/>
      <c r="B81" s="174"/>
      <c r="C81" s="174" t="s">
        <v>185</v>
      </c>
    </row>
    <row r="82" spans="1:12" ht="13" x14ac:dyDescent="0.3">
      <c r="A82" s="166"/>
      <c r="B82" s="174"/>
      <c r="J82" s="166" t="s">
        <v>186</v>
      </c>
    </row>
    <row r="83" spans="1:12" ht="13" x14ac:dyDescent="0.3">
      <c r="A83" s="166"/>
      <c r="E83" s="171" t="s">
        <v>187</v>
      </c>
      <c r="F83" s="170" t="s">
        <v>170</v>
      </c>
      <c r="G83" s="171" t="s">
        <v>188</v>
      </c>
      <c r="H83" s="171" t="s">
        <v>189</v>
      </c>
      <c r="J83" s="171" t="s">
        <v>190</v>
      </c>
    </row>
    <row r="84" spans="1:12" ht="13" x14ac:dyDescent="0.3">
      <c r="B84" s="191" t="s">
        <v>191</v>
      </c>
      <c r="C84" s="174" t="s">
        <v>192</v>
      </c>
      <c r="E84" s="192">
        <v>0.10299999999999999</v>
      </c>
      <c r="F84" s="174" t="s">
        <v>193</v>
      </c>
      <c r="G84" s="193">
        <v>43781</v>
      </c>
      <c r="H84" s="193">
        <v>43830</v>
      </c>
      <c r="I84" s="174"/>
      <c r="J84" s="194">
        <v>50</v>
      </c>
      <c r="K84" s="174"/>
      <c r="L84" s="174"/>
    </row>
    <row r="85" spans="1:12" ht="13" x14ac:dyDescent="0.3">
      <c r="B85" s="191" t="s">
        <v>194</v>
      </c>
      <c r="C85" s="174" t="s">
        <v>195</v>
      </c>
      <c r="E85" s="192">
        <v>0.112</v>
      </c>
      <c r="F85" s="174" t="s">
        <v>196</v>
      </c>
      <c r="G85" s="193">
        <v>43466</v>
      </c>
      <c r="H85" s="193">
        <v>43780</v>
      </c>
      <c r="I85" s="174"/>
      <c r="J85" s="194">
        <v>315</v>
      </c>
      <c r="K85" s="174"/>
      <c r="L85" s="174"/>
    </row>
    <row r="86" spans="1:12" ht="13" x14ac:dyDescent="0.3">
      <c r="B86" s="191" t="s">
        <v>197</v>
      </c>
      <c r="C86" s="174"/>
      <c r="E86" s="195"/>
      <c r="F86" s="174"/>
      <c r="G86" s="196"/>
      <c r="H86" s="196"/>
      <c r="I86" s="183" t="s">
        <v>198</v>
      </c>
      <c r="J86" s="174">
        <f>SUM(J84:J85)</f>
        <v>365</v>
      </c>
      <c r="K86" s="174"/>
      <c r="L86" s="174"/>
    </row>
    <row r="87" spans="1:12" ht="13" x14ac:dyDescent="0.3">
      <c r="B87" s="191" t="s">
        <v>199</v>
      </c>
      <c r="C87" s="174" t="s">
        <v>200</v>
      </c>
      <c r="E87" s="197">
        <f>((E84*J84) + (E85* J85)) / J86</f>
        <v>0.11076712328767123</v>
      </c>
      <c r="F87" s="174" t="s">
        <v>201</v>
      </c>
      <c r="H87" s="174"/>
      <c r="I87" s="174"/>
      <c r="J87" s="174"/>
      <c r="K87" s="174"/>
      <c r="L87" s="174"/>
    </row>
    <row r="88" spans="1:12" ht="13" x14ac:dyDescent="0.3">
      <c r="A88" s="166"/>
      <c r="B88" s="174"/>
      <c r="H88" s="174"/>
      <c r="I88" s="174"/>
      <c r="J88" s="174"/>
      <c r="K88" s="174"/>
      <c r="L88" s="174"/>
    </row>
    <row r="89" spans="1:12" ht="13" x14ac:dyDescent="0.3">
      <c r="A89" s="166"/>
      <c r="B89" s="174" t="s">
        <v>202</v>
      </c>
      <c r="H89" s="174"/>
      <c r="I89" s="174"/>
      <c r="J89" s="174"/>
      <c r="K89" s="174"/>
      <c r="L89" s="174"/>
    </row>
    <row r="90" spans="1:12" ht="13" x14ac:dyDescent="0.3">
      <c r="A90" s="166"/>
      <c r="B90" s="174"/>
      <c r="E90" s="170" t="s">
        <v>170</v>
      </c>
      <c r="H90" s="174"/>
      <c r="I90" s="174"/>
      <c r="J90" s="174"/>
      <c r="K90" s="174"/>
      <c r="L90" s="174"/>
    </row>
    <row r="91" spans="1:12" ht="13" x14ac:dyDescent="0.3">
      <c r="B91" s="191" t="s">
        <v>203</v>
      </c>
      <c r="C91" s="174" t="s">
        <v>204</v>
      </c>
      <c r="E91" s="198" t="s">
        <v>205</v>
      </c>
      <c r="F91" s="199"/>
      <c r="G91" s="199"/>
      <c r="H91" s="194"/>
      <c r="I91" s="194"/>
      <c r="J91" s="194"/>
      <c r="K91" s="174"/>
      <c r="L91" s="174"/>
    </row>
    <row r="92" spans="1:12" ht="13" x14ac:dyDescent="0.3">
      <c r="B92" s="191" t="s">
        <v>206</v>
      </c>
      <c r="C92" s="174" t="s">
        <v>207</v>
      </c>
      <c r="E92" s="198" t="s">
        <v>208</v>
      </c>
      <c r="F92" s="199"/>
      <c r="G92" s="199"/>
      <c r="H92" s="194"/>
      <c r="I92" s="194"/>
      <c r="J92" s="194"/>
      <c r="K92" s="174"/>
      <c r="L92" s="174"/>
    </row>
    <row r="93" spans="1:12" x14ac:dyDescent="0.25">
      <c r="C93" s="174"/>
      <c r="E93" s="196"/>
      <c r="I93" s="174"/>
      <c r="J93" s="174"/>
      <c r="K93" s="174"/>
      <c r="L93" s="174"/>
    </row>
    <row r="94" spans="1:12" ht="13" x14ac:dyDescent="0.3">
      <c r="E94" s="171" t="s">
        <v>187</v>
      </c>
      <c r="F94" s="170" t="s">
        <v>170</v>
      </c>
      <c r="H94" s="174"/>
      <c r="I94" s="174"/>
    </row>
    <row r="95" spans="1:12" ht="13" x14ac:dyDescent="0.3">
      <c r="B95" s="191" t="s">
        <v>209</v>
      </c>
      <c r="C95" s="174" t="s">
        <v>210</v>
      </c>
      <c r="D95" s="174"/>
      <c r="E95" s="181">
        <v>2.0620659931938897E-2</v>
      </c>
      <c r="F95" s="164" t="s">
        <v>715</v>
      </c>
      <c r="H95" s="174"/>
      <c r="I95" s="174"/>
    </row>
    <row r="96" spans="1:12" ht="13" x14ac:dyDescent="0.3">
      <c r="B96" s="191" t="s">
        <v>211</v>
      </c>
      <c r="C96" s="174" t="s">
        <v>212</v>
      </c>
      <c r="E96" s="181">
        <v>4.1782699103187805E-3</v>
      </c>
      <c r="F96" s="164" t="s">
        <v>716</v>
      </c>
      <c r="H96" s="174"/>
      <c r="I96" s="174"/>
    </row>
    <row r="97" spans="1:10" ht="13" x14ac:dyDescent="0.3">
      <c r="B97" s="191" t="s">
        <v>213</v>
      </c>
      <c r="C97" s="174" t="s">
        <v>214</v>
      </c>
      <c r="E97" s="200">
        <v>5.2614383561643829E-2</v>
      </c>
      <c r="F97" s="164" t="s">
        <v>717</v>
      </c>
      <c r="G97" s="174"/>
      <c r="H97" s="174"/>
    </row>
    <row r="98" spans="1:10" ht="13" x14ac:dyDescent="0.3">
      <c r="B98" s="166" t="s">
        <v>215</v>
      </c>
      <c r="C98" s="176" t="s">
        <v>138</v>
      </c>
      <c r="E98" s="180">
        <f>SUM(E95:E97)</f>
        <v>7.7413313403901507E-2</v>
      </c>
      <c r="F98" s="173" t="str">
        <f>"Sum of Lines "&amp;B95&amp;" to "&amp;B97&amp;""</f>
        <v>Sum of Lines g to i</v>
      </c>
      <c r="G98" s="201"/>
      <c r="J98" s="202"/>
    </row>
    <row r="99" spans="1:10" ht="13" x14ac:dyDescent="0.3">
      <c r="A99" s="166"/>
      <c r="C99" s="45"/>
      <c r="D99" s="51"/>
      <c r="E99" s="173"/>
      <c r="F99" s="173"/>
      <c r="G99" s="201"/>
      <c r="H99" s="173"/>
      <c r="J99" s="202"/>
    </row>
    <row r="100" spans="1:10" ht="13" x14ac:dyDescent="0.3">
      <c r="A100" s="166"/>
      <c r="B100" s="174" t="s">
        <v>216</v>
      </c>
    </row>
    <row r="101" spans="1:10" ht="13" x14ac:dyDescent="0.3">
      <c r="A101" s="166"/>
    </row>
    <row r="102" spans="1:10" ht="13" x14ac:dyDescent="0.3">
      <c r="A102" s="166"/>
      <c r="E102" s="171" t="s">
        <v>187</v>
      </c>
      <c r="F102" s="170" t="s">
        <v>170</v>
      </c>
    </row>
    <row r="103" spans="1:10" ht="13" x14ac:dyDescent="0.3">
      <c r="B103" s="191" t="s">
        <v>217</v>
      </c>
      <c r="E103" s="181">
        <f>E96+E97</f>
        <v>5.6792653471962606E-2</v>
      </c>
      <c r="F103" s="173" t="str">
        <f>"Sum of Lines "&amp;B96&amp;" to "&amp;B97&amp;""</f>
        <v>Sum of Lines h to i</v>
      </c>
    </row>
    <row r="104" spans="1:10" ht="13" x14ac:dyDescent="0.3">
      <c r="A104" s="166"/>
      <c r="E104" s="181"/>
      <c r="F104" s="173"/>
    </row>
    <row r="105" spans="1:10" ht="13" x14ac:dyDescent="0.3">
      <c r="A105" s="166"/>
      <c r="B105" s="168" t="s">
        <v>87</v>
      </c>
      <c r="E105" s="201"/>
      <c r="F105" s="201"/>
      <c r="G105" s="201"/>
      <c r="H105" s="173"/>
    </row>
    <row r="106" spans="1:10" ht="13" x14ac:dyDescent="0.3">
      <c r="A106" s="166"/>
      <c r="B106" s="174" t="s">
        <v>218</v>
      </c>
    </row>
    <row r="107" spans="1:10" ht="13" x14ac:dyDescent="0.3">
      <c r="A107" s="166"/>
      <c r="B107" s="176" t="s">
        <v>663</v>
      </c>
      <c r="D107" s="166"/>
      <c r="E107" s="166"/>
      <c r="F107" s="166"/>
      <c r="G107" s="166"/>
      <c r="H107" s="166"/>
    </row>
    <row r="108" spans="1:10" ht="13" x14ac:dyDescent="0.3">
      <c r="A108" s="166"/>
      <c r="B108" s="172"/>
      <c r="D108" s="166"/>
      <c r="E108" s="166"/>
      <c r="F108" s="166"/>
      <c r="G108" s="166"/>
      <c r="H108" s="166"/>
    </row>
    <row r="109" spans="1:10" ht="13" x14ac:dyDescent="0.3">
      <c r="A109" s="166"/>
      <c r="C109" s="44"/>
      <c r="D109" s="44"/>
      <c r="E109" s="171"/>
      <c r="F109" s="171"/>
      <c r="G109" s="171"/>
      <c r="H109" s="171"/>
    </row>
    <row r="110" spans="1:10" ht="13" x14ac:dyDescent="0.3">
      <c r="A110" s="166"/>
    </row>
    <row r="111" spans="1:10" ht="13" x14ac:dyDescent="0.3">
      <c r="A111" s="166"/>
    </row>
    <row r="112" spans="1:10" ht="13" x14ac:dyDescent="0.3">
      <c r="A112" s="166"/>
    </row>
    <row r="113" spans="1:10" ht="13" x14ac:dyDescent="0.3">
      <c r="A113" s="166"/>
      <c r="C113" s="45"/>
      <c r="E113" s="173"/>
      <c r="F113" s="173"/>
      <c r="H113" s="173"/>
      <c r="J113" s="202"/>
    </row>
    <row r="114" spans="1:10" ht="13" x14ac:dyDescent="0.3">
      <c r="A114" s="166"/>
      <c r="C114" s="45"/>
      <c r="E114" s="173"/>
      <c r="F114" s="173"/>
      <c r="H114" s="173"/>
      <c r="J114" s="202"/>
    </row>
    <row r="115" spans="1:10" ht="13" x14ac:dyDescent="0.3">
      <c r="A115" s="168"/>
      <c r="C115" s="45"/>
      <c r="E115" s="173"/>
      <c r="F115" s="173"/>
      <c r="H115" s="173"/>
      <c r="J115" s="202"/>
    </row>
    <row r="116" spans="1:10" ht="13" x14ac:dyDescent="0.3">
      <c r="A116" s="166"/>
      <c r="D116" s="49"/>
      <c r="E116" s="173"/>
      <c r="F116" s="173"/>
      <c r="G116" s="174"/>
      <c r="H116" s="173"/>
      <c r="J116" s="202"/>
    </row>
    <row r="117" spans="1:10" ht="13" x14ac:dyDescent="0.3">
      <c r="A117" s="166"/>
      <c r="C117" s="45"/>
      <c r="D117" s="183"/>
      <c r="E117" s="177"/>
      <c r="F117" s="173"/>
      <c r="G117" s="174"/>
      <c r="H117" s="173"/>
      <c r="J117" s="202"/>
    </row>
    <row r="118" spans="1:10" ht="13" x14ac:dyDescent="0.3">
      <c r="A118" s="166"/>
      <c r="C118" s="45"/>
      <c r="D118" s="183"/>
      <c r="E118" s="173"/>
      <c r="F118" s="173"/>
      <c r="G118" s="174"/>
      <c r="H118" s="173"/>
      <c r="J118" s="202"/>
    </row>
    <row r="119" spans="1:10" ht="13" x14ac:dyDescent="0.3">
      <c r="A119" s="166"/>
    </row>
    <row r="120" spans="1:10" ht="13" x14ac:dyDescent="0.3">
      <c r="A120" s="166"/>
      <c r="B120" s="163"/>
    </row>
    <row r="121" spans="1:10" ht="13" x14ac:dyDescent="0.3">
      <c r="A121" s="166"/>
    </row>
    <row r="122" spans="1:10" ht="13" x14ac:dyDescent="0.3">
      <c r="A122" s="166"/>
    </row>
    <row r="123" spans="1:10" ht="13" x14ac:dyDescent="0.3">
      <c r="A123" s="166"/>
      <c r="F123" s="166"/>
    </row>
    <row r="124" spans="1:10" ht="13" x14ac:dyDescent="0.3">
      <c r="A124" s="166"/>
      <c r="F124" s="166"/>
    </row>
    <row r="125" spans="1:10" ht="13" x14ac:dyDescent="0.3">
      <c r="A125" s="166"/>
      <c r="D125" s="166"/>
      <c r="E125" s="166"/>
      <c r="F125" s="166"/>
      <c r="H125" s="166"/>
    </row>
    <row r="126" spans="1:10" ht="13" x14ac:dyDescent="0.3">
      <c r="A126" s="166"/>
      <c r="D126" s="166"/>
      <c r="E126" s="166"/>
      <c r="F126" s="166"/>
      <c r="G126" s="166"/>
      <c r="H126" s="191"/>
    </row>
    <row r="127" spans="1:10" ht="13" x14ac:dyDescent="0.3">
      <c r="A127" s="168"/>
      <c r="C127" s="44"/>
      <c r="D127" s="44"/>
      <c r="E127" s="171"/>
      <c r="F127" s="203"/>
      <c r="G127" s="171"/>
      <c r="H127" s="191"/>
    </row>
    <row r="128" spans="1:10" ht="13" x14ac:dyDescent="0.3">
      <c r="A128" s="166"/>
      <c r="C128" s="45"/>
      <c r="D128" s="51"/>
      <c r="E128" s="173"/>
      <c r="F128" s="173"/>
      <c r="G128" s="197"/>
      <c r="H128" s="173"/>
    </row>
    <row r="129" spans="1:8" ht="13" x14ac:dyDescent="0.3">
      <c r="A129" s="166"/>
      <c r="C129" s="45"/>
      <c r="D129" s="51"/>
      <c r="E129" s="173"/>
      <c r="F129" s="173"/>
      <c r="G129" s="197"/>
      <c r="H129" s="173"/>
    </row>
    <row r="130" spans="1:8" ht="13" x14ac:dyDescent="0.3">
      <c r="A130" s="166"/>
      <c r="C130" s="45"/>
      <c r="D130" s="51"/>
      <c r="E130" s="173"/>
      <c r="F130" s="173"/>
      <c r="G130" s="197"/>
      <c r="H130" s="173"/>
    </row>
    <row r="131" spans="1:8" ht="13" x14ac:dyDescent="0.3">
      <c r="A131" s="166"/>
      <c r="C131" s="45"/>
      <c r="D131" s="51"/>
      <c r="E131" s="173"/>
      <c r="F131" s="173"/>
      <c r="G131" s="197"/>
      <c r="H131" s="173"/>
    </row>
    <row r="132" spans="1:8" ht="13" x14ac:dyDescent="0.3">
      <c r="A132" s="166"/>
      <c r="C132" s="45"/>
      <c r="D132" s="51"/>
      <c r="E132" s="173"/>
      <c r="F132" s="173"/>
      <c r="G132" s="197"/>
      <c r="H132" s="173"/>
    </row>
    <row r="133" spans="1:8" ht="13" x14ac:dyDescent="0.3">
      <c r="A133" s="166"/>
      <c r="C133" s="45"/>
      <c r="D133" s="51"/>
      <c r="E133" s="173"/>
      <c r="F133" s="173"/>
      <c r="G133" s="197"/>
      <c r="H133" s="173"/>
    </row>
    <row r="134" spans="1:8" ht="13" x14ac:dyDescent="0.3">
      <c r="A134" s="166"/>
      <c r="C134" s="45"/>
      <c r="D134" s="51"/>
      <c r="E134" s="173"/>
      <c r="F134" s="173"/>
      <c r="G134" s="197"/>
      <c r="H134" s="173"/>
    </row>
    <row r="135" spans="1:8" ht="13" x14ac:dyDescent="0.3">
      <c r="A135" s="166"/>
      <c r="C135" s="45"/>
      <c r="D135" s="51"/>
      <c r="E135" s="173"/>
      <c r="F135" s="173"/>
      <c r="G135" s="197"/>
      <c r="H135" s="173"/>
    </row>
    <row r="136" spans="1:8" ht="13" x14ac:dyDescent="0.3">
      <c r="A136" s="166"/>
      <c r="C136" s="45"/>
      <c r="D136" s="51"/>
      <c r="E136" s="173"/>
      <c r="F136" s="173"/>
      <c r="G136" s="197"/>
      <c r="H136" s="173"/>
    </row>
    <row r="137" spans="1:8" ht="13" x14ac:dyDescent="0.3">
      <c r="A137" s="166"/>
      <c r="C137" s="45"/>
      <c r="D137" s="51"/>
      <c r="E137" s="173"/>
      <c r="F137" s="173"/>
      <c r="G137" s="197"/>
      <c r="H137" s="173"/>
    </row>
    <row r="138" spans="1:8" ht="13" x14ac:dyDescent="0.3">
      <c r="A138" s="166"/>
      <c r="C138" s="45"/>
      <c r="D138" s="51"/>
      <c r="E138" s="173"/>
      <c r="F138" s="173"/>
      <c r="G138" s="197"/>
      <c r="H138" s="173"/>
    </row>
    <row r="139" spans="1:8" ht="13" x14ac:dyDescent="0.3">
      <c r="A139" s="166"/>
      <c r="C139" s="45"/>
      <c r="D139" s="51"/>
      <c r="E139" s="173"/>
      <c r="F139" s="173"/>
      <c r="G139" s="197"/>
      <c r="H139" s="177"/>
    </row>
    <row r="140" spans="1:8" ht="13" x14ac:dyDescent="0.3">
      <c r="A140" s="166"/>
      <c r="H140" s="173"/>
    </row>
    <row r="141" spans="1:8" ht="13" x14ac:dyDescent="0.3">
      <c r="A141" s="166"/>
      <c r="C141" s="45"/>
      <c r="D141" s="51"/>
      <c r="F141" s="204"/>
      <c r="G141" s="197"/>
      <c r="H141" s="204"/>
    </row>
    <row r="142" spans="1:8" ht="13" x14ac:dyDescent="0.3">
      <c r="A142" s="166"/>
      <c r="B142" s="163"/>
      <c r="C142" s="45"/>
      <c r="D142" s="51"/>
      <c r="F142" s="204"/>
      <c r="G142" s="197"/>
      <c r="H142" s="204"/>
    </row>
    <row r="143" spans="1:8" ht="13" x14ac:dyDescent="0.3">
      <c r="A143" s="168"/>
      <c r="B143" s="163"/>
      <c r="C143" s="45"/>
      <c r="D143" s="51"/>
      <c r="F143" s="204"/>
      <c r="G143" s="197"/>
      <c r="H143" s="204"/>
    </row>
    <row r="144" spans="1:8" ht="13" x14ac:dyDescent="0.3">
      <c r="A144" s="166"/>
      <c r="C144" s="45"/>
      <c r="D144" s="52"/>
      <c r="E144" s="173"/>
      <c r="F144" s="205"/>
      <c r="G144" s="197"/>
      <c r="H144" s="204"/>
    </row>
    <row r="145" spans="1:8" ht="13" x14ac:dyDescent="0.3">
      <c r="A145" s="166"/>
      <c r="C145" s="45"/>
      <c r="D145" s="187"/>
      <c r="E145" s="173"/>
      <c r="F145" s="205"/>
      <c r="G145" s="197"/>
      <c r="H145" s="204"/>
    </row>
    <row r="146" spans="1:8" ht="13" x14ac:dyDescent="0.3">
      <c r="A146" s="166"/>
      <c r="C146" s="45"/>
      <c r="D146" s="187"/>
      <c r="E146" s="177"/>
      <c r="F146" s="205"/>
      <c r="G146" s="197"/>
      <c r="H146" s="204"/>
    </row>
    <row r="147" spans="1:8" ht="13" x14ac:dyDescent="0.3">
      <c r="A147" s="166"/>
      <c r="C147" s="45"/>
      <c r="D147" s="52"/>
      <c r="E147" s="173"/>
      <c r="F147" s="204"/>
      <c r="G147" s="197"/>
      <c r="H147" s="204"/>
    </row>
    <row r="148" spans="1:8" ht="13" x14ac:dyDescent="0.3">
      <c r="A148" s="166"/>
      <c r="C148" s="45"/>
      <c r="D148" s="51"/>
      <c r="F148" s="204"/>
      <c r="G148" s="197"/>
      <c r="H148" s="204"/>
    </row>
    <row r="149" spans="1:8" ht="13" x14ac:dyDescent="0.3">
      <c r="A149" s="166"/>
    </row>
    <row r="150" spans="1:8" ht="13" x14ac:dyDescent="0.3">
      <c r="A150" s="166"/>
    </row>
    <row r="151" spans="1:8" ht="13" x14ac:dyDescent="0.3">
      <c r="A151" s="166"/>
    </row>
    <row r="152" spans="1:8" ht="13" x14ac:dyDescent="0.3">
      <c r="A152" s="166"/>
      <c r="B152" s="163"/>
    </row>
    <row r="153" spans="1:8" ht="13" x14ac:dyDescent="0.3">
      <c r="A153" s="166"/>
      <c r="B153" s="174"/>
    </row>
    <row r="154" spans="1:8" ht="13" x14ac:dyDescent="0.3">
      <c r="A154" s="166"/>
      <c r="B154" s="174"/>
    </row>
    <row r="155" spans="1:8" ht="13" x14ac:dyDescent="0.3">
      <c r="A155" s="166"/>
      <c r="B155" s="174"/>
    </row>
    <row r="156" spans="1:8" ht="13" x14ac:dyDescent="0.3">
      <c r="A156" s="166"/>
    </row>
    <row r="157" spans="1:8" ht="13" x14ac:dyDescent="0.3">
      <c r="A157" s="166"/>
      <c r="B157" s="163"/>
    </row>
    <row r="158" spans="1:8" ht="13" x14ac:dyDescent="0.3">
      <c r="A158" s="166"/>
    </row>
    <row r="159" spans="1:8" ht="13" x14ac:dyDescent="0.3">
      <c r="A159" s="168"/>
      <c r="C159" s="44"/>
      <c r="D159" s="171"/>
    </row>
    <row r="160" spans="1:8" ht="13" x14ac:dyDescent="0.3">
      <c r="A160" s="166"/>
      <c r="C160" s="45"/>
      <c r="D160" s="206"/>
      <c r="F160" s="181"/>
    </row>
    <row r="161" spans="1:6" ht="13" x14ac:dyDescent="0.3">
      <c r="A161" s="166"/>
      <c r="C161" s="45"/>
      <c r="D161" s="206"/>
      <c r="F161" s="181"/>
    </row>
    <row r="162" spans="1:6" ht="13" x14ac:dyDescent="0.3">
      <c r="A162" s="166"/>
      <c r="C162" s="45"/>
      <c r="D162" s="206"/>
      <c r="F162" s="181"/>
    </row>
    <row r="163" spans="1:6" ht="13" x14ac:dyDescent="0.3">
      <c r="A163" s="166"/>
      <c r="C163" s="45"/>
      <c r="D163" s="206"/>
      <c r="F163" s="181"/>
    </row>
    <row r="164" spans="1:6" ht="13" x14ac:dyDescent="0.3">
      <c r="A164" s="166"/>
      <c r="C164" s="45"/>
      <c r="D164" s="206"/>
      <c r="F164" s="181"/>
    </row>
    <row r="165" spans="1:6" ht="13" x14ac:dyDescent="0.3">
      <c r="A165" s="166"/>
      <c r="C165" s="45"/>
      <c r="D165" s="206"/>
      <c r="F165" s="181"/>
    </row>
    <row r="166" spans="1:6" ht="13" x14ac:dyDescent="0.3">
      <c r="A166" s="166"/>
      <c r="C166" s="45"/>
      <c r="D166" s="206"/>
      <c r="F166" s="181"/>
    </row>
    <row r="167" spans="1:6" ht="13" x14ac:dyDescent="0.3">
      <c r="A167" s="166"/>
      <c r="C167" s="45"/>
      <c r="D167" s="206"/>
      <c r="F167" s="181"/>
    </row>
    <row r="168" spans="1:6" ht="13" x14ac:dyDescent="0.3">
      <c r="A168" s="166"/>
      <c r="C168" s="45"/>
      <c r="D168" s="206"/>
      <c r="F168" s="181"/>
    </row>
    <row r="169" spans="1:6" ht="13" x14ac:dyDescent="0.3">
      <c r="A169" s="166"/>
      <c r="C169" s="45"/>
      <c r="D169" s="206"/>
      <c r="F169" s="181"/>
    </row>
    <row r="170" spans="1:6" ht="13" x14ac:dyDescent="0.3">
      <c r="A170" s="166"/>
      <c r="C170" s="45"/>
      <c r="D170" s="206"/>
      <c r="F170" s="181"/>
    </row>
    <row r="171" spans="1:6" ht="13" x14ac:dyDescent="0.3">
      <c r="A171" s="166"/>
      <c r="C171" s="45"/>
      <c r="D171" s="207"/>
      <c r="F171" s="200"/>
    </row>
    <row r="172" spans="1:6" ht="13" x14ac:dyDescent="0.3">
      <c r="A172" s="166"/>
      <c r="C172" s="49"/>
      <c r="D172" s="206"/>
    </row>
  </sheetData>
  <pageMargins left="0.75" right="0.75" top="1" bottom="1" header="0.5" footer="0.5"/>
  <pageSetup scale="80" orientation="landscape" cellComments="asDisplayed" r:id="rId1"/>
  <headerFooter alignWithMargins="0">
    <oddHeader xml:space="preserve">&amp;CSchedule 4
True Up TRR
(TO2021 EDIT Amortization Adj)&amp;RTO2021 Draft Annual Update
Attachment 4
WP-Schedule 3-One Time Adjustment Transition
Page &amp;P of &amp;N
</oddHeader>
    <oddFooter>&amp;R&amp;A</oddFooter>
  </headerFooter>
  <rowBreaks count="4" manualBreakCount="4">
    <brk id="45" max="16383" man="1"/>
    <brk id="73" max="16383" man="1"/>
    <brk id="119" max="9" man="1"/>
    <brk id="151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85FD6-A012-4C45-8C8D-9B73DECE9A2F}">
  <sheetPr>
    <tabColor rgb="FFCCFFCC"/>
  </sheetPr>
  <dimension ref="A1:O173"/>
  <sheetViews>
    <sheetView zoomScale="80" zoomScaleNormal="80" zoomScalePageLayoutView="85" workbookViewId="0"/>
  </sheetViews>
  <sheetFormatPr defaultRowHeight="12.5" x14ac:dyDescent="0.25"/>
  <cols>
    <col min="1" max="1" width="4.54296875" style="164" customWidth="1"/>
    <col min="2" max="6" width="8.7265625" style="164"/>
    <col min="7" max="7" width="13.54296875" style="164" customWidth="1"/>
    <col min="8" max="8" width="24.54296875" style="164" customWidth="1"/>
    <col min="9" max="9" width="29.453125" style="164" customWidth="1"/>
    <col min="10" max="10" width="2.54296875" style="164" customWidth="1"/>
    <col min="11" max="11" width="21.54296875" style="164" bestFit="1" customWidth="1"/>
    <col min="12" max="12" width="1.54296875" style="164" customWidth="1"/>
    <col min="13" max="13" width="58.453125" style="164" customWidth="1"/>
    <col min="14" max="14" width="22.54296875" style="164" customWidth="1"/>
    <col min="15" max="15" width="12.453125" style="164" bestFit="1" customWidth="1"/>
    <col min="16" max="16384" width="8.7265625" style="164"/>
  </cols>
  <sheetData>
    <row r="1" spans="1:11" ht="13" x14ac:dyDescent="0.3">
      <c r="A1" s="163" t="s">
        <v>220</v>
      </c>
    </row>
    <row r="2" spans="1:11" x14ac:dyDescent="0.25">
      <c r="I2" s="199" t="s">
        <v>221</v>
      </c>
      <c r="J2" s="199"/>
    </row>
    <row r="3" spans="1:11" ht="13" x14ac:dyDescent="0.3">
      <c r="A3" s="163" t="s">
        <v>222</v>
      </c>
    </row>
    <row r="4" spans="1:11" ht="13" x14ac:dyDescent="0.3">
      <c r="H4" s="166"/>
      <c r="I4" s="166" t="s">
        <v>107</v>
      </c>
      <c r="K4" s="208">
        <v>2019</v>
      </c>
    </row>
    <row r="5" spans="1:11" ht="13" x14ac:dyDescent="0.3">
      <c r="A5" s="168" t="s">
        <v>108</v>
      </c>
      <c r="H5" s="171" t="s">
        <v>111</v>
      </c>
      <c r="I5" s="171" t="s">
        <v>112</v>
      </c>
      <c r="K5" s="171" t="s">
        <v>223</v>
      </c>
    </row>
    <row r="7" spans="1:11" ht="13" x14ac:dyDescent="0.3">
      <c r="A7" s="209" t="s">
        <v>224</v>
      </c>
      <c r="B7" s="210"/>
      <c r="C7" s="210"/>
      <c r="D7" s="210"/>
      <c r="E7" s="210"/>
      <c r="F7" s="210"/>
      <c r="G7" s="210"/>
      <c r="H7" s="211"/>
      <c r="I7" s="211"/>
      <c r="J7" s="211"/>
      <c r="K7" s="211"/>
    </row>
    <row r="9" spans="1:11" ht="13" x14ac:dyDescent="0.3">
      <c r="A9" s="166">
        <v>1</v>
      </c>
      <c r="B9" s="172" t="s">
        <v>113</v>
      </c>
      <c r="I9" s="174" t="s">
        <v>690</v>
      </c>
      <c r="K9" s="173">
        <v>9285531120.7645969</v>
      </c>
    </row>
    <row r="10" spans="1:11" ht="13" x14ac:dyDescent="0.3">
      <c r="A10" s="166">
        <f>A9+1</f>
        <v>2</v>
      </c>
      <c r="B10" s="172" t="s">
        <v>225</v>
      </c>
      <c r="I10" s="174" t="s">
        <v>691</v>
      </c>
      <c r="K10" s="173">
        <v>295082246.65901393</v>
      </c>
    </row>
    <row r="11" spans="1:11" ht="13" x14ac:dyDescent="0.3">
      <c r="A11" s="166">
        <f>A10+1</f>
        <v>3</v>
      </c>
      <c r="B11" s="172" t="s">
        <v>117</v>
      </c>
      <c r="I11" s="174" t="s">
        <v>693</v>
      </c>
      <c r="K11" s="173">
        <v>9942155</v>
      </c>
    </row>
    <row r="12" spans="1:11" ht="13" x14ac:dyDescent="0.3">
      <c r="A12" s="166">
        <f>A11+1</f>
        <v>4</v>
      </c>
      <c r="B12" s="172" t="s">
        <v>118</v>
      </c>
      <c r="I12" s="174" t="s">
        <v>696</v>
      </c>
      <c r="K12" s="173">
        <v>0</v>
      </c>
    </row>
    <row r="13" spans="1:11" ht="13" x14ac:dyDescent="0.3">
      <c r="A13" s="166"/>
      <c r="B13" s="172"/>
      <c r="K13" s="173"/>
    </row>
    <row r="14" spans="1:11" ht="13" x14ac:dyDescent="0.3">
      <c r="A14" s="166"/>
      <c r="B14" s="175" t="s">
        <v>226</v>
      </c>
      <c r="K14" s="173"/>
    </row>
    <row r="15" spans="1:11" ht="13" x14ac:dyDescent="0.3">
      <c r="A15" s="166">
        <f>A12+1</f>
        <v>5</v>
      </c>
      <c r="B15" s="176" t="s">
        <v>120</v>
      </c>
      <c r="I15" s="174" t="s">
        <v>700</v>
      </c>
      <c r="K15" s="173">
        <v>23767744.786795456</v>
      </c>
    </row>
    <row r="16" spans="1:11" ht="13" x14ac:dyDescent="0.3">
      <c r="A16" s="166">
        <f>A15+1</f>
        <v>6</v>
      </c>
      <c r="B16" s="169" t="s">
        <v>121</v>
      </c>
      <c r="I16" s="174" t="s">
        <v>701</v>
      </c>
      <c r="K16" s="173">
        <v>14002734.713142229</v>
      </c>
    </row>
    <row r="17" spans="1:11" ht="13" x14ac:dyDescent="0.3">
      <c r="A17" s="166">
        <f>A16+1</f>
        <v>7</v>
      </c>
      <c r="B17" s="176" t="s">
        <v>122</v>
      </c>
      <c r="I17" s="174" t="str">
        <f>"(Line "&amp;A126&amp;" + Line "&amp;A127&amp;") / 8"</f>
        <v>(Line 66 + Line 67) / 8</v>
      </c>
      <c r="K17" s="177">
        <f>(K126+K127)/8</f>
        <v>24081483.480682343</v>
      </c>
    </row>
    <row r="18" spans="1:11" ht="13" x14ac:dyDescent="0.3">
      <c r="A18" s="166">
        <f>A17+1</f>
        <v>8</v>
      </c>
      <c r="B18" s="176" t="s">
        <v>124</v>
      </c>
      <c r="I18" s="174" t="str">
        <f>"Line "&amp;A15&amp;" + Line "&amp;A16&amp;" + Line "&amp;A17&amp;""</f>
        <v>Line 5 + Line 6 + Line 7</v>
      </c>
      <c r="K18" s="173">
        <f>SUM(K15:K17)</f>
        <v>61851962.980620027</v>
      </c>
    </row>
    <row r="19" spans="1:11" ht="13" x14ac:dyDescent="0.3">
      <c r="A19" s="166"/>
      <c r="B19" s="176"/>
      <c r="K19" s="173"/>
    </row>
    <row r="20" spans="1:11" ht="13" x14ac:dyDescent="0.3">
      <c r="A20" s="166"/>
      <c r="B20" s="178" t="s">
        <v>227</v>
      </c>
      <c r="K20" s="173"/>
    </row>
    <row r="21" spans="1:11" ht="13" x14ac:dyDescent="0.3">
      <c r="A21" s="166">
        <f>A18+1</f>
        <v>9</v>
      </c>
      <c r="B21" s="176" t="s">
        <v>228</v>
      </c>
      <c r="H21" s="164" t="s">
        <v>127</v>
      </c>
      <c r="I21" s="174" t="s">
        <v>721</v>
      </c>
      <c r="K21" s="173">
        <v>-1910452318.1000457</v>
      </c>
    </row>
    <row r="22" spans="1:11" ht="13" x14ac:dyDescent="0.3">
      <c r="A22" s="166">
        <f>A21+1</f>
        <v>10</v>
      </c>
      <c r="B22" s="176" t="s">
        <v>229</v>
      </c>
      <c r="H22" s="164" t="s">
        <v>127</v>
      </c>
      <c r="I22" s="174" t="s">
        <v>722</v>
      </c>
      <c r="K22" s="173">
        <v>0</v>
      </c>
    </row>
    <row r="23" spans="1:11" ht="13" x14ac:dyDescent="0.3">
      <c r="A23" s="166">
        <f>A22+1</f>
        <v>11</v>
      </c>
      <c r="B23" s="176" t="s">
        <v>230</v>
      </c>
      <c r="C23" s="47"/>
      <c r="H23" s="164" t="s">
        <v>127</v>
      </c>
      <c r="I23" s="174" t="s">
        <v>723</v>
      </c>
      <c r="K23" s="177">
        <v>-105738760.6660711</v>
      </c>
    </row>
    <row r="24" spans="1:11" ht="13" x14ac:dyDescent="0.3">
      <c r="A24" s="166">
        <f>A23+1</f>
        <v>12</v>
      </c>
      <c r="B24" s="46" t="s">
        <v>130</v>
      </c>
      <c r="C24" s="47"/>
      <c r="I24" s="174" t="str">
        <f>"Line "&amp;A21&amp;" + Line "&amp;A22&amp;" + Line "&amp;A23&amp;""</f>
        <v>Line 9 + Line 10 + Line 11</v>
      </c>
      <c r="K24" s="173">
        <f>SUM(K21:K23)</f>
        <v>-2016191078.7661169</v>
      </c>
    </row>
    <row r="25" spans="1:11" x14ac:dyDescent="0.25">
      <c r="B25" s="174"/>
      <c r="K25" s="173"/>
    </row>
    <row r="26" spans="1:11" ht="13" x14ac:dyDescent="0.3">
      <c r="A26" s="166">
        <f>A24+1</f>
        <v>13</v>
      </c>
      <c r="B26" s="172" t="s">
        <v>664</v>
      </c>
      <c r="I26" s="174" t="s">
        <v>753</v>
      </c>
      <c r="K26" s="173">
        <v>-1621359578.4244325</v>
      </c>
    </row>
    <row r="27" spans="1:11" ht="13" x14ac:dyDescent="0.3">
      <c r="A27" s="166"/>
      <c r="B27" s="179"/>
    </row>
    <row r="28" spans="1:11" ht="13" x14ac:dyDescent="0.3">
      <c r="A28" s="166">
        <f>A26+1</f>
        <v>14</v>
      </c>
      <c r="B28" s="172" t="s">
        <v>132</v>
      </c>
      <c r="I28" s="174" t="s">
        <v>727</v>
      </c>
      <c r="K28" s="173">
        <v>647481518.01999998</v>
      </c>
    </row>
    <row r="29" spans="1:11" ht="13" x14ac:dyDescent="0.3">
      <c r="A29" s="166"/>
      <c r="B29" s="172"/>
      <c r="K29" s="173"/>
    </row>
    <row r="30" spans="1:11" ht="13" x14ac:dyDescent="0.3">
      <c r="A30" s="166">
        <f>A28+1</f>
        <v>15</v>
      </c>
      <c r="B30" s="172" t="s">
        <v>135</v>
      </c>
      <c r="I30" s="174" t="s">
        <v>734</v>
      </c>
      <c r="K30" s="173">
        <v>0</v>
      </c>
    </row>
    <row r="31" spans="1:11" ht="13" x14ac:dyDescent="0.3">
      <c r="A31" s="166">
        <f t="shared" ref="A31:A32" si="0">A30+1</f>
        <v>16</v>
      </c>
      <c r="B31" s="179" t="s">
        <v>134</v>
      </c>
      <c r="I31" s="174" t="s">
        <v>732</v>
      </c>
      <c r="K31" s="173">
        <v>-197765197.51234144</v>
      </c>
    </row>
    <row r="32" spans="1:11" ht="13" x14ac:dyDescent="0.3">
      <c r="A32" s="166">
        <f t="shared" si="0"/>
        <v>17</v>
      </c>
      <c r="B32" s="179" t="s">
        <v>133</v>
      </c>
      <c r="H32" s="164" t="s">
        <v>127</v>
      </c>
      <c r="I32" s="174" t="s">
        <v>729</v>
      </c>
      <c r="K32" s="173">
        <v>-36762569.307422847</v>
      </c>
    </row>
    <row r="33" spans="1:12" ht="13" x14ac:dyDescent="0.3">
      <c r="A33" s="166"/>
      <c r="B33" s="179"/>
    </row>
    <row r="34" spans="1:12" ht="13" x14ac:dyDescent="0.3">
      <c r="A34" s="166">
        <f>A32+1</f>
        <v>18</v>
      </c>
      <c r="B34" s="164" t="s">
        <v>136</v>
      </c>
      <c r="I34" s="174" t="str">
        <f>"L"&amp;A9&amp;" + L"&amp;A10&amp;" + L"&amp;A11&amp;" + L"&amp;A12&amp;" + L"&amp;A18&amp;" + L"&amp;A24&amp;" +"</f>
        <v>L1 + L2 + L3 + L4 + L8 + L12 +</v>
      </c>
      <c r="K34" s="173">
        <f>K9+K10+K11+K12+K18+K24+K26+K28+K30+K31+K32</f>
        <v>6427810579.4139166</v>
      </c>
    </row>
    <row r="35" spans="1:12" ht="13" x14ac:dyDescent="0.3">
      <c r="A35" s="166"/>
      <c r="I35" s="172" t="str">
        <f>"L"&amp;A26&amp;" + L"&amp;A28&amp;"+ L"&amp;A30&amp;"+ L"&amp;A31&amp;" + L"&amp;A32&amp;""</f>
        <v>L13 + L14+ L15+ L16 + L17</v>
      </c>
      <c r="K35" s="173"/>
    </row>
    <row r="37" spans="1:12" ht="13" x14ac:dyDescent="0.3">
      <c r="A37" s="209" t="s">
        <v>231</v>
      </c>
      <c r="B37" s="210"/>
      <c r="C37" s="210"/>
      <c r="D37" s="210"/>
      <c r="E37" s="210"/>
      <c r="F37" s="210"/>
      <c r="G37" s="210"/>
      <c r="H37" s="211"/>
      <c r="I37" s="211"/>
      <c r="J37" s="211"/>
      <c r="K37" s="211"/>
    </row>
    <row r="39" spans="1:12" ht="13" x14ac:dyDescent="0.3">
      <c r="A39" s="166">
        <f>A34+1</f>
        <v>19</v>
      </c>
      <c r="B39" s="174" t="s">
        <v>232</v>
      </c>
      <c r="H39" s="194" t="s">
        <v>233</v>
      </c>
      <c r="I39" s="174" t="s">
        <v>234</v>
      </c>
      <c r="K39" s="212">
        <v>329452981</v>
      </c>
      <c r="L39" s="174"/>
    </row>
    <row r="40" spans="1:12" ht="13" x14ac:dyDescent="0.3">
      <c r="A40" s="166">
        <f>A39+1</f>
        <v>20</v>
      </c>
      <c r="B40" s="169" t="s">
        <v>235</v>
      </c>
      <c r="I40" s="174" t="s">
        <v>754</v>
      </c>
      <c r="K40" s="181">
        <v>0.18668038449535004</v>
      </c>
    </row>
    <row r="41" spans="1:12" ht="13" x14ac:dyDescent="0.3">
      <c r="A41" s="166">
        <f>A40+1</f>
        <v>21</v>
      </c>
      <c r="B41" s="164" t="s">
        <v>236</v>
      </c>
      <c r="I41" s="174" t="str">
        <f>"Line "&amp;A39&amp;" * Line "&amp;A40&amp;""</f>
        <v>Line 19 * Line 20</v>
      </c>
      <c r="K41" s="173">
        <f>K39*K40</f>
        <v>61502409.166219249</v>
      </c>
    </row>
    <row r="42" spans="1:12" ht="13" x14ac:dyDescent="0.3">
      <c r="A42" s="166" t="s">
        <v>237</v>
      </c>
      <c r="H42" s="174"/>
      <c r="K42" s="181"/>
    </row>
    <row r="43" spans="1:12" ht="13" x14ac:dyDescent="0.3">
      <c r="A43" s="166">
        <f>A41+1</f>
        <v>22</v>
      </c>
      <c r="B43" s="174" t="s">
        <v>238</v>
      </c>
      <c r="K43" s="181"/>
    </row>
    <row r="44" spans="1:12" ht="13" x14ac:dyDescent="0.3">
      <c r="A44" s="166">
        <f t="shared" ref="A44:A56" si="1">A43+1</f>
        <v>23</v>
      </c>
      <c r="B44" s="169" t="s">
        <v>239</v>
      </c>
      <c r="E44" s="163"/>
      <c r="F44" s="163"/>
      <c r="G44" s="163"/>
      <c r="I44" s="174" t="str">
        <f>"Line "&amp;A45&amp;" + Line "&amp;A46&amp;"+ Line "&amp;A47&amp;""</f>
        <v>Line 24 + Line 25+ Line 26</v>
      </c>
      <c r="K44" s="173">
        <f>SUM(K45:K47)</f>
        <v>117647986</v>
      </c>
    </row>
    <row r="45" spans="1:12" ht="13" x14ac:dyDescent="0.3">
      <c r="A45" s="166">
        <f t="shared" si="1"/>
        <v>24</v>
      </c>
      <c r="B45" s="213" t="s">
        <v>240</v>
      </c>
      <c r="E45" s="163"/>
      <c r="F45" s="163"/>
      <c r="G45" s="163"/>
      <c r="H45" s="194" t="s">
        <v>241</v>
      </c>
      <c r="I45" s="174" t="s">
        <v>234</v>
      </c>
      <c r="K45" s="212">
        <v>116228864</v>
      </c>
      <c r="L45" s="174"/>
    </row>
    <row r="46" spans="1:12" ht="13" x14ac:dyDescent="0.3">
      <c r="A46" s="166">
        <f t="shared" si="1"/>
        <v>25</v>
      </c>
      <c r="B46" s="213" t="s">
        <v>242</v>
      </c>
      <c r="E46" s="163"/>
      <c r="F46" s="163"/>
      <c r="G46" s="163"/>
      <c r="H46" s="194" t="s">
        <v>243</v>
      </c>
      <c r="I46" s="174" t="s">
        <v>234</v>
      </c>
      <c r="K46" s="212">
        <v>1175852</v>
      </c>
      <c r="L46" s="174"/>
    </row>
    <row r="47" spans="1:12" ht="13" x14ac:dyDescent="0.3">
      <c r="A47" s="166">
        <f t="shared" si="1"/>
        <v>26</v>
      </c>
      <c r="B47" s="213" t="s">
        <v>244</v>
      </c>
      <c r="E47" s="163"/>
      <c r="F47" s="163"/>
      <c r="G47" s="163"/>
      <c r="H47" s="194" t="s">
        <v>245</v>
      </c>
      <c r="I47" s="174" t="s">
        <v>234</v>
      </c>
      <c r="K47" s="212">
        <v>243270</v>
      </c>
      <c r="L47" s="174"/>
    </row>
    <row r="48" spans="1:12" ht="13" x14ac:dyDescent="0.3">
      <c r="A48" s="166">
        <f t="shared" si="1"/>
        <v>27</v>
      </c>
      <c r="B48" s="176" t="s">
        <v>246</v>
      </c>
      <c r="H48" s="194" t="s">
        <v>247</v>
      </c>
      <c r="I48" s="174" t="s">
        <v>234</v>
      </c>
      <c r="K48" s="212">
        <v>5948364</v>
      </c>
      <c r="L48" s="174"/>
    </row>
    <row r="49" spans="1:12" ht="13" x14ac:dyDescent="0.3">
      <c r="A49" s="166">
        <f t="shared" si="1"/>
        <v>28</v>
      </c>
      <c r="B49" s="169" t="s">
        <v>248</v>
      </c>
      <c r="H49" s="194" t="s">
        <v>249</v>
      </c>
      <c r="I49" s="174" t="s">
        <v>234</v>
      </c>
      <c r="K49" s="212">
        <v>1718978</v>
      </c>
      <c r="L49" s="174"/>
    </row>
    <row r="50" spans="1:12" ht="13" x14ac:dyDescent="0.3">
      <c r="A50" s="166">
        <f t="shared" si="1"/>
        <v>29</v>
      </c>
      <c r="B50" s="169" t="s">
        <v>250</v>
      </c>
      <c r="H50" s="194" t="s">
        <v>251</v>
      </c>
      <c r="I50" s="174" t="s">
        <v>234</v>
      </c>
      <c r="K50" s="212">
        <v>1879323</v>
      </c>
      <c r="L50" s="174"/>
    </row>
    <row r="51" spans="1:12" ht="13" x14ac:dyDescent="0.3">
      <c r="A51" s="166">
        <f t="shared" si="1"/>
        <v>30</v>
      </c>
      <c r="B51" s="169" t="s">
        <v>252</v>
      </c>
      <c r="H51" s="194" t="s">
        <v>253</v>
      </c>
      <c r="I51" s="174" t="s">
        <v>234</v>
      </c>
      <c r="K51" s="212">
        <v>39927</v>
      </c>
      <c r="L51" s="174"/>
    </row>
    <row r="52" spans="1:12" ht="13" x14ac:dyDescent="0.3">
      <c r="A52" s="166">
        <f t="shared" si="1"/>
        <v>31</v>
      </c>
      <c r="B52" s="164" t="s">
        <v>254</v>
      </c>
      <c r="I52" s="174" t="str">
        <f>"Line "&amp;A44&amp;" + (Line "&amp;A48&amp;" to Line "&amp;A51&amp;")"</f>
        <v>Line 23 + (Line 27 to Line 30)</v>
      </c>
      <c r="K52" s="173">
        <f>K44+K48+K49+K50+K51</f>
        <v>127234578</v>
      </c>
    </row>
    <row r="53" spans="1:12" ht="13" x14ac:dyDescent="0.3">
      <c r="A53" s="166">
        <f t="shared" si="1"/>
        <v>32</v>
      </c>
      <c r="B53" s="174" t="s">
        <v>255</v>
      </c>
      <c r="H53" s="174"/>
      <c r="I53" s="174" t="s">
        <v>741</v>
      </c>
      <c r="K53" s="214">
        <v>57891732.990000002</v>
      </c>
    </row>
    <row r="54" spans="1:12" ht="13" x14ac:dyDescent="0.3">
      <c r="A54" s="166">
        <f t="shared" si="1"/>
        <v>33</v>
      </c>
      <c r="B54" s="164" t="s">
        <v>256</v>
      </c>
      <c r="I54" s="174" t="str">
        <f>"Line "&amp;A52&amp;" - Line "&amp;A53&amp;""</f>
        <v>Line 31 - Line 32</v>
      </c>
      <c r="K54" s="173">
        <f>K52-K53</f>
        <v>69342845.00999999</v>
      </c>
    </row>
    <row r="55" spans="1:12" ht="13" x14ac:dyDescent="0.3">
      <c r="A55" s="166">
        <f t="shared" si="1"/>
        <v>34</v>
      </c>
      <c r="B55" s="176" t="s">
        <v>257</v>
      </c>
      <c r="I55" s="174" t="s">
        <v>755</v>
      </c>
      <c r="K55" s="181">
        <v>6.5680595610890333E-2</v>
      </c>
    </row>
    <row r="56" spans="1:12" ht="13" x14ac:dyDescent="0.3">
      <c r="A56" s="166">
        <f t="shared" si="1"/>
        <v>35</v>
      </c>
      <c r="B56" s="172" t="s">
        <v>238</v>
      </c>
      <c r="I56" s="174" t="str">
        <f>"Line "&amp;A54&amp;" * Line "&amp;A55&amp;""</f>
        <v>Line 33 * Line 34</v>
      </c>
      <c r="K56" s="173">
        <f>K54*K55</f>
        <v>4554479.3616104536</v>
      </c>
    </row>
    <row r="57" spans="1:12" ht="13" x14ac:dyDescent="0.3">
      <c r="A57" s="166"/>
      <c r="K57" s="173"/>
    </row>
    <row r="58" spans="1:12" ht="13" x14ac:dyDescent="0.3">
      <c r="A58" s="166">
        <f>A56+1</f>
        <v>36</v>
      </c>
      <c r="B58" s="174" t="s">
        <v>156</v>
      </c>
      <c r="H58" s="174" t="s">
        <v>258</v>
      </c>
      <c r="I58" s="174" t="str">
        <f>"Line "&amp;A41&amp;" + Line "&amp;A56&amp;""</f>
        <v>Line 21 + Line 35</v>
      </c>
      <c r="K58" s="173">
        <f>K41+K56</f>
        <v>66056888.527829707</v>
      </c>
    </row>
    <row r="60" spans="1:12" ht="13" x14ac:dyDescent="0.3">
      <c r="A60" s="209" t="s">
        <v>259</v>
      </c>
      <c r="B60" s="210"/>
      <c r="C60" s="210"/>
      <c r="D60" s="210"/>
      <c r="E60" s="210"/>
      <c r="F60" s="210"/>
      <c r="G60" s="210"/>
      <c r="H60" s="211"/>
      <c r="I60" s="211"/>
      <c r="J60" s="211"/>
      <c r="K60" s="211"/>
    </row>
    <row r="61" spans="1:12" ht="13" x14ac:dyDescent="0.3">
      <c r="A61" s="163"/>
      <c r="B61" s="174"/>
      <c r="C61" s="174"/>
      <c r="D61" s="174"/>
      <c r="E61" s="174"/>
      <c r="F61" s="174"/>
      <c r="G61" s="174"/>
      <c r="H61" s="174"/>
      <c r="I61" s="174"/>
      <c r="J61" s="174"/>
      <c r="K61" s="174"/>
    </row>
    <row r="62" spans="1:12" x14ac:dyDescent="0.25">
      <c r="A62" s="201"/>
      <c r="B62" s="175" t="s">
        <v>260</v>
      </c>
      <c r="C62" s="174"/>
      <c r="D62" s="174"/>
      <c r="E62" s="174"/>
      <c r="F62" s="174"/>
      <c r="G62" s="174"/>
      <c r="H62" s="174"/>
      <c r="I62" s="174"/>
      <c r="J62" s="174"/>
      <c r="K62" s="174"/>
    </row>
    <row r="63" spans="1:12" ht="13" x14ac:dyDescent="0.3">
      <c r="A63" s="166">
        <f>A58+1</f>
        <v>37</v>
      </c>
      <c r="B63" s="174" t="s">
        <v>261</v>
      </c>
      <c r="C63" s="174"/>
      <c r="D63" s="174"/>
      <c r="E63" s="174"/>
      <c r="F63" s="174"/>
      <c r="G63" s="174"/>
      <c r="H63" s="174"/>
      <c r="I63" s="174" t="s">
        <v>756</v>
      </c>
      <c r="J63" s="174"/>
      <c r="K63" s="182">
        <v>14367696054.361542</v>
      </c>
    </row>
    <row r="64" spans="1:12" ht="13" x14ac:dyDescent="0.3">
      <c r="A64" s="166">
        <f>A63+1</f>
        <v>38</v>
      </c>
      <c r="B64" s="174" t="s">
        <v>263</v>
      </c>
      <c r="C64" s="174"/>
      <c r="D64" s="174"/>
      <c r="E64" s="174"/>
      <c r="F64" s="174"/>
      <c r="G64" s="174"/>
      <c r="H64" s="174"/>
      <c r="I64" s="174" t="s">
        <v>757</v>
      </c>
      <c r="J64" s="174"/>
      <c r="K64" s="182">
        <v>655538361</v>
      </c>
    </row>
    <row r="65" spans="1:11" ht="13" x14ac:dyDescent="0.3">
      <c r="A65" s="166">
        <f>A64+1</f>
        <v>39</v>
      </c>
      <c r="B65" s="174" t="s">
        <v>265</v>
      </c>
      <c r="C65" s="174"/>
      <c r="D65" s="174"/>
      <c r="E65" s="174"/>
      <c r="F65" s="174"/>
      <c r="G65" s="174"/>
      <c r="I65" s="174" t="s">
        <v>758</v>
      </c>
      <c r="J65" s="174"/>
      <c r="K65" s="180">
        <v>4.5625851112085641E-2</v>
      </c>
    </row>
    <row r="66" spans="1:11" ht="13" x14ac:dyDescent="0.3">
      <c r="A66" s="166"/>
      <c r="B66" s="174"/>
      <c r="C66" s="174"/>
      <c r="D66" s="174"/>
      <c r="E66" s="174"/>
      <c r="F66" s="174"/>
      <c r="G66" s="174"/>
      <c r="I66" s="174"/>
      <c r="J66" s="174"/>
      <c r="K66" s="180"/>
    </row>
    <row r="67" spans="1:11" ht="13" x14ac:dyDescent="0.3">
      <c r="A67" s="166"/>
      <c r="B67" s="175" t="s">
        <v>267</v>
      </c>
      <c r="C67" s="174"/>
      <c r="D67" s="174"/>
      <c r="E67" s="174"/>
      <c r="F67" s="174"/>
      <c r="G67" s="174"/>
      <c r="H67" s="174"/>
      <c r="I67" s="174"/>
      <c r="J67" s="174"/>
      <c r="K67" s="174"/>
    </row>
    <row r="68" spans="1:11" ht="13" x14ac:dyDescent="0.3">
      <c r="A68" s="166">
        <f>A65+1</f>
        <v>40</v>
      </c>
      <c r="B68" s="174" t="s">
        <v>268</v>
      </c>
      <c r="C68" s="174"/>
      <c r="D68" s="174"/>
      <c r="E68" s="174"/>
      <c r="F68" s="174"/>
      <c r="G68" s="174"/>
      <c r="H68" s="174"/>
      <c r="I68" s="174" t="s">
        <v>264</v>
      </c>
      <c r="J68" s="174"/>
      <c r="K68" s="182">
        <v>2192067551.2041321</v>
      </c>
    </row>
    <row r="69" spans="1:11" ht="13" x14ac:dyDescent="0.3">
      <c r="A69" s="166">
        <f>A68+1</f>
        <v>41</v>
      </c>
      <c r="B69" s="174" t="s">
        <v>270</v>
      </c>
      <c r="C69" s="174"/>
      <c r="D69" s="174"/>
      <c r="E69" s="174"/>
      <c r="F69" s="174"/>
      <c r="G69" s="174"/>
      <c r="H69" s="174"/>
      <c r="I69" s="174" t="s">
        <v>759</v>
      </c>
      <c r="J69" s="174"/>
      <c r="K69" s="182">
        <v>125382686.05206428</v>
      </c>
    </row>
    <row r="70" spans="1:11" ht="13" x14ac:dyDescent="0.3">
      <c r="A70" s="166">
        <f>A69+1</f>
        <v>42</v>
      </c>
      <c r="B70" s="174" t="s">
        <v>272</v>
      </c>
      <c r="C70" s="174"/>
      <c r="D70" s="174"/>
      <c r="E70" s="174"/>
      <c r="F70" s="174"/>
      <c r="G70" s="174"/>
      <c r="I70" s="174" t="s">
        <v>269</v>
      </c>
      <c r="J70" s="174"/>
      <c r="K70" s="180">
        <v>5.719836780722834E-2</v>
      </c>
    </row>
    <row r="71" spans="1:11" ht="13" x14ac:dyDescent="0.3">
      <c r="A71" s="166"/>
      <c r="B71" s="174"/>
      <c r="C71" s="174"/>
      <c r="D71" s="174"/>
      <c r="E71" s="174"/>
      <c r="F71" s="174"/>
      <c r="G71" s="174"/>
      <c r="I71" s="174"/>
      <c r="J71" s="174"/>
      <c r="K71" s="180"/>
    </row>
    <row r="72" spans="1:11" ht="13" x14ac:dyDescent="0.3">
      <c r="A72" s="166"/>
      <c r="B72" s="175" t="s">
        <v>274</v>
      </c>
      <c r="C72" s="174"/>
      <c r="D72" s="174"/>
      <c r="E72" s="174"/>
      <c r="F72" s="174"/>
      <c r="G72" s="174"/>
      <c r="H72" s="174"/>
      <c r="I72" s="174"/>
      <c r="J72" s="174"/>
      <c r="K72" s="174"/>
    </row>
    <row r="73" spans="1:11" ht="13" x14ac:dyDescent="0.3">
      <c r="A73" s="166">
        <f>A70+1</f>
        <v>43</v>
      </c>
      <c r="B73" s="174" t="s">
        <v>275</v>
      </c>
      <c r="C73" s="174"/>
      <c r="D73" s="174"/>
      <c r="E73" s="174"/>
      <c r="F73" s="174"/>
      <c r="G73" s="174"/>
      <c r="H73" s="174"/>
      <c r="I73" s="174" t="s">
        <v>760</v>
      </c>
      <c r="J73" s="174"/>
      <c r="K73" s="182">
        <v>13448514639.555696</v>
      </c>
    </row>
    <row r="74" spans="1:11" ht="13" x14ac:dyDescent="0.3">
      <c r="A74" s="166"/>
      <c r="B74" s="174"/>
      <c r="C74" s="174"/>
      <c r="D74" s="174"/>
      <c r="E74" s="174"/>
      <c r="F74" s="174"/>
      <c r="G74" s="174"/>
      <c r="H74" s="174"/>
      <c r="I74" s="215"/>
      <c r="J74" s="174"/>
      <c r="K74" s="174"/>
    </row>
    <row r="75" spans="1:11" ht="13" x14ac:dyDescent="0.3">
      <c r="A75" s="166">
        <f>A73+1</f>
        <v>44</v>
      </c>
      <c r="B75" s="174" t="s">
        <v>276</v>
      </c>
      <c r="C75" s="174"/>
      <c r="D75" s="174"/>
      <c r="E75" s="174"/>
      <c r="F75" s="174"/>
      <c r="G75" s="174"/>
      <c r="H75" s="174"/>
      <c r="I75" s="174" t="str">
        <f>"Line "&amp;A63&amp;" + Line "&amp;A68&amp;" + Line "&amp;A73&amp;""</f>
        <v>Line 37 + Line 40 + Line 43</v>
      </c>
      <c r="J75" s="174"/>
      <c r="K75" s="182">
        <f>K63+K68+K73</f>
        <v>30008278245.121368</v>
      </c>
    </row>
    <row r="76" spans="1:11" ht="13" x14ac:dyDescent="0.3">
      <c r="A76" s="166"/>
      <c r="B76" s="174"/>
      <c r="C76" s="174"/>
      <c r="D76" s="174"/>
      <c r="E76" s="174"/>
      <c r="F76" s="174"/>
      <c r="G76" s="174"/>
      <c r="H76" s="174"/>
      <c r="I76" s="174"/>
      <c r="J76" s="174"/>
      <c r="K76" s="182"/>
    </row>
    <row r="77" spans="1:11" ht="13" x14ac:dyDescent="0.3">
      <c r="A77" s="166" t="s">
        <v>665</v>
      </c>
      <c r="B77" s="174" t="s">
        <v>666</v>
      </c>
      <c r="C77" s="174"/>
      <c r="D77" s="174"/>
      <c r="E77" s="174"/>
      <c r="F77" s="174"/>
      <c r="G77" s="174"/>
      <c r="H77" s="174"/>
      <c r="I77" s="174"/>
      <c r="J77" s="174"/>
      <c r="K77" s="216">
        <v>0.47499999999999998</v>
      </c>
    </row>
    <row r="78" spans="1:11" ht="13" x14ac:dyDescent="0.3">
      <c r="A78" s="166"/>
      <c r="B78" s="176"/>
      <c r="C78" s="174"/>
      <c r="D78" s="174"/>
      <c r="E78" s="174"/>
      <c r="F78" s="174"/>
      <c r="G78" s="174"/>
      <c r="I78" s="174"/>
      <c r="J78" s="174"/>
      <c r="K78" s="182"/>
    </row>
    <row r="79" spans="1:11" ht="13" x14ac:dyDescent="0.3">
      <c r="A79" s="166"/>
      <c r="B79" s="175" t="s">
        <v>277</v>
      </c>
      <c r="C79" s="174"/>
      <c r="D79" s="174"/>
      <c r="E79" s="174"/>
      <c r="F79" s="174"/>
      <c r="G79" s="174"/>
      <c r="H79" s="174"/>
      <c r="I79" s="174"/>
      <c r="J79" s="174"/>
      <c r="K79" s="174"/>
    </row>
    <row r="80" spans="1:11" ht="13" x14ac:dyDescent="0.3">
      <c r="A80" s="166">
        <f>A75+1</f>
        <v>45</v>
      </c>
      <c r="B80" s="174" t="s">
        <v>278</v>
      </c>
      <c r="C80" s="174"/>
      <c r="D80" s="174"/>
      <c r="E80" s="174"/>
      <c r="F80" s="174"/>
      <c r="G80" s="174"/>
      <c r="H80" s="174"/>
      <c r="I80" s="174" t="str">
        <f>"100% - (Line "&amp;A81&amp;" + Line "&amp;A82&amp;")"</f>
        <v>100% - (Line 46 + Line 47)</v>
      </c>
      <c r="J80" s="174"/>
      <c r="K80" s="180">
        <f>1-(K81+K82)</f>
        <v>0.45195123881155996</v>
      </c>
    </row>
    <row r="81" spans="1:11" ht="13" x14ac:dyDescent="0.3">
      <c r="A81" s="166">
        <f>A80+1</f>
        <v>46</v>
      </c>
      <c r="B81" s="174" t="s">
        <v>279</v>
      </c>
      <c r="C81" s="174"/>
      <c r="D81" s="174"/>
      <c r="E81" s="174"/>
      <c r="F81" s="174"/>
      <c r="G81" s="174"/>
      <c r="H81" s="174"/>
      <c r="I81" s="174" t="str">
        <f>"Line "&amp;A68&amp;" / Line "&amp;A75&amp;""</f>
        <v>Line 40 / Line 44</v>
      </c>
      <c r="J81" s="174"/>
      <c r="K81" s="180">
        <f>K68/K75</f>
        <v>7.3048761188440059E-2</v>
      </c>
    </row>
    <row r="82" spans="1:11" ht="13" x14ac:dyDescent="0.3">
      <c r="A82" s="166">
        <f>A81+1</f>
        <v>47</v>
      </c>
      <c r="B82" s="174" t="s">
        <v>280</v>
      </c>
      <c r="C82" s="174"/>
      <c r="D82" s="174"/>
      <c r="E82" s="174"/>
      <c r="F82" s="174"/>
      <c r="G82" s="174"/>
      <c r="H82" s="174"/>
      <c r="I82" s="174" t="str">
        <f>"Max Line "&amp;A77&amp;" or (Line "&amp;A73&amp;" / Line "&amp;A75&amp;")"</f>
        <v>Max Line 44a or (Line 43 / Line 44)</v>
      </c>
      <c r="J82" s="174"/>
      <c r="K82" s="200">
        <f>MAX((K73/K75),K77)</f>
        <v>0.47499999999999998</v>
      </c>
    </row>
    <row r="83" spans="1:11" ht="13" x14ac:dyDescent="0.3">
      <c r="A83" s="166"/>
      <c r="B83" s="174"/>
      <c r="C83" s="174"/>
      <c r="D83" s="174"/>
      <c r="E83" s="174"/>
      <c r="F83" s="174"/>
      <c r="G83" s="174"/>
      <c r="H83" s="174"/>
      <c r="I83" s="174" t="str">
        <f>"Line "&amp;A80&amp;" + Line "&amp;A81&amp;"+ Line "&amp;A82&amp;""</f>
        <v>Line 45 + Line 46+ Line 47</v>
      </c>
      <c r="J83" s="174"/>
      <c r="K83" s="180">
        <f>SUM(K80:K82)</f>
        <v>1</v>
      </c>
    </row>
    <row r="84" spans="1:11" ht="13" x14ac:dyDescent="0.3">
      <c r="A84" s="166"/>
      <c r="B84" s="175" t="s">
        <v>281</v>
      </c>
      <c r="C84" s="174"/>
      <c r="D84" s="174"/>
      <c r="E84" s="174"/>
      <c r="F84" s="174"/>
      <c r="G84" s="174"/>
      <c r="H84" s="174"/>
      <c r="I84" s="174"/>
      <c r="J84" s="174"/>
      <c r="K84" s="180"/>
    </row>
    <row r="85" spans="1:11" ht="13" x14ac:dyDescent="0.3">
      <c r="A85" s="166">
        <f>A82+1</f>
        <v>48</v>
      </c>
      <c r="B85" s="174" t="s">
        <v>265</v>
      </c>
      <c r="C85" s="174"/>
      <c r="D85" s="174"/>
      <c r="E85" s="174"/>
      <c r="F85" s="174"/>
      <c r="G85" s="174"/>
      <c r="I85" s="174" t="str">
        <f>"Line "&amp;A65&amp;""</f>
        <v>Line 39</v>
      </c>
      <c r="J85" s="174"/>
      <c r="K85" s="180">
        <f>K65</f>
        <v>4.5625851112085641E-2</v>
      </c>
    </row>
    <row r="86" spans="1:11" ht="13" x14ac:dyDescent="0.3">
      <c r="A86" s="166">
        <f>A85+1</f>
        <v>49</v>
      </c>
      <c r="B86" s="174" t="s">
        <v>272</v>
      </c>
      <c r="C86" s="174"/>
      <c r="D86" s="174"/>
      <c r="E86" s="174"/>
      <c r="F86" s="174"/>
      <c r="G86" s="174"/>
      <c r="I86" s="174" t="str">
        <f>"Line "&amp;A70&amp;""</f>
        <v>Line 42</v>
      </c>
      <c r="J86" s="174"/>
      <c r="K86" s="180">
        <f>K70</f>
        <v>5.719836780722834E-2</v>
      </c>
    </row>
    <row r="87" spans="1:11" ht="13" x14ac:dyDescent="0.3">
      <c r="A87" s="166">
        <f>A86+1</f>
        <v>50</v>
      </c>
      <c r="B87" s="174" t="s">
        <v>282</v>
      </c>
      <c r="C87" s="174"/>
      <c r="D87" s="174"/>
      <c r="E87" s="174"/>
      <c r="F87" s="174"/>
      <c r="G87" s="174"/>
      <c r="H87" s="174" t="s">
        <v>283</v>
      </c>
      <c r="I87" s="174" t="s">
        <v>284</v>
      </c>
      <c r="J87" s="174"/>
      <c r="K87" s="217">
        <v>0.10299999999999999</v>
      </c>
    </row>
    <row r="88" spans="1:11" ht="13" x14ac:dyDescent="0.3">
      <c r="A88" s="166"/>
      <c r="B88" s="174"/>
      <c r="C88" s="174"/>
      <c r="D88" s="174"/>
      <c r="E88" s="174"/>
      <c r="F88" s="174"/>
      <c r="G88" s="174"/>
      <c r="I88" s="218"/>
      <c r="J88" s="174"/>
      <c r="K88" s="180"/>
    </row>
    <row r="89" spans="1:11" ht="13" x14ac:dyDescent="0.3">
      <c r="A89" s="166"/>
      <c r="B89" s="175" t="s">
        <v>285</v>
      </c>
      <c r="C89" s="174"/>
      <c r="D89" s="174"/>
      <c r="E89" s="174"/>
      <c r="F89" s="174"/>
      <c r="G89" s="174"/>
      <c r="H89" s="174"/>
      <c r="I89" s="174"/>
      <c r="J89" s="174"/>
      <c r="K89" s="174"/>
    </row>
    <row r="90" spans="1:11" ht="13" x14ac:dyDescent="0.3">
      <c r="A90" s="166">
        <f>A87+1</f>
        <v>51</v>
      </c>
      <c r="B90" s="174" t="s">
        <v>286</v>
      </c>
      <c r="C90" s="174"/>
      <c r="D90" s="174"/>
      <c r="E90" s="174"/>
      <c r="F90" s="174"/>
      <c r="G90" s="174"/>
      <c r="I90" s="174" t="str">
        <f>"Line "&amp;A65&amp;" * Line "&amp;A80&amp;""</f>
        <v>Line 39 * Line 45</v>
      </c>
      <c r="J90" s="174"/>
      <c r="K90" s="180">
        <f>K65*K80</f>
        <v>2.0620659931938897E-2</v>
      </c>
    </row>
    <row r="91" spans="1:11" ht="13" x14ac:dyDescent="0.3">
      <c r="A91" s="166">
        <f>A90+1</f>
        <v>52</v>
      </c>
      <c r="B91" s="174" t="s">
        <v>287</v>
      </c>
      <c r="C91" s="174"/>
      <c r="D91" s="174"/>
      <c r="E91" s="174"/>
      <c r="F91" s="174"/>
      <c r="G91" s="174"/>
      <c r="I91" s="174" t="str">
        <f>"Line "&amp;A70&amp;" * Line "&amp;A81&amp;""</f>
        <v>Line 42 * Line 46</v>
      </c>
      <c r="J91" s="174"/>
      <c r="K91" s="180">
        <f>K70*K81</f>
        <v>4.1782699103187805E-3</v>
      </c>
    </row>
    <row r="92" spans="1:11" ht="13" x14ac:dyDescent="0.3">
      <c r="A92" s="166">
        <f>A91+1</f>
        <v>53</v>
      </c>
      <c r="B92" s="174" t="s">
        <v>288</v>
      </c>
      <c r="C92" s="174"/>
      <c r="D92" s="174"/>
      <c r="E92" s="174"/>
      <c r="F92" s="174"/>
      <c r="G92" s="174"/>
      <c r="I92" s="174" t="str">
        <f>"Line "&amp;A82&amp;" * Line "&amp;A87&amp;""</f>
        <v>Line 47 * Line 50</v>
      </c>
      <c r="J92" s="174"/>
      <c r="K92" s="200">
        <f>K82*K87</f>
        <v>4.8924999999999996E-2</v>
      </c>
    </row>
    <row r="93" spans="1:11" ht="13" x14ac:dyDescent="0.3">
      <c r="A93" s="166">
        <f>A92+1</f>
        <v>54</v>
      </c>
      <c r="B93" s="176" t="s">
        <v>138</v>
      </c>
      <c r="C93" s="174"/>
      <c r="D93" s="174"/>
      <c r="E93" s="174"/>
      <c r="F93" s="174"/>
      <c r="G93" s="174"/>
      <c r="I93" s="174" t="str">
        <f>"Line "&amp;A90&amp;" + Line "&amp;A91&amp;" + Line "&amp;A92&amp;""</f>
        <v>Line 51 + Line 52 + Line 53</v>
      </c>
      <c r="J93" s="174"/>
      <c r="K93" s="180">
        <f>SUM(K90:K92)</f>
        <v>7.3723929842257674E-2</v>
      </c>
    </row>
    <row r="94" spans="1:11" ht="13" x14ac:dyDescent="0.3">
      <c r="A94" s="166"/>
      <c r="B94" s="176"/>
      <c r="C94" s="174"/>
      <c r="D94" s="174"/>
      <c r="E94" s="174"/>
      <c r="F94" s="174"/>
      <c r="G94" s="174"/>
      <c r="I94" s="174"/>
      <c r="J94" s="174"/>
      <c r="K94" s="219"/>
    </row>
    <row r="95" spans="1:11" ht="13" x14ac:dyDescent="0.3">
      <c r="A95" s="166">
        <f>A93+1</f>
        <v>55</v>
      </c>
      <c r="B95" s="172" t="s">
        <v>289</v>
      </c>
      <c r="C95" s="174"/>
      <c r="D95" s="174"/>
      <c r="E95" s="174"/>
      <c r="F95" s="174"/>
      <c r="G95" s="174"/>
      <c r="H95" s="174" t="s">
        <v>290</v>
      </c>
      <c r="I95" s="174" t="str">
        <f>"Line "&amp;A91&amp;" + Line "&amp;A92&amp;""</f>
        <v>Line 52 + Line 53</v>
      </c>
      <c r="J95" s="174"/>
      <c r="K95" s="180">
        <f>K91+K92</f>
        <v>5.3103269910318773E-2</v>
      </c>
    </row>
    <row r="96" spans="1:11" ht="13" x14ac:dyDescent="0.3">
      <c r="A96" s="166"/>
      <c r="B96" s="174"/>
      <c r="C96" s="174"/>
      <c r="D96" s="174"/>
      <c r="E96" s="174"/>
      <c r="F96" s="174"/>
      <c r="G96" s="174"/>
      <c r="I96" s="174"/>
      <c r="J96" s="174"/>
      <c r="K96" s="219"/>
    </row>
    <row r="97" spans="1:11" ht="13" x14ac:dyDescent="0.3">
      <c r="A97" s="166">
        <f>A95+1</f>
        <v>56</v>
      </c>
      <c r="B97" s="174" t="s">
        <v>140</v>
      </c>
      <c r="C97" s="174"/>
      <c r="D97" s="174"/>
      <c r="E97" s="174"/>
      <c r="F97" s="174"/>
      <c r="G97" s="174"/>
      <c r="I97" s="174" t="str">
        <f>"Line "&amp;A34&amp;" * Line "&amp;A93&amp;""</f>
        <v>Line 18 * Line 54</v>
      </c>
      <c r="J97" s="174"/>
      <c r="K97" s="182">
        <f>K34*K93</f>
        <v>473883456.19603324</v>
      </c>
    </row>
    <row r="98" spans="1:11" x14ac:dyDescent="0.25">
      <c r="A98" s="201"/>
      <c r="B98" s="174"/>
      <c r="C98" s="174"/>
      <c r="D98" s="174"/>
      <c r="E98" s="174"/>
      <c r="F98" s="174"/>
      <c r="G98" s="174"/>
      <c r="H98" s="174"/>
      <c r="I98" s="174"/>
      <c r="J98" s="174"/>
      <c r="K98" s="174"/>
    </row>
    <row r="99" spans="1:11" x14ac:dyDescent="0.25">
      <c r="A99" s="174"/>
      <c r="B99" s="174"/>
      <c r="C99" s="174"/>
      <c r="D99" s="174"/>
      <c r="E99" s="174"/>
      <c r="F99" s="174"/>
      <c r="G99" s="174"/>
      <c r="H99" s="174"/>
      <c r="I99" s="174"/>
      <c r="J99" s="174"/>
      <c r="K99" s="174"/>
    </row>
    <row r="100" spans="1:11" ht="13" x14ac:dyDescent="0.3">
      <c r="A100" s="220" t="s">
        <v>291</v>
      </c>
      <c r="B100" s="210"/>
      <c r="C100" s="210"/>
      <c r="D100" s="210"/>
      <c r="E100" s="210"/>
      <c r="F100" s="210"/>
      <c r="G100" s="210"/>
      <c r="H100" s="211"/>
      <c r="I100" s="211"/>
      <c r="J100" s="211"/>
      <c r="K100" s="211"/>
    </row>
    <row r="102" spans="1:11" ht="13" x14ac:dyDescent="0.3">
      <c r="A102" s="166">
        <f>A97+1</f>
        <v>57</v>
      </c>
      <c r="B102" s="164" t="s">
        <v>292</v>
      </c>
      <c r="I102" s="164" t="s">
        <v>742</v>
      </c>
      <c r="K102" s="181">
        <v>0.21</v>
      </c>
    </row>
    <row r="103" spans="1:11" ht="13" x14ac:dyDescent="0.3">
      <c r="A103" s="166">
        <f>A102+1</f>
        <v>58</v>
      </c>
      <c r="B103" s="174" t="s">
        <v>293</v>
      </c>
      <c r="I103" s="164" t="s">
        <v>743</v>
      </c>
      <c r="K103" s="181">
        <v>8.8400000000000006E-2</v>
      </c>
    </row>
    <row r="104" spans="1:11" ht="13" x14ac:dyDescent="0.3">
      <c r="A104" s="166">
        <f>A103+1</f>
        <v>59</v>
      </c>
      <c r="B104" s="174" t="s">
        <v>294</v>
      </c>
      <c r="H104" s="221" t="s">
        <v>295</v>
      </c>
      <c r="I104" s="174" t="str">
        <f>"(L"&amp;A102&amp;" + L"&amp;A103&amp;") - (L"&amp;A102&amp;" * L"&amp;A103&amp;")"</f>
        <v>(L57 + L58) - (L57 * L58)</v>
      </c>
      <c r="K104" s="181">
        <f>(K102+K103)-(K102*K103)</f>
        <v>0.27983599999999997</v>
      </c>
    </row>
    <row r="105" spans="1:11" ht="13" x14ac:dyDescent="0.3">
      <c r="A105" s="166"/>
      <c r="K105" s="181"/>
    </row>
    <row r="106" spans="1:11" ht="13.5" thickBot="1" x14ac:dyDescent="0.35">
      <c r="A106" s="166"/>
      <c r="B106" s="175" t="s">
        <v>296</v>
      </c>
      <c r="K106" s="181"/>
    </row>
    <row r="107" spans="1:11" ht="13.5" thickBot="1" x14ac:dyDescent="0.35">
      <c r="A107" s="166">
        <f>A104+1</f>
        <v>60</v>
      </c>
      <c r="B107" s="172" t="s">
        <v>667</v>
      </c>
      <c r="H107" s="174"/>
      <c r="I107" s="172" t="s">
        <v>668</v>
      </c>
      <c r="K107" s="222">
        <v>-15761285</v>
      </c>
    </row>
    <row r="108" spans="1:11" ht="13" x14ac:dyDescent="0.3">
      <c r="A108" s="166">
        <f>A107+1</f>
        <v>61</v>
      </c>
      <c r="B108" s="172" t="s">
        <v>299</v>
      </c>
      <c r="H108" s="174" t="s">
        <v>298</v>
      </c>
      <c r="K108" s="223">
        <v>-183000</v>
      </c>
    </row>
    <row r="109" spans="1:11" ht="13" x14ac:dyDescent="0.3">
      <c r="A109" s="166">
        <f t="shared" ref="A109:A110" si="2">A108+1</f>
        <v>62</v>
      </c>
      <c r="B109" s="172" t="s">
        <v>300</v>
      </c>
      <c r="H109" s="174" t="s">
        <v>298</v>
      </c>
      <c r="K109" s="177">
        <v>2606000</v>
      </c>
    </row>
    <row r="110" spans="1:11" ht="13" x14ac:dyDescent="0.3">
      <c r="A110" s="166">
        <f t="shared" si="2"/>
        <v>63</v>
      </c>
      <c r="B110" s="176" t="s">
        <v>301</v>
      </c>
      <c r="I110" s="174" t="str">
        <f>"Line "&amp;A107&amp;" + Line "&amp;A108&amp;"+ Line "&amp;A109&amp;""</f>
        <v>Line 60 + Line 61+ Line 62</v>
      </c>
      <c r="K110" s="173">
        <f>SUM(K107:K109)</f>
        <v>-13338285</v>
      </c>
    </row>
    <row r="111" spans="1:11" ht="13" x14ac:dyDescent="0.3">
      <c r="A111" s="224"/>
    </row>
    <row r="112" spans="1:11" ht="13" x14ac:dyDescent="0.3">
      <c r="A112" s="166">
        <f>A110+1</f>
        <v>64</v>
      </c>
      <c r="B112" s="174" t="s">
        <v>302</v>
      </c>
      <c r="I112" s="164" t="str">
        <f>"Formula on Line "&amp;A114&amp;""</f>
        <v>Formula on Line 65</v>
      </c>
      <c r="K112" s="173">
        <f>(((K34*K95) + K121)*(K104/(1-K104)))+(K110/(1-K104))</f>
        <v>115635411.48384537</v>
      </c>
    </row>
    <row r="113" spans="1:11" ht="13" x14ac:dyDescent="0.3">
      <c r="A113" s="166"/>
    </row>
    <row r="114" spans="1:11" ht="13" x14ac:dyDescent="0.3">
      <c r="A114" s="166">
        <f>A112+1</f>
        <v>65</v>
      </c>
      <c r="B114" s="174" t="s">
        <v>142</v>
      </c>
      <c r="C114" s="174"/>
      <c r="D114" s="174"/>
      <c r="E114" s="174"/>
      <c r="F114" s="174"/>
      <c r="G114" s="174"/>
    </row>
    <row r="115" spans="1:11" x14ac:dyDescent="0.25">
      <c r="A115" s="225"/>
      <c r="I115" s="174"/>
    </row>
    <row r="116" spans="1:11" x14ac:dyDescent="0.25">
      <c r="A116" s="225"/>
      <c r="C116" s="164" t="s">
        <v>143</v>
      </c>
    </row>
    <row r="117" spans="1:11" x14ac:dyDescent="0.25">
      <c r="A117" s="225"/>
      <c r="C117" s="169" t="s">
        <v>144</v>
      </c>
      <c r="I117" s="174" t="str">
        <f>"Line "&amp;A34&amp;""</f>
        <v>Line 18</v>
      </c>
    </row>
    <row r="118" spans="1:11" x14ac:dyDescent="0.25">
      <c r="A118" s="225"/>
      <c r="C118" s="176" t="s">
        <v>303</v>
      </c>
      <c r="I118" s="174" t="str">
        <f>"Line "&amp;A95&amp;""</f>
        <v>Line 55</v>
      </c>
    </row>
    <row r="119" spans="1:11" x14ac:dyDescent="0.25">
      <c r="A119" s="225"/>
      <c r="C119" s="169" t="s">
        <v>147</v>
      </c>
      <c r="I119" s="174" t="str">
        <f>"Line "&amp;A104&amp;""</f>
        <v>Line 59</v>
      </c>
    </row>
    <row r="120" spans="1:11" x14ac:dyDescent="0.25">
      <c r="A120" s="225"/>
      <c r="C120" s="169" t="s">
        <v>148</v>
      </c>
      <c r="I120" s="174" t="str">
        <f>"Line "&amp;A110&amp;""</f>
        <v>Line 63</v>
      </c>
    </row>
    <row r="121" spans="1:11" x14ac:dyDescent="0.25">
      <c r="A121" s="225"/>
      <c r="C121" s="176" t="s">
        <v>149</v>
      </c>
      <c r="H121" s="183" t="s">
        <v>669</v>
      </c>
      <c r="I121" s="194" t="s">
        <v>670</v>
      </c>
      <c r="K121" s="226">
        <v>3917123</v>
      </c>
    </row>
    <row r="122" spans="1:11" x14ac:dyDescent="0.25">
      <c r="H122" s="187"/>
    </row>
    <row r="123" spans="1:11" ht="13" x14ac:dyDescent="0.3">
      <c r="A123" s="220" t="s">
        <v>305</v>
      </c>
      <c r="B123" s="210"/>
      <c r="C123" s="210"/>
      <c r="D123" s="210"/>
      <c r="E123" s="210"/>
      <c r="F123" s="210"/>
      <c r="G123" s="210"/>
      <c r="H123" s="211"/>
      <c r="I123" s="211"/>
      <c r="J123" s="211"/>
      <c r="K123" s="211"/>
    </row>
    <row r="125" spans="1:11" x14ac:dyDescent="0.25">
      <c r="B125" s="175" t="s">
        <v>306</v>
      </c>
    </row>
    <row r="126" spans="1:11" ht="13" x14ac:dyDescent="0.3">
      <c r="A126" s="166">
        <f>A114+1</f>
        <v>66</v>
      </c>
      <c r="B126" s="164" t="s">
        <v>151</v>
      </c>
      <c r="H126" s="169"/>
      <c r="I126" s="164" t="s">
        <v>745</v>
      </c>
      <c r="K126" s="173">
        <v>110879588.38578117</v>
      </c>
    </row>
    <row r="127" spans="1:11" ht="13" x14ac:dyDescent="0.3">
      <c r="A127" s="166">
        <f t="shared" ref="A127:A142" si="3">A126+1</f>
        <v>67</v>
      </c>
      <c r="B127" s="174" t="s">
        <v>152</v>
      </c>
      <c r="H127" s="169"/>
      <c r="I127" s="164" t="s">
        <v>746</v>
      </c>
      <c r="K127" s="173">
        <v>81772279.459677577</v>
      </c>
    </row>
    <row r="128" spans="1:11" ht="13" x14ac:dyDescent="0.3">
      <c r="A128" s="166">
        <f t="shared" si="3"/>
        <v>68</v>
      </c>
      <c r="B128" s="164" t="s">
        <v>153</v>
      </c>
      <c r="H128" s="169"/>
      <c r="I128" s="174" t="s">
        <v>730</v>
      </c>
      <c r="K128" s="173">
        <v>4075483.5901751588</v>
      </c>
    </row>
    <row r="129" spans="1:11" ht="13" x14ac:dyDescent="0.3">
      <c r="A129" s="166">
        <f t="shared" si="3"/>
        <v>69</v>
      </c>
      <c r="B129" s="174" t="s">
        <v>154</v>
      </c>
      <c r="H129" s="169"/>
      <c r="I129" s="164" t="s">
        <v>747</v>
      </c>
      <c r="K129" s="173">
        <v>255151988.45508885</v>
      </c>
    </row>
    <row r="130" spans="1:11" ht="13" x14ac:dyDescent="0.3">
      <c r="A130" s="166">
        <f t="shared" si="3"/>
        <v>70</v>
      </c>
      <c r="B130" s="174" t="s">
        <v>155</v>
      </c>
      <c r="H130" s="169"/>
      <c r="I130" s="164" t="s">
        <v>697</v>
      </c>
      <c r="K130" s="173">
        <v>0</v>
      </c>
    </row>
    <row r="131" spans="1:11" ht="13" x14ac:dyDescent="0.3">
      <c r="A131" s="166">
        <f t="shared" si="3"/>
        <v>71</v>
      </c>
      <c r="B131" s="174" t="s">
        <v>156</v>
      </c>
      <c r="H131" s="169"/>
      <c r="I131" s="164" t="str">
        <f>"Line "&amp;A58&amp;""</f>
        <v>Line 36</v>
      </c>
      <c r="K131" s="173">
        <f>K58</f>
        <v>66056888.527829707</v>
      </c>
    </row>
    <row r="132" spans="1:11" ht="13" x14ac:dyDescent="0.3">
      <c r="A132" s="166">
        <f t="shared" si="3"/>
        <v>72</v>
      </c>
      <c r="B132" s="164" t="s">
        <v>157</v>
      </c>
      <c r="H132" s="176" t="s">
        <v>127</v>
      </c>
      <c r="I132" s="164" t="s">
        <v>748</v>
      </c>
      <c r="K132" s="173">
        <v>-54094032.244774804</v>
      </c>
    </row>
    <row r="133" spans="1:11" ht="13" x14ac:dyDescent="0.3">
      <c r="A133" s="166">
        <f t="shared" si="3"/>
        <v>73</v>
      </c>
      <c r="B133" s="164" t="s">
        <v>158</v>
      </c>
      <c r="H133" s="169"/>
      <c r="I133" s="164" t="str">
        <f>"Line "&amp;A97&amp;""</f>
        <v>Line 56</v>
      </c>
      <c r="K133" s="173">
        <f>K97</f>
        <v>473883456.19603324</v>
      </c>
    </row>
    <row r="134" spans="1:11" ht="13" x14ac:dyDescent="0.3">
      <c r="A134" s="166">
        <f t="shared" si="3"/>
        <v>74</v>
      </c>
      <c r="B134" s="164" t="s">
        <v>159</v>
      </c>
      <c r="H134" s="169"/>
      <c r="I134" s="164" t="str">
        <f>"Line "&amp;A112&amp;""</f>
        <v>Line 64</v>
      </c>
      <c r="K134" s="182">
        <f>K112</f>
        <v>115635411.48384537</v>
      </c>
    </row>
    <row r="135" spans="1:11" ht="13" x14ac:dyDescent="0.3">
      <c r="A135" s="166">
        <f t="shared" si="3"/>
        <v>75</v>
      </c>
      <c r="B135" s="164" t="s">
        <v>307</v>
      </c>
      <c r="H135" s="176" t="s">
        <v>308</v>
      </c>
      <c r="I135" s="174" t="s">
        <v>694</v>
      </c>
      <c r="K135" s="182">
        <v>0</v>
      </c>
    </row>
    <row r="136" spans="1:11" ht="13" x14ac:dyDescent="0.3">
      <c r="A136" s="166">
        <f t="shared" si="3"/>
        <v>76</v>
      </c>
      <c r="B136" s="48" t="s">
        <v>161</v>
      </c>
      <c r="C136" s="48"/>
      <c r="H136" s="169"/>
      <c r="I136" s="174" t="s">
        <v>735</v>
      </c>
      <c r="K136" s="182">
        <v>0</v>
      </c>
    </row>
    <row r="137" spans="1:11" ht="13" x14ac:dyDescent="0.3">
      <c r="A137" s="166">
        <f t="shared" si="3"/>
        <v>77</v>
      </c>
      <c r="B137" s="174" t="s">
        <v>309</v>
      </c>
      <c r="H137" s="169"/>
      <c r="I137" s="164" t="s">
        <v>737</v>
      </c>
      <c r="K137" s="182">
        <v>26352647.066676423</v>
      </c>
    </row>
    <row r="138" spans="1:11" ht="13" x14ac:dyDescent="0.3">
      <c r="A138" s="166" t="s">
        <v>310</v>
      </c>
      <c r="B138" s="174" t="s">
        <v>311</v>
      </c>
      <c r="H138" s="176" t="s">
        <v>312</v>
      </c>
      <c r="I138" s="174" t="s">
        <v>313</v>
      </c>
      <c r="K138" s="177">
        <f>-K137</f>
        <v>-26352647.066676423</v>
      </c>
    </row>
    <row r="139" spans="1:11" ht="13" x14ac:dyDescent="0.3">
      <c r="A139" s="166">
        <f>A137+1</f>
        <v>78</v>
      </c>
      <c r="B139" s="174" t="s">
        <v>314</v>
      </c>
      <c r="H139" s="169"/>
      <c r="I139" s="164" t="str">
        <f>"Sum of Lines "&amp;A126&amp;" to "&amp;A138&amp;""</f>
        <v>Sum of Lines 66 to 77a</v>
      </c>
      <c r="K139" s="173">
        <f>SUM(K126:K138)</f>
        <v>1053361063.8536563</v>
      </c>
    </row>
    <row r="140" spans="1:11" ht="13" x14ac:dyDescent="0.3">
      <c r="A140" s="224"/>
      <c r="B140" s="174"/>
      <c r="H140" s="169"/>
      <c r="K140" s="173"/>
    </row>
    <row r="141" spans="1:11" ht="13" x14ac:dyDescent="0.3">
      <c r="A141" s="166">
        <f>A139+1</f>
        <v>79</v>
      </c>
      <c r="B141" s="174" t="s">
        <v>315</v>
      </c>
      <c r="I141" s="164" t="s">
        <v>739</v>
      </c>
      <c r="K141" s="173">
        <v>9741565.1419857405</v>
      </c>
    </row>
    <row r="142" spans="1:11" ht="13" x14ac:dyDescent="0.3">
      <c r="A142" s="166">
        <f t="shared" si="3"/>
        <v>80</v>
      </c>
      <c r="B142" s="174" t="s">
        <v>316</v>
      </c>
      <c r="I142" s="164" t="s">
        <v>740</v>
      </c>
      <c r="K142" s="173">
        <v>2247880.5003602677</v>
      </c>
    </row>
    <row r="143" spans="1:11" ht="13" x14ac:dyDescent="0.3">
      <c r="A143" s="166"/>
      <c r="B143" s="174"/>
      <c r="K143" s="173"/>
    </row>
    <row r="144" spans="1:11" ht="13" x14ac:dyDescent="0.3">
      <c r="A144" s="166">
        <f>A142+1</f>
        <v>81</v>
      </c>
      <c r="B144" s="174" t="s">
        <v>317</v>
      </c>
      <c r="I144" s="164" t="str">
        <f>"Line "&amp;A139&amp;" + Line "&amp;A141&amp;"+ Line "&amp;A142&amp;""</f>
        <v>Line 78 + Line 79+ Line 80</v>
      </c>
      <c r="K144" s="173">
        <f>K139+K141+K142</f>
        <v>1065350509.4960023</v>
      </c>
    </row>
    <row r="146" spans="1:15" ht="13" x14ac:dyDescent="0.3">
      <c r="A146" s="209" t="s">
        <v>318</v>
      </c>
      <c r="B146" s="210"/>
      <c r="C146" s="210"/>
      <c r="D146" s="210"/>
      <c r="E146" s="210"/>
      <c r="F146" s="210"/>
      <c r="G146" s="210"/>
      <c r="H146" s="211"/>
      <c r="I146" s="211"/>
      <c r="J146" s="211"/>
      <c r="K146" s="211"/>
    </row>
    <row r="148" spans="1:15" x14ac:dyDescent="0.25">
      <c r="B148" s="175" t="s">
        <v>319</v>
      </c>
    </row>
    <row r="149" spans="1:15" ht="13" x14ac:dyDescent="0.3">
      <c r="A149" s="166">
        <f>A144+1</f>
        <v>82</v>
      </c>
      <c r="B149" s="164" t="s">
        <v>317</v>
      </c>
      <c r="I149" s="164" t="str">
        <f>"Line "&amp;A144&amp;""</f>
        <v>Line 81</v>
      </c>
      <c r="K149" s="173">
        <f>K144</f>
        <v>1065350509.4960023</v>
      </c>
    </row>
    <row r="150" spans="1:15" ht="13" x14ac:dyDescent="0.3">
      <c r="A150" s="166">
        <f>A149+1</f>
        <v>83</v>
      </c>
      <c r="B150" s="164" t="s">
        <v>320</v>
      </c>
      <c r="I150" s="174" t="s">
        <v>749</v>
      </c>
      <c r="K150" s="173">
        <v>102323861.89197384</v>
      </c>
    </row>
    <row r="151" spans="1:15" ht="13" x14ac:dyDescent="0.3">
      <c r="A151" s="166">
        <f>A150+1</f>
        <v>84</v>
      </c>
      <c r="B151" s="174" t="s">
        <v>321</v>
      </c>
      <c r="H151" s="174"/>
      <c r="I151" s="174" t="s">
        <v>750</v>
      </c>
      <c r="K151" s="182">
        <v>-37907169.000273913</v>
      </c>
    </row>
    <row r="152" spans="1:15" ht="13" x14ac:dyDescent="0.3">
      <c r="A152" s="166">
        <f>A151+1</f>
        <v>85</v>
      </c>
      <c r="B152" s="174" t="s">
        <v>322</v>
      </c>
      <c r="H152" s="174" t="s">
        <v>323</v>
      </c>
      <c r="K152" s="227">
        <v>0</v>
      </c>
    </row>
    <row r="153" spans="1:15" ht="13" x14ac:dyDescent="0.3">
      <c r="A153" s="166"/>
      <c r="K153" s="173"/>
    </row>
    <row r="154" spans="1:15" ht="13" x14ac:dyDescent="0.3">
      <c r="A154" s="166">
        <f>A152+1</f>
        <v>86</v>
      </c>
      <c r="B154" s="174" t="s">
        <v>324</v>
      </c>
      <c r="H154" s="174" t="s">
        <v>325</v>
      </c>
      <c r="I154" s="164" t="str">
        <f>"L "&amp;A149&amp;" + L "&amp;A150&amp;" + L "&amp;A151&amp;" + L "&amp;A152&amp;""</f>
        <v>L 82 + L 83 + L 84 + L 85</v>
      </c>
      <c r="K154" s="173">
        <f>K149+K150+K151+K152</f>
        <v>1129767202.3877022</v>
      </c>
      <c r="O154" s="173"/>
    </row>
    <row r="155" spans="1:15" ht="13" x14ac:dyDescent="0.3">
      <c r="A155" s="166"/>
      <c r="K155" s="173"/>
    </row>
    <row r="156" spans="1:15" ht="13" x14ac:dyDescent="0.3">
      <c r="A156" s="166"/>
      <c r="B156" s="175" t="s">
        <v>326</v>
      </c>
      <c r="K156" s="173"/>
    </row>
    <row r="157" spans="1:15" ht="13" x14ac:dyDescent="0.3">
      <c r="A157" s="166">
        <f>A154+1</f>
        <v>87</v>
      </c>
      <c r="B157" s="164" t="s">
        <v>327</v>
      </c>
      <c r="I157" s="164" t="str">
        <f>"Line "&amp;A154&amp;""</f>
        <v>Line 86</v>
      </c>
      <c r="K157" s="173">
        <f>K154</f>
        <v>1129767202.3877022</v>
      </c>
    </row>
    <row r="158" spans="1:15" ht="13" x14ac:dyDescent="0.3">
      <c r="A158" s="166">
        <f>A157+1</f>
        <v>88</v>
      </c>
      <c r="B158" s="164" t="s">
        <v>328</v>
      </c>
      <c r="I158" s="174" t="s">
        <v>751</v>
      </c>
      <c r="K158" s="177">
        <v>-4695003.2913182173</v>
      </c>
    </row>
    <row r="159" spans="1:15" ht="13" x14ac:dyDescent="0.3">
      <c r="A159" s="166">
        <f>A158+1</f>
        <v>89</v>
      </c>
      <c r="B159" s="164" t="s">
        <v>326</v>
      </c>
      <c r="I159" s="164" t="str">
        <f>"Line "&amp;A157&amp;" + Line "&amp;A158&amp;""</f>
        <v>Line 87 + Line 88</v>
      </c>
      <c r="K159" s="173">
        <f>K157+K158</f>
        <v>1125072199.096384</v>
      </c>
    </row>
    <row r="160" spans="1:15" x14ac:dyDescent="0.25">
      <c r="H160" s="174"/>
    </row>
    <row r="161" spans="2:9" ht="13" x14ac:dyDescent="0.3">
      <c r="B161" s="170" t="s">
        <v>87</v>
      </c>
    </row>
    <row r="162" spans="2:9" x14ac:dyDescent="0.25">
      <c r="B162" s="174" t="s">
        <v>329</v>
      </c>
    </row>
    <row r="163" spans="2:9" x14ac:dyDescent="0.25">
      <c r="B163" s="176" t="s">
        <v>330</v>
      </c>
    </row>
    <row r="164" spans="2:9" x14ac:dyDescent="0.25">
      <c r="B164" s="174" t="s">
        <v>671</v>
      </c>
    </row>
    <row r="165" spans="2:9" x14ac:dyDescent="0.25">
      <c r="B165" s="174" t="s">
        <v>672</v>
      </c>
    </row>
    <row r="166" spans="2:9" x14ac:dyDescent="0.25">
      <c r="B166" s="174" t="s">
        <v>673</v>
      </c>
    </row>
    <row r="167" spans="2:9" x14ac:dyDescent="0.25">
      <c r="B167" s="174"/>
      <c r="C167" s="164" t="s">
        <v>674</v>
      </c>
      <c r="F167" s="194" t="s">
        <v>675</v>
      </c>
      <c r="G167" s="199"/>
      <c r="H167" s="199"/>
      <c r="I167" s="199"/>
    </row>
    <row r="168" spans="2:9" x14ac:dyDescent="0.25">
      <c r="B168" s="174" t="s">
        <v>676</v>
      </c>
      <c r="C168" s="174"/>
      <c r="D168" s="174"/>
      <c r="E168" s="174"/>
      <c r="F168" s="174"/>
      <c r="G168" s="174"/>
      <c r="H168" s="174"/>
    </row>
    <row r="169" spans="2:9" x14ac:dyDescent="0.25">
      <c r="B169" s="176" t="s">
        <v>337</v>
      </c>
    </row>
    <row r="170" spans="2:9" x14ac:dyDescent="0.25">
      <c r="B170" s="176" t="s">
        <v>677</v>
      </c>
    </row>
    <row r="171" spans="2:9" x14ac:dyDescent="0.25">
      <c r="B171" s="174" t="s">
        <v>341</v>
      </c>
    </row>
    <row r="172" spans="2:9" x14ac:dyDescent="0.25">
      <c r="B172" s="174" t="s">
        <v>678</v>
      </c>
    </row>
    <row r="173" spans="2:9" x14ac:dyDescent="0.25">
      <c r="B173" s="176" t="s">
        <v>679</v>
      </c>
    </row>
  </sheetData>
  <pageMargins left="0.75" right="0.75" top="1" bottom="1" header="0.5" footer="0.5"/>
  <pageSetup scale="63" orientation="portrait" cellComments="asDisplayed" r:id="rId1"/>
  <headerFooter alignWithMargins="0">
    <oddHeader xml:space="preserve">&amp;CSchedule 1
Base TRR
(TO2021 EDIT Amortization Adj)&amp;RTO2021 Draft Annual Update
Attachment 4
WP-Schedule 3-One Time Adjustment Transition
Page &amp;P of &amp;N
</oddHeader>
    <oddFooter>&amp;R&amp;A</oddFooter>
  </headerFooter>
  <rowBreaks count="2" manualBreakCount="2">
    <brk id="59" max="16383" man="1"/>
    <brk id="122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39"/>
  <sheetViews>
    <sheetView zoomScaleNormal="100" workbookViewId="0"/>
  </sheetViews>
  <sheetFormatPr defaultRowHeight="14.5" x14ac:dyDescent="0.35"/>
  <cols>
    <col min="1" max="1" width="2.453125" customWidth="1"/>
    <col min="2" max="2" width="3.7265625" customWidth="1"/>
    <col min="3" max="3" width="4.81640625" customWidth="1"/>
    <col min="4" max="4" width="18.81640625" customWidth="1"/>
    <col min="5" max="5" width="14.1796875" customWidth="1"/>
    <col min="6" max="6" width="15.81640625" customWidth="1"/>
    <col min="7" max="7" width="16.81640625" customWidth="1"/>
    <col min="8" max="8" width="14.453125" customWidth="1"/>
    <col min="9" max="9" width="7.7265625" customWidth="1"/>
    <col min="10" max="13" width="14.7265625" customWidth="1"/>
    <col min="18" max="18" width="16" customWidth="1"/>
    <col min="19" max="19" width="10.7265625" customWidth="1"/>
    <col min="20" max="20" width="16.453125" bestFit="1" customWidth="1"/>
  </cols>
  <sheetData>
    <row r="1" spans="1:20" x14ac:dyDescent="0.35">
      <c r="A1" s="21" t="s">
        <v>47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20" x14ac:dyDescent="0.35">
      <c r="A2" s="21" t="s">
        <v>48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20" x14ac:dyDescent="0.35">
      <c r="K3" s="14"/>
      <c r="L3" s="14"/>
    </row>
    <row r="4" spans="1:20" x14ac:dyDescent="0.35">
      <c r="B4" s="1" t="s">
        <v>49</v>
      </c>
      <c r="C4" s="1"/>
      <c r="F4" s="134">
        <v>2019</v>
      </c>
      <c r="J4" s="13"/>
      <c r="K4" s="15"/>
      <c r="L4" s="13"/>
    </row>
    <row r="5" spans="1:20" x14ac:dyDescent="0.35">
      <c r="C5" s="5" t="s">
        <v>50</v>
      </c>
      <c r="E5" s="20" t="s">
        <v>51</v>
      </c>
      <c r="F5" s="8">
        <f>E38</f>
        <v>1045038533.2814256</v>
      </c>
      <c r="K5" s="28"/>
      <c r="L5" s="13"/>
    </row>
    <row r="6" spans="1:20" x14ac:dyDescent="0.35">
      <c r="C6" s="5" t="s">
        <v>52</v>
      </c>
      <c r="E6" s="20" t="s">
        <v>53</v>
      </c>
      <c r="F6" s="8">
        <f>G39</f>
        <v>1032378173.901196</v>
      </c>
      <c r="G6" s="136" t="s">
        <v>54</v>
      </c>
      <c r="L6" s="13"/>
    </row>
    <row r="7" spans="1:20" x14ac:dyDescent="0.35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35"/>
    </row>
    <row r="8" spans="1:20" x14ac:dyDescent="0.35">
      <c r="A8" s="22"/>
      <c r="B8" s="21" t="s">
        <v>55</v>
      </c>
      <c r="C8" s="22"/>
      <c r="D8" s="22"/>
      <c r="E8" s="22"/>
      <c r="F8" s="22"/>
      <c r="G8" s="22"/>
      <c r="H8" s="22"/>
      <c r="I8" s="22"/>
      <c r="J8" s="22"/>
      <c r="K8" s="22"/>
      <c r="L8" s="35"/>
      <c r="T8" s="135"/>
    </row>
    <row r="9" spans="1:20" x14ac:dyDescent="0.35">
      <c r="A9" s="22"/>
      <c r="B9" s="22"/>
      <c r="C9" s="22"/>
      <c r="D9" s="22"/>
      <c r="E9" s="22"/>
      <c r="F9" s="39" t="s">
        <v>56</v>
      </c>
      <c r="G9" s="39" t="s">
        <v>57</v>
      </c>
      <c r="H9" s="39" t="s">
        <v>58</v>
      </c>
      <c r="I9" s="39" t="s">
        <v>59</v>
      </c>
      <c r="J9" s="39" t="s">
        <v>60</v>
      </c>
      <c r="K9" s="39" t="s">
        <v>61</v>
      </c>
      <c r="L9" s="39" t="s">
        <v>62</v>
      </c>
    </row>
    <row r="10" spans="1:20" x14ac:dyDescent="0.35">
      <c r="A10" s="22"/>
      <c r="B10" s="22"/>
      <c r="C10" s="22"/>
      <c r="D10" s="22"/>
      <c r="E10" s="22"/>
      <c r="F10" s="40" t="s">
        <v>63</v>
      </c>
      <c r="G10" s="40" t="s">
        <v>64</v>
      </c>
      <c r="H10" s="40" t="s">
        <v>65</v>
      </c>
      <c r="I10" s="39"/>
      <c r="J10" s="40" t="s">
        <v>66</v>
      </c>
      <c r="K10" s="40"/>
      <c r="L10" s="40" t="s">
        <v>67</v>
      </c>
    </row>
    <row r="11" spans="1:20" x14ac:dyDescent="0.35">
      <c r="A11" s="22"/>
      <c r="B11" s="22"/>
      <c r="C11" s="22"/>
      <c r="D11" s="22"/>
      <c r="E11" s="22"/>
      <c r="F11" s="22"/>
      <c r="G11" s="22"/>
      <c r="I11" s="22"/>
      <c r="J11" s="35" t="s">
        <v>68</v>
      </c>
      <c r="K11" s="22"/>
      <c r="L11" s="35" t="s">
        <v>68</v>
      </c>
    </row>
    <row r="12" spans="1:20" x14ac:dyDescent="0.35">
      <c r="A12" s="22"/>
      <c r="B12" s="22"/>
      <c r="C12" s="21"/>
      <c r="D12" s="22"/>
      <c r="E12" s="22"/>
      <c r="F12" s="22"/>
      <c r="G12" s="22"/>
      <c r="I12" s="22"/>
      <c r="J12" s="37" t="s">
        <v>69</v>
      </c>
      <c r="K12" s="22"/>
      <c r="L12" s="37" t="s">
        <v>69</v>
      </c>
    </row>
    <row r="13" spans="1:20" x14ac:dyDescent="0.35">
      <c r="A13" s="22"/>
      <c r="B13" s="22"/>
      <c r="C13" s="22"/>
      <c r="D13" s="22"/>
      <c r="E13" s="22"/>
      <c r="F13" s="22"/>
      <c r="G13" s="22"/>
      <c r="I13" s="22"/>
      <c r="J13" s="37" t="s">
        <v>70</v>
      </c>
      <c r="K13" s="22"/>
      <c r="L13" s="37" t="s">
        <v>70</v>
      </c>
    </row>
    <row r="14" spans="1:20" x14ac:dyDescent="0.35">
      <c r="A14" s="22"/>
      <c r="B14" s="22"/>
      <c r="C14" s="22"/>
      <c r="D14" s="22"/>
      <c r="E14" s="22"/>
      <c r="F14" s="22"/>
      <c r="G14" s="22"/>
      <c r="H14" s="37" t="s">
        <v>69</v>
      </c>
      <c r="I14" s="22"/>
      <c r="J14" s="37" t="s">
        <v>71</v>
      </c>
      <c r="K14" s="22"/>
      <c r="L14" s="37" t="s">
        <v>71</v>
      </c>
    </row>
    <row r="15" spans="1:20" x14ac:dyDescent="0.35">
      <c r="A15" s="22"/>
      <c r="B15" s="22"/>
      <c r="C15" s="22"/>
      <c r="D15" s="22"/>
      <c r="E15" s="22"/>
      <c r="H15" s="37" t="s">
        <v>70</v>
      </c>
      <c r="I15" s="21" t="s">
        <v>72</v>
      </c>
      <c r="J15" s="37" t="s">
        <v>73</v>
      </c>
      <c r="K15" s="41" t="s">
        <v>74</v>
      </c>
      <c r="L15" s="37" t="s">
        <v>73</v>
      </c>
    </row>
    <row r="16" spans="1:20" x14ac:dyDescent="0.35">
      <c r="A16" s="22"/>
      <c r="B16" s="22"/>
      <c r="C16" s="22"/>
      <c r="D16" s="22"/>
      <c r="E16" s="22"/>
      <c r="F16" s="37" t="s">
        <v>75</v>
      </c>
      <c r="G16" s="37" t="s">
        <v>76</v>
      </c>
      <c r="H16" s="37" t="s">
        <v>71</v>
      </c>
      <c r="I16" s="37" t="s">
        <v>74</v>
      </c>
      <c r="J16" s="35" t="s">
        <v>77</v>
      </c>
      <c r="K16" s="35" t="s">
        <v>78</v>
      </c>
      <c r="L16" s="35" t="s">
        <v>79</v>
      </c>
    </row>
    <row r="17" spans="1:13" x14ac:dyDescent="0.35">
      <c r="A17" s="22"/>
      <c r="B17" s="22"/>
      <c r="C17" s="38" t="s">
        <v>22</v>
      </c>
      <c r="D17" s="25" t="s">
        <v>23</v>
      </c>
      <c r="E17" s="25" t="s">
        <v>24</v>
      </c>
      <c r="F17" s="148" t="s">
        <v>80</v>
      </c>
      <c r="G17" s="38" t="s">
        <v>81</v>
      </c>
      <c r="H17" s="38" t="s">
        <v>73</v>
      </c>
      <c r="I17" s="38" t="s">
        <v>82</v>
      </c>
      <c r="J17" s="16" t="s">
        <v>83</v>
      </c>
      <c r="K17" s="16" t="s">
        <v>23</v>
      </c>
      <c r="L17" s="16" t="s">
        <v>83</v>
      </c>
    </row>
    <row r="18" spans="1:13" x14ac:dyDescent="0.35">
      <c r="C18" s="5">
        <v>1</v>
      </c>
      <c r="D18" s="3" t="s">
        <v>27</v>
      </c>
      <c r="E18" s="4">
        <v>2018</v>
      </c>
      <c r="F18" s="18" t="s">
        <v>28</v>
      </c>
      <c r="G18" s="18" t="s">
        <v>28</v>
      </c>
      <c r="H18" s="18" t="s">
        <v>28</v>
      </c>
      <c r="I18" s="12">
        <v>4.1000000000000003E-3</v>
      </c>
      <c r="J18" s="18" t="s">
        <v>28</v>
      </c>
      <c r="K18" s="18" t="s">
        <v>28</v>
      </c>
      <c r="L18" s="18" t="s">
        <v>28</v>
      </c>
      <c r="M18" s="42"/>
    </row>
    <row r="19" spans="1:13" x14ac:dyDescent="0.35">
      <c r="C19" s="5">
        <v>2</v>
      </c>
      <c r="D19" s="2" t="s">
        <v>30</v>
      </c>
      <c r="E19" s="4">
        <v>2019</v>
      </c>
      <c r="F19" s="7">
        <f t="shared" ref="F19:F30" si="0">$F$5/12</f>
        <v>87086544.440118805</v>
      </c>
      <c r="G19" s="7">
        <f>$F$6/12</f>
        <v>86031514.491766334</v>
      </c>
      <c r="H19" s="7">
        <f>G19-F19</f>
        <v>-1055029.948352471</v>
      </c>
      <c r="I19" s="12">
        <v>4.3E-3</v>
      </c>
      <c r="J19" s="7">
        <f>H19</f>
        <v>-1055029.948352471</v>
      </c>
      <c r="K19" s="17">
        <f>((J19)/2)*I19</f>
        <v>-2268.3143889578128</v>
      </c>
      <c r="L19" s="7">
        <f>J19+K19</f>
        <v>-1057298.2627414288</v>
      </c>
    </row>
    <row r="20" spans="1:13" x14ac:dyDescent="0.35">
      <c r="C20" s="5">
        <v>3</v>
      </c>
      <c r="D20" s="3" t="s">
        <v>32</v>
      </c>
      <c r="E20" s="4">
        <v>2019</v>
      </c>
      <c r="F20" s="7">
        <f t="shared" si="0"/>
        <v>87086544.440118805</v>
      </c>
      <c r="G20" s="7">
        <f t="shared" ref="G20:G30" si="1">$F$6/12</f>
        <v>86031514.491766334</v>
      </c>
      <c r="H20" s="7">
        <f t="shared" ref="H20:H30" si="2">G20-F20</f>
        <v>-1055029.948352471</v>
      </c>
      <c r="I20" s="12">
        <v>4.3E-3</v>
      </c>
      <c r="J20" s="17">
        <f>L19+H20</f>
        <v>-2112328.2110938998</v>
      </c>
      <c r="K20" s="17">
        <f>((L19+J20)/2)*I20</f>
        <v>-6814.6969187459563</v>
      </c>
      <c r="L20" s="7">
        <f t="shared" ref="L20:L29" si="3">J20+K20</f>
        <v>-2119142.9080126458</v>
      </c>
    </row>
    <row r="21" spans="1:13" x14ac:dyDescent="0.35">
      <c r="C21" s="5">
        <v>4</v>
      </c>
      <c r="D21" s="3" t="s">
        <v>34</v>
      </c>
      <c r="E21" s="4">
        <v>2019</v>
      </c>
      <c r="F21" s="7">
        <f t="shared" si="0"/>
        <v>87086544.440118805</v>
      </c>
      <c r="G21" s="7">
        <f t="shared" si="1"/>
        <v>86031514.491766334</v>
      </c>
      <c r="H21" s="7">
        <f t="shared" si="2"/>
        <v>-1055029.948352471</v>
      </c>
      <c r="I21" s="12">
        <v>4.3E-3</v>
      </c>
      <c r="J21" s="17">
        <f t="shared" ref="J21:J30" si="4">L20+H21</f>
        <v>-3174172.8563651168</v>
      </c>
      <c r="K21" s="17">
        <f t="shared" ref="K21:K30" si="5">((L20+J21)/2)*I21</f>
        <v>-11380.628893412189</v>
      </c>
      <c r="L21" s="7">
        <f t="shared" si="3"/>
        <v>-3185553.485258529</v>
      </c>
    </row>
    <row r="22" spans="1:13" x14ac:dyDescent="0.35">
      <c r="C22" s="5">
        <v>5</v>
      </c>
      <c r="D22" s="2" t="s">
        <v>36</v>
      </c>
      <c r="E22" s="4">
        <v>2019</v>
      </c>
      <c r="F22" s="7">
        <f t="shared" si="0"/>
        <v>87086544.440118805</v>
      </c>
      <c r="G22" s="7">
        <f t="shared" si="1"/>
        <v>86031514.491766334</v>
      </c>
      <c r="H22" s="7">
        <f t="shared" si="2"/>
        <v>-1055029.948352471</v>
      </c>
      <c r="I22" s="12">
        <v>4.4999999999999997E-3</v>
      </c>
      <c r="J22" s="17">
        <f t="shared" si="4"/>
        <v>-4240583.433611</v>
      </c>
      <c r="K22" s="17">
        <f t="shared" si="5"/>
        <v>-16708.808067456437</v>
      </c>
      <c r="L22" s="7">
        <f t="shared" si="3"/>
        <v>-4257292.2416784568</v>
      </c>
    </row>
    <row r="23" spans="1:13" x14ac:dyDescent="0.35">
      <c r="C23" s="5">
        <v>6</v>
      </c>
      <c r="D23" s="3" t="s">
        <v>37</v>
      </c>
      <c r="E23" s="4">
        <v>2019</v>
      </c>
      <c r="F23" s="7">
        <f t="shared" si="0"/>
        <v>87086544.440118805</v>
      </c>
      <c r="G23" s="7">
        <f t="shared" si="1"/>
        <v>86031514.491766334</v>
      </c>
      <c r="H23" s="7">
        <f t="shared" si="2"/>
        <v>-1055029.948352471</v>
      </c>
      <c r="I23" s="12">
        <v>4.4999999999999997E-3</v>
      </c>
      <c r="J23" s="17">
        <f t="shared" si="4"/>
        <v>-5312322.1900309278</v>
      </c>
      <c r="K23" s="17">
        <f t="shared" si="5"/>
        <v>-21531.632471346114</v>
      </c>
      <c r="L23" s="7">
        <f t="shared" si="3"/>
        <v>-5333853.8225022741</v>
      </c>
    </row>
    <row r="24" spans="1:13" x14ac:dyDescent="0.35">
      <c r="C24" s="5">
        <v>7</v>
      </c>
      <c r="D24" s="3" t="s">
        <v>38</v>
      </c>
      <c r="E24" s="4">
        <v>2019</v>
      </c>
      <c r="F24" s="7">
        <f t="shared" si="0"/>
        <v>87086544.440118805</v>
      </c>
      <c r="G24" s="7">
        <f t="shared" si="1"/>
        <v>86031514.491766334</v>
      </c>
      <c r="H24" s="7">
        <f t="shared" si="2"/>
        <v>-1055029.948352471</v>
      </c>
      <c r="I24" s="12">
        <v>4.4999999999999997E-3</v>
      </c>
      <c r="J24" s="17">
        <f t="shared" si="4"/>
        <v>-6388883.7708547451</v>
      </c>
      <c r="K24" s="17">
        <f t="shared" si="5"/>
        <v>-26376.15958505329</v>
      </c>
      <c r="L24" s="7">
        <f t="shared" si="3"/>
        <v>-6415259.9304397982</v>
      </c>
    </row>
    <row r="25" spans="1:13" x14ac:dyDescent="0.35">
      <c r="C25" s="5">
        <v>8</v>
      </c>
      <c r="D25" s="2" t="s">
        <v>39</v>
      </c>
      <c r="E25" s="4">
        <v>2019</v>
      </c>
      <c r="F25" s="7">
        <f t="shared" si="0"/>
        <v>87086544.440118805</v>
      </c>
      <c r="G25" s="7">
        <f t="shared" si="1"/>
        <v>86031514.491766334</v>
      </c>
      <c r="H25" s="7">
        <f t="shared" si="2"/>
        <v>-1055029.948352471</v>
      </c>
      <c r="I25" s="12">
        <v>4.5999999999999999E-3</v>
      </c>
      <c r="J25" s="17">
        <f t="shared" si="4"/>
        <v>-7470289.8787922692</v>
      </c>
      <c r="K25" s="17">
        <f t="shared" si="5"/>
        <v>-31936.764561233755</v>
      </c>
      <c r="L25" s="7">
        <f t="shared" si="3"/>
        <v>-7502226.6433535032</v>
      </c>
    </row>
    <row r="26" spans="1:13" x14ac:dyDescent="0.35">
      <c r="C26" s="5">
        <v>9</v>
      </c>
      <c r="D26" s="3" t="s">
        <v>40</v>
      </c>
      <c r="E26" s="4">
        <v>2019</v>
      </c>
      <c r="F26" s="7">
        <f t="shared" si="0"/>
        <v>87086544.440118805</v>
      </c>
      <c r="G26" s="7">
        <f t="shared" si="1"/>
        <v>86031514.491766334</v>
      </c>
      <c r="H26" s="7">
        <f t="shared" si="2"/>
        <v>-1055029.948352471</v>
      </c>
      <c r="I26" s="12">
        <v>4.5999999999999999E-3</v>
      </c>
      <c r="J26" s="17">
        <f t="shared" si="4"/>
        <v>-8557256.5917059742</v>
      </c>
      <c r="K26" s="17">
        <f t="shared" si="5"/>
        <v>-36936.811440636797</v>
      </c>
      <c r="L26" s="7">
        <f t="shared" si="3"/>
        <v>-8594193.4031466115</v>
      </c>
    </row>
    <row r="27" spans="1:13" x14ac:dyDescent="0.35">
      <c r="C27" s="5">
        <v>10</v>
      </c>
      <c r="D27" s="3" t="s">
        <v>41</v>
      </c>
      <c r="E27" s="4">
        <v>2019</v>
      </c>
      <c r="F27" s="7">
        <f t="shared" si="0"/>
        <v>87086544.440118805</v>
      </c>
      <c r="G27" s="7">
        <f t="shared" si="1"/>
        <v>86031514.491766334</v>
      </c>
      <c r="H27" s="7">
        <f t="shared" si="2"/>
        <v>-1055029.948352471</v>
      </c>
      <c r="I27" s="12">
        <v>4.5999999999999999E-3</v>
      </c>
      <c r="J27" s="17">
        <f t="shared" si="4"/>
        <v>-9649223.3514990825</v>
      </c>
      <c r="K27" s="17">
        <f t="shared" si="5"/>
        <v>-41959.858535685096</v>
      </c>
      <c r="L27" s="7">
        <f t="shared" si="3"/>
        <v>-9691183.2100347672</v>
      </c>
    </row>
    <row r="28" spans="1:13" x14ac:dyDescent="0.35">
      <c r="C28" s="5">
        <v>11</v>
      </c>
      <c r="D28" s="2" t="s">
        <v>42</v>
      </c>
      <c r="E28" s="4">
        <v>2019</v>
      </c>
      <c r="F28" s="7">
        <f t="shared" si="0"/>
        <v>87086544.440118805</v>
      </c>
      <c r="G28" s="7">
        <f t="shared" si="1"/>
        <v>86031514.491766334</v>
      </c>
      <c r="H28" s="7">
        <f t="shared" si="2"/>
        <v>-1055029.948352471</v>
      </c>
      <c r="I28" s="12">
        <v>4.4999999999999997E-3</v>
      </c>
      <c r="J28" s="17">
        <f t="shared" si="4"/>
        <v>-10746213.158387238</v>
      </c>
      <c r="K28" s="17">
        <f t="shared" si="5"/>
        <v>-45984.141828949505</v>
      </c>
      <c r="L28" s="7">
        <f t="shared" si="3"/>
        <v>-10792197.300216187</v>
      </c>
    </row>
    <row r="29" spans="1:13" ht="15" thickBot="1" x14ac:dyDescent="0.4">
      <c r="C29" s="5">
        <v>12</v>
      </c>
      <c r="D29" s="2" t="s">
        <v>43</v>
      </c>
      <c r="E29" s="4">
        <v>2019</v>
      </c>
      <c r="F29" s="7">
        <f t="shared" si="0"/>
        <v>87086544.440118805</v>
      </c>
      <c r="G29" s="7">
        <f t="shared" si="1"/>
        <v>86031514.491766334</v>
      </c>
      <c r="H29" s="7">
        <f t="shared" si="2"/>
        <v>-1055029.948352471</v>
      </c>
      <c r="I29" s="12">
        <v>4.4999999999999997E-3</v>
      </c>
      <c r="J29" s="17">
        <f t="shared" si="4"/>
        <v>-11847227.248568658</v>
      </c>
      <c r="K29" s="17">
        <f t="shared" si="5"/>
        <v>-50938.705234765897</v>
      </c>
      <c r="L29" s="7">
        <f t="shared" si="3"/>
        <v>-11898165.953803424</v>
      </c>
    </row>
    <row r="30" spans="1:13" ht="15" thickBot="1" x14ac:dyDescent="0.4">
      <c r="C30" s="5">
        <v>13</v>
      </c>
      <c r="D30" s="3" t="s">
        <v>27</v>
      </c>
      <c r="E30" s="4">
        <v>2019</v>
      </c>
      <c r="F30" s="10">
        <f t="shared" si="0"/>
        <v>87086544.440118805</v>
      </c>
      <c r="G30" s="10">
        <f t="shared" si="1"/>
        <v>86031514.491766334</v>
      </c>
      <c r="H30" s="10">
        <f t="shared" si="2"/>
        <v>-1055029.948352471</v>
      </c>
      <c r="I30" s="12">
        <v>4.4999999999999997E-3</v>
      </c>
      <c r="J30" s="17">
        <f t="shared" si="4"/>
        <v>-12953195.902155895</v>
      </c>
      <c r="K30" s="17">
        <f t="shared" si="5"/>
        <v>-55915.564175908461</v>
      </c>
      <c r="L30" s="24">
        <f>J30+K30</f>
        <v>-13009111.466331804</v>
      </c>
    </row>
    <row r="31" spans="1:13" x14ac:dyDescent="0.35">
      <c r="E31" s="9" t="s">
        <v>84</v>
      </c>
      <c r="F31" s="7">
        <f>SUM(F19:F30)</f>
        <v>1045038533.2814256</v>
      </c>
      <c r="G31" s="7">
        <f>SUM(G19:G30)</f>
        <v>1032378173.901196</v>
      </c>
      <c r="H31" s="7">
        <f>SUM(H19:H30)</f>
        <v>-12660359.380229652</v>
      </c>
      <c r="L31" s="23" t="s">
        <v>85</v>
      </c>
    </row>
    <row r="32" spans="1:13" x14ac:dyDescent="0.35">
      <c r="L32" s="149" t="s">
        <v>86</v>
      </c>
    </row>
    <row r="33" spans="2:7" x14ac:dyDescent="0.35">
      <c r="B33" s="6" t="s">
        <v>87</v>
      </c>
    </row>
    <row r="34" spans="2:7" x14ac:dyDescent="0.35">
      <c r="B34" s="146" t="s">
        <v>88</v>
      </c>
      <c r="C34" s="139"/>
      <c r="D34" s="139"/>
    </row>
    <row r="35" spans="2:7" x14ac:dyDescent="0.35">
      <c r="B35" s="146" t="s">
        <v>89</v>
      </c>
      <c r="C35" s="147"/>
      <c r="D35" s="146"/>
      <c r="E35" s="146"/>
      <c r="F35" s="146"/>
      <c r="G35" s="146"/>
    </row>
    <row r="36" spans="2:7" ht="29" x14ac:dyDescent="0.35">
      <c r="D36" s="159"/>
      <c r="E36" s="150" t="s">
        <v>81</v>
      </c>
      <c r="F36" s="151" t="s">
        <v>90</v>
      </c>
      <c r="G36" s="150" t="s">
        <v>91</v>
      </c>
    </row>
    <row r="37" spans="2:7" x14ac:dyDescent="0.35">
      <c r="D37" s="159" t="s">
        <v>92</v>
      </c>
      <c r="E37" s="145">
        <v>1030368593.0471914</v>
      </c>
      <c r="F37" s="152">
        <f>315/365</f>
        <v>0.86301369863013699</v>
      </c>
      <c r="G37" s="162">
        <f>F37*E37</f>
        <v>889222210.43798709</v>
      </c>
    </row>
    <row r="38" spans="2:7" x14ac:dyDescent="0.35">
      <c r="D38" s="159" t="s">
        <v>93</v>
      </c>
      <c r="E38" s="145">
        <v>1045038533.2814256</v>
      </c>
      <c r="F38" s="152">
        <f>50/365</f>
        <v>0.13698630136986301</v>
      </c>
      <c r="G38" s="162">
        <f>F38*E38</f>
        <v>143155963.46320897</v>
      </c>
    </row>
    <row r="39" spans="2:7" x14ac:dyDescent="0.35">
      <c r="D39" s="289" t="str">
        <f>E6</f>
        <v>Weighted Average 2019 TUTRR:</v>
      </c>
      <c r="E39" s="289"/>
      <c r="F39" s="289"/>
      <c r="G39" s="162">
        <f>SUM(G37:G38)</f>
        <v>1032378173.901196</v>
      </c>
    </row>
  </sheetData>
  <mergeCells count="1">
    <mergeCell ref="D39:F39"/>
  </mergeCells>
  <phoneticPr fontId="37" type="noConversion"/>
  <pageMargins left="0.7" right="0.7" top="0.75" bottom="0.75" header="0.3" footer="0.3"/>
  <pageSetup scale="75" orientation="landscape" r:id="rId1"/>
  <headerFooter>
    <oddHeader xml:space="preserve">&amp;R&amp;"Arial,Regular"&amp;10TO2021 Draft Annual Update
Attachment 4
WP-Schedule 3-One Time Adjustment Transition
Page &amp;P of &amp;N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CD7BD-3459-4389-9A51-8CF40B2750F4}">
  <sheetPr>
    <tabColor rgb="FFCCECFF"/>
    <pageSetUpPr fitToPage="1"/>
  </sheetPr>
  <dimension ref="B3:J10"/>
  <sheetViews>
    <sheetView zoomScaleNormal="100" workbookViewId="0">
      <selection activeCell="B1" sqref="B1"/>
    </sheetView>
  </sheetViews>
  <sheetFormatPr defaultRowHeight="14.5" x14ac:dyDescent="0.35"/>
  <cols>
    <col min="1" max="1" width="1.7265625" customWidth="1"/>
    <col min="2" max="2" width="9.26953125" customWidth="1"/>
    <col min="3" max="3" width="10.7265625" customWidth="1"/>
    <col min="4" max="4" width="13.1796875" customWidth="1"/>
    <col min="5" max="5" width="19.453125" customWidth="1"/>
    <col min="6" max="6" width="12.1796875" customWidth="1"/>
    <col min="7" max="7" width="14.54296875" customWidth="1"/>
    <col min="8" max="8" width="24.453125" customWidth="1"/>
    <col min="9" max="9" width="12.54296875" customWidth="1"/>
    <col min="10" max="10" width="13.54296875" customWidth="1"/>
    <col min="11" max="11" width="2.54296875" customWidth="1"/>
    <col min="12" max="12" width="25.54296875" customWidth="1"/>
  </cols>
  <sheetData>
    <row r="3" spans="2:10" ht="14.5" customHeight="1" x14ac:dyDescent="0.35">
      <c r="B3" s="290" t="s">
        <v>94</v>
      </c>
      <c r="C3" s="290"/>
      <c r="D3" s="290"/>
      <c r="E3" s="290"/>
      <c r="F3" s="290"/>
      <c r="G3" s="290"/>
      <c r="H3" s="290"/>
      <c r="I3" s="290"/>
      <c r="J3" s="290"/>
    </row>
    <row r="4" spans="2:10" ht="14.5" customHeight="1" x14ac:dyDescent="0.35">
      <c r="B4" s="290"/>
      <c r="C4" s="290"/>
      <c r="D4" s="290"/>
      <c r="E4" s="290"/>
      <c r="F4" s="290"/>
      <c r="G4" s="290"/>
      <c r="H4" s="290"/>
      <c r="I4" s="290"/>
      <c r="J4" s="290"/>
    </row>
    <row r="5" spans="2:10" ht="29" x14ac:dyDescent="0.35">
      <c r="B5" s="299" t="s">
        <v>95</v>
      </c>
      <c r="C5" s="299"/>
      <c r="D5" s="299"/>
      <c r="E5" s="158" t="s">
        <v>96</v>
      </c>
      <c r="F5" s="128" t="s">
        <v>97</v>
      </c>
      <c r="G5" s="128" t="s">
        <v>91</v>
      </c>
      <c r="H5" s="300" t="s">
        <v>98</v>
      </c>
      <c r="I5" s="300"/>
      <c r="J5" s="300"/>
    </row>
    <row r="6" spans="2:10" ht="32.5" customHeight="1" x14ac:dyDescent="0.35">
      <c r="B6" s="291" t="s">
        <v>99</v>
      </c>
      <c r="C6" s="292"/>
      <c r="D6" s="293"/>
      <c r="E6" s="28">
        <f>'2019WF-Sch4-TUTRR'!E73</f>
        <v>1029299389.04686</v>
      </c>
      <c r="F6" s="127">
        <f>315/365</f>
        <v>0.86301369863013699</v>
      </c>
      <c r="G6" s="129">
        <f>E6*F6</f>
        <v>888299472.73907089</v>
      </c>
      <c r="H6" s="301" t="s">
        <v>100</v>
      </c>
      <c r="I6" s="301"/>
      <c r="J6" s="301"/>
    </row>
    <row r="7" spans="2:10" ht="36" customHeight="1" x14ac:dyDescent="0.35">
      <c r="B7" s="291" t="s">
        <v>101</v>
      </c>
      <c r="C7" s="292"/>
      <c r="D7" s="293"/>
      <c r="E7" s="132">
        <f>'2019WF-Sch4-TUTRR'!J71</f>
        <v>1030368593.0471914</v>
      </c>
      <c r="F7" s="133">
        <f>315/365</f>
        <v>0.86301369863013699</v>
      </c>
      <c r="G7" s="130">
        <f>E7*F7</f>
        <v>889222210.43798709</v>
      </c>
      <c r="H7" s="294" t="s">
        <v>102</v>
      </c>
      <c r="I7" s="294"/>
      <c r="J7" s="294"/>
    </row>
    <row r="8" spans="2:10" ht="22" customHeight="1" x14ac:dyDescent="0.35">
      <c r="B8" s="296" t="s">
        <v>103</v>
      </c>
      <c r="C8" s="297"/>
      <c r="D8" s="297"/>
      <c r="E8" s="297"/>
      <c r="F8" s="298"/>
      <c r="G8" s="131">
        <f>G6-G7</f>
        <v>-922737.69891619682</v>
      </c>
      <c r="H8" s="295"/>
      <c r="I8" s="295"/>
      <c r="J8" s="295"/>
    </row>
    <row r="10" spans="2:10" x14ac:dyDescent="0.35">
      <c r="E10" s="7"/>
    </row>
  </sheetData>
  <mergeCells count="9">
    <mergeCell ref="B3:J4"/>
    <mergeCell ref="B7:D7"/>
    <mergeCell ref="H7:J7"/>
    <mergeCell ref="H8:J8"/>
    <mergeCell ref="B8:F8"/>
    <mergeCell ref="B5:D5"/>
    <mergeCell ref="H5:J5"/>
    <mergeCell ref="B6:D6"/>
    <mergeCell ref="H6:J6"/>
  </mergeCells>
  <pageMargins left="0.7" right="0.7" top="0.75" bottom="0.75" header="0.3" footer="0.3"/>
  <pageSetup scale="92" orientation="landscape" horizontalDpi="4294967293" verticalDpi="1200" r:id="rId1"/>
  <headerFooter>
    <oddHeader xml:space="preserve">&amp;R&amp;"Arial,Regular"&amp;10TO2021 Draft Annual Update
Attachment 4
WP-Schedule 3-One Time Adjustment Transition
Page &amp;P of &amp;N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F7E59-048F-40A1-A189-4283958530C2}">
  <sheetPr>
    <tabColor rgb="FFCCECFF"/>
  </sheetPr>
  <dimension ref="A1:N172"/>
  <sheetViews>
    <sheetView zoomScale="90" zoomScaleNormal="90" zoomScalePageLayoutView="80" workbookViewId="0"/>
  </sheetViews>
  <sheetFormatPr defaultRowHeight="12.5" x14ac:dyDescent="0.25"/>
  <cols>
    <col min="1" max="2" width="4.54296875" style="164" customWidth="1"/>
    <col min="3" max="3" width="18.54296875" style="164" customWidth="1"/>
    <col min="4" max="4" width="10.453125" style="164" bestFit="1" customWidth="1"/>
    <col min="5" max="7" width="15.54296875" style="164" customWidth="1"/>
    <col min="8" max="8" width="24.54296875" style="164" customWidth="1"/>
    <col min="9" max="9" width="4.54296875" style="164" customWidth="1"/>
    <col min="10" max="10" width="15.54296875" style="164" customWidth="1"/>
    <col min="11" max="11" width="2.54296875" style="164" customWidth="1"/>
    <col min="12" max="12" width="14.453125" style="164" customWidth="1"/>
    <col min="13" max="13" width="4.453125" style="164" customWidth="1"/>
    <col min="14" max="14" width="15.453125" style="164" customWidth="1"/>
    <col min="15" max="16384" width="8.7265625" style="164"/>
  </cols>
  <sheetData>
    <row r="1" spans="1:14" ht="13" x14ac:dyDescent="0.3">
      <c r="A1" s="163" t="s">
        <v>104</v>
      </c>
    </row>
    <row r="3" spans="1:14" ht="13" x14ac:dyDescent="0.3">
      <c r="B3" s="165" t="s">
        <v>105</v>
      </c>
      <c r="L3" s="166"/>
    </row>
    <row r="4" spans="1:14" ht="13" x14ac:dyDescent="0.3">
      <c r="B4" s="167"/>
      <c r="F4" s="166" t="s">
        <v>106</v>
      </c>
      <c r="G4" s="166"/>
      <c r="H4" s="166" t="s">
        <v>107</v>
      </c>
      <c r="L4" s="166"/>
      <c r="N4" s="166"/>
    </row>
    <row r="5" spans="1:14" ht="13" x14ac:dyDescent="0.3">
      <c r="A5" s="168" t="s">
        <v>108</v>
      </c>
      <c r="B5" s="169"/>
      <c r="C5" s="170" t="s">
        <v>109</v>
      </c>
      <c r="F5" s="171" t="s">
        <v>110</v>
      </c>
      <c r="G5" s="171" t="s">
        <v>111</v>
      </c>
      <c r="H5" s="171" t="s">
        <v>112</v>
      </c>
      <c r="J5" s="171" t="s">
        <v>96</v>
      </c>
      <c r="L5" s="171"/>
      <c r="N5" s="171"/>
    </row>
    <row r="6" spans="1:14" ht="13" x14ac:dyDescent="0.3">
      <c r="A6" s="166">
        <v>1</v>
      </c>
      <c r="C6" s="172" t="s">
        <v>113</v>
      </c>
      <c r="F6" s="164" t="s">
        <v>114</v>
      </c>
      <c r="H6" s="172" t="s">
        <v>688</v>
      </c>
      <c r="J6" s="173">
        <v>8939630709.3337479</v>
      </c>
      <c r="L6" s="171"/>
      <c r="N6" s="173"/>
    </row>
    <row r="7" spans="1:14" ht="13" x14ac:dyDescent="0.3">
      <c r="A7" s="166">
        <f>A6+1</f>
        <v>2</v>
      </c>
      <c r="C7" s="172" t="s">
        <v>115</v>
      </c>
      <c r="F7" s="164" t="s">
        <v>116</v>
      </c>
      <c r="H7" s="172" t="s">
        <v>689</v>
      </c>
      <c r="J7" s="173">
        <v>289044062.07088608</v>
      </c>
      <c r="L7" s="171"/>
      <c r="N7" s="173"/>
    </row>
    <row r="8" spans="1:14" ht="13" x14ac:dyDescent="0.3">
      <c r="A8" s="166">
        <f>A7+1</f>
        <v>3</v>
      </c>
      <c r="C8" s="172" t="s">
        <v>117</v>
      </c>
      <c r="F8" s="164" t="s">
        <v>116</v>
      </c>
      <c r="H8" s="164" t="s">
        <v>692</v>
      </c>
      <c r="J8" s="173">
        <v>9942155</v>
      </c>
      <c r="L8" s="171"/>
      <c r="N8" s="173"/>
    </row>
    <row r="9" spans="1:14" ht="13" x14ac:dyDescent="0.3">
      <c r="A9" s="166">
        <f>A8+1</f>
        <v>4</v>
      </c>
      <c r="C9" s="172" t="s">
        <v>118</v>
      </c>
      <c r="F9" s="164" t="s">
        <v>116</v>
      </c>
      <c r="H9" s="174" t="s">
        <v>695</v>
      </c>
      <c r="J9" s="173">
        <v>0</v>
      </c>
      <c r="L9" s="171"/>
      <c r="N9" s="173"/>
    </row>
    <row r="10" spans="1:14" ht="13" x14ac:dyDescent="0.3">
      <c r="A10" s="166"/>
      <c r="C10" s="172"/>
      <c r="J10" s="173"/>
      <c r="L10" s="171"/>
      <c r="N10" s="173"/>
    </row>
    <row r="11" spans="1:14" ht="13" x14ac:dyDescent="0.3">
      <c r="A11" s="166"/>
      <c r="C11" s="175" t="s">
        <v>119</v>
      </c>
      <c r="J11" s="173"/>
      <c r="L11" s="171"/>
      <c r="N11" s="173"/>
    </row>
    <row r="12" spans="1:14" ht="13" x14ac:dyDescent="0.3">
      <c r="A12" s="166">
        <f>A9+1</f>
        <v>5</v>
      </c>
      <c r="C12" s="176" t="s">
        <v>120</v>
      </c>
      <c r="F12" s="164" t="s">
        <v>114</v>
      </c>
      <c r="H12" s="172" t="s">
        <v>698</v>
      </c>
      <c r="J12" s="173">
        <v>21481204.872946855</v>
      </c>
      <c r="L12" s="171"/>
      <c r="N12" s="173"/>
    </row>
    <row r="13" spans="1:14" ht="13" x14ac:dyDescent="0.3">
      <c r="A13" s="166">
        <f>A12+1</f>
        <v>6</v>
      </c>
      <c r="C13" s="169" t="s">
        <v>121</v>
      </c>
      <c r="F13" s="164" t="s">
        <v>114</v>
      </c>
      <c r="H13" s="172" t="s">
        <v>699</v>
      </c>
      <c r="J13" s="173">
        <v>21290573.843281552</v>
      </c>
      <c r="L13" s="171"/>
      <c r="N13" s="173"/>
    </row>
    <row r="14" spans="1:14" ht="13" x14ac:dyDescent="0.3">
      <c r="A14" s="166">
        <f>A13+1</f>
        <v>7</v>
      </c>
      <c r="C14" s="176" t="s">
        <v>122</v>
      </c>
      <c r="F14" s="174" t="s">
        <v>123</v>
      </c>
      <c r="H14" s="164" t="s">
        <v>702</v>
      </c>
      <c r="J14" s="177">
        <v>24351242.598457407</v>
      </c>
      <c r="L14" s="171"/>
      <c r="N14" s="173"/>
    </row>
    <row r="15" spans="1:14" ht="13" x14ac:dyDescent="0.3">
      <c r="A15" s="166">
        <f>A14+1</f>
        <v>8</v>
      </c>
      <c r="C15" s="176" t="s">
        <v>124</v>
      </c>
      <c r="H15" s="164" t="str">
        <f>"Line "&amp;A12&amp;" + Line "&amp;A13&amp;" + Line "&amp;A14&amp;""</f>
        <v>Line 5 + Line 6 + Line 7</v>
      </c>
      <c r="J15" s="173">
        <f>SUM(J12:J14)</f>
        <v>67123021.314685822</v>
      </c>
      <c r="L15" s="171"/>
      <c r="N15" s="173"/>
    </row>
    <row r="16" spans="1:14" ht="13" x14ac:dyDescent="0.3">
      <c r="A16" s="166"/>
      <c r="C16" s="176"/>
      <c r="J16" s="173"/>
      <c r="L16" s="171"/>
      <c r="N16" s="173"/>
    </row>
    <row r="17" spans="1:14" ht="13" x14ac:dyDescent="0.3">
      <c r="A17" s="166"/>
      <c r="C17" s="178" t="s">
        <v>125</v>
      </c>
      <c r="J17" s="173"/>
      <c r="L17" s="171"/>
      <c r="N17" s="173"/>
    </row>
    <row r="18" spans="1:14" ht="13" x14ac:dyDescent="0.3">
      <c r="A18" s="166">
        <f>A15+1</f>
        <v>9</v>
      </c>
      <c r="C18" s="176" t="s">
        <v>126</v>
      </c>
      <c r="F18" s="164" t="s">
        <v>114</v>
      </c>
      <c r="G18" s="164" t="s">
        <v>127</v>
      </c>
      <c r="H18" s="172" t="s">
        <v>718</v>
      </c>
      <c r="J18" s="173">
        <v>-1839774172.2805853</v>
      </c>
      <c r="L18" s="171"/>
      <c r="N18" s="173"/>
    </row>
    <row r="19" spans="1:14" ht="13" x14ac:dyDescent="0.3">
      <c r="A19" s="166">
        <f>A18+1</f>
        <v>10</v>
      </c>
      <c r="C19" s="176" t="s">
        <v>128</v>
      </c>
      <c r="F19" s="164" t="s">
        <v>116</v>
      </c>
      <c r="G19" s="164" t="s">
        <v>127</v>
      </c>
      <c r="H19" s="172" t="s">
        <v>719</v>
      </c>
      <c r="J19" s="173">
        <v>0</v>
      </c>
      <c r="L19" s="171"/>
      <c r="N19" s="173"/>
    </row>
    <row r="20" spans="1:14" ht="13" x14ac:dyDescent="0.3">
      <c r="A20" s="166">
        <f>A19+1</f>
        <v>11</v>
      </c>
      <c r="C20" s="176" t="s">
        <v>129</v>
      </c>
      <c r="D20" s="47"/>
      <c r="F20" s="164" t="s">
        <v>116</v>
      </c>
      <c r="G20" s="164" t="s">
        <v>127</v>
      </c>
      <c r="H20" s="172" t="s">
        <v>720</v>
      </c>
      <c r="J20" s="177">
        <v>-105831142.34877566</v>
      </c>
      <c r="L20" s="171"/>
      <c r="N20" s="173"/>
    </row>
    <row r="21" spans="1:14" ht="13" x14ac:dyDescent="0.3">
      <c r="A21" s="166">
        <f>A20+1</f>
        <v>12</v>
      </c>
      <c r="C21" s="46" t="s">
        <v>130</v>
      </c>
      <c r="D21" s="47"/>
      <c r="H21" s="164" t="str">
        <f>"Line "&amp;A18&amp;" + Line "&amp;A19&amp;" + Line "&amp;A20&amp;""</f>
        <v>Line 9 + Line 10 + Line 11</v>
      </c>
      <c r="J21" s="173">
        <f>SUM(J18:J20)</f>
        <v>-1945605314.6293609</v>
      </c>
      <c r="L21" s="171"/>
      <c r="N21" s="173"/>
    </row>
    <row r="22" spans="1:14" ht="13" x14ac:dyDescent="0.3">
      <c r="A22" s="166"/>
      <c r="C22" s="174"/>
      <c r="J22" s="173"/>
      <c r="L22" s="171"/>
      <c r="N22" s="173"/>
    </row>
    <row r="23" spans="1:14" ht="13" x14ac:dyDescent="0.3">
      <c r="A23" s="166">
        <f>A21+1</f>
        <v>13</v>
      </c>
      <c r="C23" s="179" t="s">
        <v>131</v>
      </c>
      <c r="F23" s="164" t="s">
        <v>116</v>
      </c>
      <c r="H23" s="172" t="s">
        <v>724</v>
      </c>
      <c r="J23" s="173">
        <v>-1632992371.4042728</v>
      </c>
      <c r="L23" s="171"/>
      <c r="N23" s="173"/>
    </row>
    <row r="24" spans="1:14" ht="13" x14ac:dyDescent="0.3">
      <c r="A24" s="166">
        <f>A23+1</f>
        <v>14</v>
      </c>
      <c r="C24" s="172" t="s">
        <v>132</v>
      </c>
      <c r="F24" s="164" t="s">
        <v>114</v>
      </c>
      <c r="H24" s="172" t="s">
        <v>726</v>
      </c>
      <c r="J24" s="173">
        <v>601481319.8292309</v>
      </c>
      <c r="L24" s="171"/>
      <c r="N24" s="173"/>
    </row>
    <row r="25" spans="1:14" ht="13" x14ac:dyDescent="0.3">
      <c r="A25" s="166">
        <f>A24+1</f>
        <v>15</v>
      </c>
      <c r="C25" s="179" t="s">
        <v>133</v>
      </c>
      <c r="F25" s="164" t="s">
        <v>116</v>
      </c>
      <c r="G25" s="164" t="s">
        <v>127</v>
      </c>
      <c r="H25" s="172" t="s">
        <v>728</v>
      </c>
      <c r="J25" s="173">
        <v>-50661304.942000374</v>
      </c>
      <c r="L25" s="171"/>
      <c r="N25" s="173"/>
    </row>
    <row r="26" spans="1:14" ht="13" x14ac:dyDescent="0.3">
      <c r="A26" s="166">
        <f>A25+1</f>
        <v>16</v>
      </c>
      <c r="C26" s="172" t="s">
        <v>134</v>
      </c>
      <c r="H26" s="174" t="s">
        <v>731</v>
      </c>
      <c r="J26" s="173">
        <v>-192296783.42467985</v>
      </c>
      <c r="L26" s="171"/>
      <c r="N26" s="173"/>
    </row>
    <row r="27" spans="1:14" ht="13" x14ac:dyDescent="0.3">
      <c r="A27" s="166">
        <f>A26+1</f>
        <v>17</v>
      </c>
      <c r="C27" s="179" t="s">
        <v>135</v>
      </c>
      <c r="F27" s="164" t="s">
        <v>116</v>
      </c>
      <c r="H27" s="172" t="s">
        <v>733</v>
      </c>
      <c r="J27" s="173">
        <v>0</v>
      </c>
      <c r="L27" s="171"/>
      <c r="N27" s="173"/>
    </row>
    <row r="28" spans="1:14" ht="13" x14ac:dyDescent="0.3">
      <c r="A28" s="166"/>
      <c r="C28" s="179"/>
      <c r="L28" s="171"/>
      <c r="N28" s="173"/>
    </row>
    <row r="29" spans="1:14" ht="13" x14ac:dyDescent="0.3">
      <c r="A29" s="166">
        <f>A27+1</f>
        <v>18</v>
      </c>
      <c r="C29" s="164" t="s">
        <v>136</v>
      </c>
      <c r="H29" s="164" t="str">
        <f>"L"&amp;A6&amp;"+L"&amp;A7&amp;"+L"&amp;A8&amp;"+L"&amp;A9&amp;"+L"&amp;A15&amp;"+L"&amp;A21&amp;"+"</f>
        <v>L1+L2+L3+L4+L8+L12+</v>
      </c>
      <c r="J29" s="173">
        <f>J6+ J7+J8+J9+J15+J21+J23+J24+J25+J26+J27</f>
        <v>6085665493.1482372</v>
      </c>
      <c r="L29" s="171"/>
      <c r="N29" s="173"/>
    </row>
    <row r="30" spans="1:14" ht="13" x14ac:dyDescent="0.3">
      <c r="A30" s="166"/>
      <c r="H30" s="164" t="str">
        <f>"L"&amp;A23&amp;"+L"&amp;A24&amp;"+L"&amp;A25&amp;"+L"&amp;A26&amp;"+L"&amp;A27&amp;""</f>
        <v>L13+L14+L15+L16+L17</v>
      </c>
      <c r="J30" s="173"/>
      <c r="L30" s="171"/>
      <c r="N30" s="173"/>
    </row>
    <row r="31" spans="1:14" ht="13" x14ac:dyDescent="0.3">
      <c r="A31" s="166"/>
      <c r="B31" s="163" t="s">
        <v>137</v>
      </c>
      <c r="J31" s="173"/>
      <c r="L31" s="171"/>
      <c r="N31" s="173"/>
    </row>
    <row r="32" spans="1:14" ht="13" x14ac:dyDescent="0.3">
      <c r="A32" s="168" t="s">
        <v>108</v>
      </c>
      <c r="C32" s="163"/>
      <c r="J32" s="173"/>
      <c r="L32" s="171"/>
      <c r="N32" s="173"/>
    </row>
    <row r="33" spans="1:14" ht="13" x14ac:dyDescent="0.3">
      <c r="A33" s="166">
        <f>A29+1</f>
        <v>19</v>
      </c>
      <c r="B33" s="174"/>
      <c r="C33" s="174" t="s">
        <v>138</v>
      </c>
      <c r="D33" s="174"/>
      <c r="E33" s="174"/>
      <c r="F33" s="174"/>
      <c r="G33" s="174" t="s">
        <v>139</v>
      </c>
      <c r="H33" s="174" t="str">
        <f>"Instruction 1, Line "&amp;B98&amp;""</f>
        <v>Instruction 1, Line j</v>
      </c>
      <c r="I33" s="174"/>
      <c r="J33" s="180">
        <f>E98</f>
        <v>7.5664931777425337E-2</v>
      </c>
      <c r="L33" s="171"/>
      <c r="M33" s="181"/>
      <c r="N33" s="173"/>
    </row>
    <row r="34" spans="1:14" ht="13" x14ac:dyDescent="0.3">
      <c r="A34" s="166">
        <f>A33+1</f>
        <v>20</v>
      </c>
      <c r="C34" s="174" t="s">
        <v>140</v>
      </c>
      <c r="D34" s="174"/>
      <c r="E34" s="174"/>
      <c r="F34" s="174"/>
      <c r="G34" s="174"/>
      <c r="H34" s="164" t="str">
        <f>"Line "&amp;A29&amp;" * Line "&amp;A33&amp;""</f>
        <v>Line 18 * Line 19</v>
      </c>
      <c r="J34" s="182">
        <f>J29*J33</f>
        <v>460471464.35929286</v>
      </c>
      <c r="L34" s="171"/>
      <c r="N34" s="173"/>
    </row>
    <row r="35" spans="1:14" ht="13" x14ac:dyDescent="0.3">
      <c r="A35" s="166"/>
      <c r="B35" s="169"/>
      <c r="L35" s="171"/>
      <c r="N35" s="173"/>
    </row>
    <row r="36" spans="1:14" ht="13" x14ac:dyDescent="0.3">
      <c r="A36" s="166"/>
      <c r="B36" s="163" t="s">
        <v>141</v>
      </c>
      <c r="L36" s="171"/>
      <c r="N36" s="173"/>
    </row>
    <row r="37" spans="1:14" ht="13" x14ac:dyDescent="0.3">
      <c r="A37" s="166"/>
      <c r="B37" s="169"/>
      <c r="L37" s="171"/>
      <c r="N37" s="173"/>
    </row>
    <row r="38" spans="1:14" ht="13" x14ac:dyDescent="0.3">
      <c r="A38" s="166">
        <f>A34+1</f>
        <v>21</v>
      </c>
      <c r="C38" s="174" t="s">
        <v>142</v>
      </c>
      <c r="J38" s="173">
        <f>(((J29*J42) + J45) *(J43/(1-J43)))+(J44/(1-J43))</f>
        <v>91236991.352856159</v>
      </c>
      <c r="L38" s="171"/>
      <c r="N38" s="173"/>
    </row>
    <row r="39" spans="1:14" ht="13" x14ac:dyDescent="0.3">
      <c r="A39" s="166"/>
      <c r="J39" s="174"/>
      <c r="L39" s="171"/>
      <c r="N39" s="173"/>
    </row>
    <row r="40" spans="1:14" ht="13" x14ac:dyDescent="0.3">
      <c r="A40" s="166"/>
      <c r="D40" s="164" t="s">
        <v>143</v>
      </c>
      <c r="L40" s="171"/>
      <c r="N40" s="173"/>
    </row>
    <row r="41" spans="1:14" ht="13" x14ac:dyDescent="0.3">
      <c r="A41" s="166">
        <f>A38+1</f>
        <v>22</v>
      </c>
      <c r="D41" s="169" t="s">
        <v>144</v>
      </c>
      <c r="H41" s="164" t="str">
        <f>"Line "&amp;A29&amp;""</f>
        <v>Line 18</v>
      </c>
      <c r="J41" s="173">
        <f>J29</f>
        <v>6085665493.1482372</v>
      </c>
      <c r="L41" s="171"/>
      <c r="N41" s="173"/>
    </row>
    <row r="42" spans="1:14" ht="13" x14ac:dyDescent="0.3">
      <c r="A42" s="166">
        <f>A41+1</f>
        <v>23</v>
      </c>
      <c r="D42" s="176" t="s">
        <v>145</v>
      </c>
      <c r="G42" s="174" t="s">
        <v>146</v>
      </c>
      <c r="H42" s="174" t="str">
        <f>"Instruction 1, Line "&amp;B103&amp;""</f>
        <v>Instruction 1, Line k</v>
      </c>
      <c r="J42" s="180">
        <f>E103</f>
        <v>5.381968108883782E-2</v>
      </c>
      <c r="L42" s="171"/>
      <c r="M42" s="181"/>
      <c r="N42" s="173"/>
    </row>
    <row r="43" spans="1:14" ht="13" x14ac:dyDescent="0.3">
      <c r="A43" s="166">
        <f>A42+1</f>
        <v>24</v>
      </c>
      <c r="D43" s="169" t="s">
        <v>147</v>
      </c>
      <c r="H43" s="164" t="s">
        <v>703</v>
      </c>
      <c r="J43" s="181">
        <v>0.27983599999999997</v>
      </c>
      <c r="L43" s="171"/>
      <c r="M43" s="181"/>
      <c r="N43" s="173"/>
    </row>
    <row r="44" spans="1:14" ht="13" x14ac:dyDescent="0.3">
      <c r="A44" s="166">
        <f>A43+1</f>
        <v>25</v>
      </c>
      <c r="D44" s="169" t="s">
        <v>148</v>
      </c>
      <c r="H44" s="164" t="s">
        <v>704</v>
      </c>
      <c r="J44" s="173">
        <v>-27044842</v>
      </c>
      <c r="L44" s="171"/>
      <c r="N44" s="173"/>
    </row>
    <row r="45" spans="1:14" ht="13" x14ac:dyDescent="0.3">
      <c r="A45" s="166">
        <f>A44+1</f>
        <v>26</v>
      </c>
      <c r="D45" s="169" t="s">
        <v>149</v>
      </c>
      <c r="H45" s="164" t="s">
        <v>705</v>
      </c>
      <c r="J45" s="182">
        <v>3917123</v>
      </c>
      <c r="L45" s="171"/>
      <c r="N45" s="173"/>
    </row>
    <row r="46" spans="1:14" ht="13" x14ac:dyDescent="0.3">
      <c r="A46" s="166"/>
      <c r="B46" s="169"/>
      <c r="L46" s="171"/>
      <c r="N46" s="173"/>
    </row>
    <row r="47" spans="1:14" ht="13" x14ac:dyDescent="0.3">
      <c r="A47" s="166"/>
      <c r="B47" s="163" t="s">
        <v>150</v>
      </c>
      <c r="L47" s="171"/>
      <c r="N47" s="173"/>
    </row>
    <row r="48" spans="1:14" ht="13" x14ac:dyDescent="0.3">
      <c r="A48" s="166">
        <f>A45+1</f>
        <v>27</v>
      </c>
      <c r="B48" s="169"/>
      <c r="C48" s="164" t="s">
        <v>151</v>
      </c>
      <c r="H48" s="164" t="s">
        <v>706</v>
      </c>
      <c r="J48" s="173">
        <v>112781173.69267865</v>
      </c>
      <c r="L48" s="171"/>
      <c r="N48" s="173"/>
    </row>
    <row r="49" spans="1:14" ht="13" x14ac:dyDescent="0.3">
      <c r="A49" s="166">
        <f t="shared" ref="A49:A59" si="0">A48+1</f>
        <v>28</v>
      </c>
      <c r="B49" s="169"/>
      <c r="C49" s="174" t="s">
        <v>152</v>
      </c>
      <c r="H49" s="164" t="s">
        <v>707</v>
      </c>
      <c r="J49" s="173">
        <v>82028767.094980612</v>
      </c>
      <c r="L49" s="171"/>
      <c r="N49" s="173"/>
    </row>
    <row r="50" spans="1:14" ht="13" x14ac:dyDescent="0.3">
      <c r="A50" s="166">
        <f>A49+1</f>
        <v>29</v>
      </c>
      <c r="B50" s="169"/>
      <c r="C50" s="164" t="s">
        <v>153</v>
      </c>
      <c r="H50" s="164" t="s">
        <v>708</v>
      </c>
      <c r="J50" s="173">
        <v>4075483.5901751588</v>
      </c>
      <c r="L50" s="171"/>
      <c r="N50" s="173"/>
    </row>
    <row r="51" spans="1:14" ht="13" x14ac:dyDescent="0.3">
      <c r="A51" s="166">
        <f t="shared" si="0"/>
        <v>30</v>
      </c>
      <c r="B51" s="169"/>
      <c r="C51" s="174" t="s">
        <v>154</v>
      </c>
      <c r="H51" s="164" t="s">
        <v>709</v>
      </c>
      <c r="J51" s="173">
        <v>255157633.3971031</v>
      </c>
      <c r="L51" s="171"/>
      <c r="N51" s="173"/>
    </row>
    <row r="52" spans="1:14" ht="13" x14ac:dyDescent="0.3">
      <c r="A52" s="166">
        <f t="shared" si="0"/>
        <v>31</v>
      </c>
      <c r="B52" s="169"/>
      <c r="C52" s="174" t="s">
        <v>155</v>
      </c>
      <c r="H52" s="164" t="s">
        <v>710</v>
      </c>
      <c r="J52" s="173">
        <v>0</v>
      </c>
      <c r="L52" s="171"/>
      <c r="N52" s="173"/>
    </row>
    <row r="53" spans="1:14" ht="13" x14ac:dyDescent="0.3">
      <c r="A53" s="166">
        <f t="shared" si="0"/>
        <v>32</v>
      </c>
      <c r="B53" s="169"/>
      <c r="C53" s="174" t="s">
        <v>156</v>
      </c>
      <c r="H53" s="164" t="s">
        <v>711</v>
      </c>
      <c r="J53" s="173">
        <v>66058181.16746673</v>
      </c>
      <c r="L53" s="171"/>
      <c r="N53" s="173"/>
    </row>
    <row r="54" spans="1:14" ht="13" x14ac:dyDescent="0.3">
      <c r="A54" s="166">
        <f t="shared" si="0"/>
        <v>33</v>
      </c>
      <c r="B54" s="169"/>
      <c r="C54" s="164" t="s">
        <v>157</v>
      </c>
      <c r="G54" s="174"/>
      <c r="H54" s="164" t="s">
        <v>712</v>
      </c>
      <c r="J54" s="173">
        <v>-54094032.244774804</v>
      </c>
      <c r="L54" s="171"/>
      <c r="N54" s="173"/>
    </row>
    <row r="55" spans="1:14" ht="13" x14ac:dyDescent="0.3">
      <c r="A55" s="166">
        <f t="shared" si="0"/>
        <v>34</v>
      </c>
      <c r="B55" s="169"/>
      <c r="C55" s="164" t="s">
        <v>158</v>
      </c>
      <c r="H55" s="164" t="str">
        <f>"Line "&amp;A34&amp;""</f>
        <v>Line 20</v>
      </c>
      <c r="J55" s="173">
        <f>J34</f>
        <v>460471464.35929286</v>
      </c>
      <c r="L55" s="171"/>
      <c r="N55" s="173"/>
    </row>
    <row r="56" spans="1:14" ht="13" x14ac:dyDescent="0.3">
      <c r="A56" s="166">
        <f t="shared" si="0"/>
        <v>35</v>
      </c>
      <c r="B56" s="169"/>
      <c r="C56" s="164" t="s">
        <v>159</v>
      </c>
      <c r="H56" s="164" t="str">
        <f>"Line "&amp;A38&amp;""</f>
        <v>Line 21</v>
      </c>
      <c r="J56" s="182">
        <f>J38</f>
        <v>91236991.352856159</v>
      </c>
      <c r="L56" s="171"/>
      <c r="N56" s="173"/>
    </row>
    <row r="57" spans="1:14" ht="13" x14ac:dyDescent="0.3">
      <c r="A57" s="166">
        <f t="shared" si="0"/>
        <v>36</v>
      </c>
      <c r="B57" s="169"/>
      <c r="C57" s="174" t="s">
        <v>160</v>
      </c>
      <c r="H57" s="164" t="s">
        <v>713</v>
      </c>
      <c r="J57" s="182">
        <v>0</v>
      </c>
      <c r="L57" s="171"/>
      <c r="N57" s="173"/>
    </row>
    <row r="58" spans="1:14" ht="13" x14ac:dyDescent="0.3">
      <c r="A58" s="166">
        <f t="shared" si="0"/>
        <v>37</v>
      </c>
      <c r="B58" s="169"/>
      <c r="C58" s="48" t="s">
        <v>161</v>
      </c>
      <c r="D58" s="48"/>
      <c r="H58" s="164" t="s">
        <v>714</v>
      </c>
      <c r="J58" s="177">
        <v>0</v>
      </c>
      <c r="L58" s="171"/>
      <c r="N58" s="173"/>
    </row>
    <row r="59" spans="1:14" ht="13" x14ac:dyDescent="0.3">
      <c r="A59" s="166">
        <f t="shared" si="0"/>
        <v>38</v>
      </c>
      <c r="B59" s="169"/>
      <c r="C59" s="174" t="s">
        <v>162</v>
      </c>
      <c r="H59" s="164" t="str">
        <f>"Sum Line "&amp;A48&amp;" to Line "&amp;A58&amp;""</f>
        <v>Sum Line 27 to Line 37</v>
      </c>
      <c r="J59" s="173">
        <f>SUM(J48:J58)</f>
        <v>1017715662.4097785</v>
      </c>
      <c r="L59" s="171"/>
      <c r="N59" s="173"/>
    </row>
    <row r="60" spans="1:14" ht="13" x14ac:dyDescent="0.3">
      <c r="A60" s="166"/>
      <c r="B60" s="169"/>
      <c r="J60" s="173"/>
      <c r="L60" s="171"/>
      <c r="N60" s="173"/>
    </row>
    <row r="61" spans="1:14" ht="12.75" customHeight="1" x14ac:dyDescent="0.3">
      <c r="A61" s="166">
        <f>A59+1</f>
        <v>39</v>
      </c>
      <c r="B61" s="169"/>
      <c r="C61" s="174" t="s">
        <v>163</v>
      </c>
      <c r="H61" s="164" t="s">
        <v>736</v>
      </c>
      <c r="J61" s="173">
        <v>25205023.039488278</v>
      </c>
      <c r="L61" s="171"/>
      <c r="N61" s="173"/>
    </row>
    <row r="62" spans="1:14" ht="12.75" customHeight="1" x14ac:dyDescent="0.3">
      <c r="A62" s="166" t="s">
        <v>164</v>
      </c>
      <c r="B62" s="174"/>
      <c r="C62" s="174" t="s">
        <v>165</v>
      </c>
      <c r="D62" s="174"/>
      <c r="E62" s="174"/>
      <c r="F62" s="174"/>
      <c r="G62" s="174"/>
      <c r="H62" s="174" t="s">
        <v>166</v>
      </c>
      <c r="I62" s="174"/>
      <c r="J62" s="182">
        <f>-J61</f>
        <v>-25205023.039488278</v>
      </c>
      <c r="L62" s="171"/>
      <c r="N62" s="173"/>
    </row>
    <row r="63" spans="1:14" ht="13" x14ac:dyDescent="0.3">
      <c r="A63" s="166"/>
      <c r="B63" s="169"/>
      <c r="C63" s="174"/>
      <c r="J63" s="173"/>
      <c r="L63" s="171"/>
      <c r="N63" s="173"/>
    </row>
    <row r="64" spans="1:14" ht="13" x14ac:dyDescent="0.3">
      <c r="A64" s="166">
        <f>A61+1</f>
        <v>40</v>
      </c>
      <c r="B64" s="169"/>
      <c r="C64" s="174" t="s">
        <v>167</v>
      </c>
      <c r="H64" s="174" t="s">
        <v>168</v>
      </c>
      <c r="J64" s="173">
        <f>J59+J61+J62</f>
        <v>1017715662.4097785</v>
      </c>
      <c r="L64" s="171"/>
      <c r="N64" s="173"/>
    </row>
    <row r="65" spans="1:14" ht="13" x14ac:dyDescent="0.3">
      <c r="A65" s="166"/>
      <c r="B65" s="169"/>
      <c r="C65" s="174"/>
      <c r="J65" s="173"/>
    </row>
    <row r="66" spans="1:14" ht="13" x14ac:dyDescent="0.3">
      <c r="A66" s="166"/>
      <c r="B66" s="165" t="s">
        <v>169</v>
      </c>
      <c r="C66" s="174"/>
      <c r="J66" s="173"/>
      <c r="N66" s="166"/>
    </row>
    <row r="67" spans="1:14" ht="13.5" thickBot="1" x14ac:dyDescent="0.35">
      <c r="A67" s="168" t="s">
        <v>108</v>
      </c>
      <c r="B67" s="179"/>
      <c r="G67" s="170" t="s">
        <v>170</v>
      </c>
      <c r="N67" s="171"/>
    </row>
    <row r="68" spans="1:14" ht="13" x14ac:dyDescent="0.3">
      <c r="A68" s="166">
        <f>A64+1</f>
        <v>41</v>
      </c>
      <c r="B68" s="179"/>
      <c r="D68" s="183" t="s">
        <v>171</v>
      </c>
      <c r="E68" s="173">
        <f>J64</f>
        <v>1017715662.4097785</v>
      </c>
      <c r="G68" s="164" t="str">
        <f>"Line "&amp;A64&amp;""</f>
        <v>Line 40</v>
      </c>
      <c r="J68" s="184" t="s">
        <v>172</v>
      </c>
      <c r="L68" s="173"/>
      <c r="N68" s="173"/>
    </row>
    <row r="69" spans="1:14" ht="13" x14ac:dyDescent="0.3">
      <c r="A69" s="166">
        <f>A68+1</f>
        <v>42</v>
      </c>
      <c r="B69" s="179"/>
      <c r="D69" s="183" t="s">
        <v>173</v>
      </c>
      <c r="E69" s="185">
        <v>9.2480778683301894E-3</v>
      </c>
      <c r="G69" s="164" t="s">
        <v>738</v>
      </c>
      <c r="J69" s="186" t="s">
        <v>174</v>
      </c>
      <c r="L69" s="181"/>
      <c r="N69" s="181"/>
    </row>
    <row r="70" spans="1:14" ht="13" x14ac:dyDescent="0.3">
      <c r="A70" s="166">
        <f>A69+1</f>
        <v>43</v>
      </c>
      <c r="B70" s="179"/>
      <c r="D70" s="187" t="s">
        <v>175</v>
      </c>
      <c r="E70" s="173">
        <v>9411913.6937848702</v>
      </c>
      <c r="G70" s="164" t="str">
        <f>"Line "&amp;A68&amp;" * Line "&amp;A69&amp;""</f>
        <v>Line 41 * Line 42</v>
      </c>
      <c r="J70" s="188">
        <f>E73</f>
        <v>1029299389.04686</v>
      </c>
      <c r="L70" s="173"/>
      <c r="N70" s="173"/>
    </row>
    <row r="71" spans="1:14" ht="13" x14ac:dyDescent="0.3">
      <c r="A71" s="166">
        <f>A70+1</f>
        <v>44</v>
      </c>
      <c r="B71" s="179"/>
      <c r="D71" s="183" t="s">
        <v>176</v>
      </c>
      <c r="E71" s="185">
        <v>2.134007585335019E-3</v>
      </c>
      <c r="G71" s="164" t="s">
        <v>738</v>
      </c>
      <c r="J71" s="189">
        <v>1030368593.0471914</v>
      </c>
      <c r="L71" s="181" t="s">
        <v>680</v>
      </c>
      <c r="N71" s="181"/>
    </row>
    <row r="72" spans="1:14" ht="13.5" thickBot="1" x14ac:dyDescent="0.35">
      <c r="A72" s="166">
        <f>A71+1</f>
        <v>45</v>
      </c>
      <c r="B72" s="179"/>
      <c r="D72" s="183" t="s">
        <v>177</v>
      </c>
      <c r="E72" s="173">
        <v>2171812.9432967207</v>
      </c>
      <c r="G72" s="164" t="str">
        <f>"Line "&amp;A70&amp;" * Line "&amp;A71&amp;""</f>
        <v>Line 43 * Line 44</v>
      </c>
      <c r="J72" s="190">
        <f>J70-J71</f>
        <v>-1069204.0003314018</v>
      </c>
      <c r="L72" s="173"/>
      <c r="N72" s="173"/>
    </row>
    <row r="73" spans="1:14" ht="13" x14ac:dyDescent="0.3">
      <c r="A73" s="166">
        <f>A72+1</f>
        <v>46</v>
      </c>
      <c r="B73" s="179"/>
      <c r="D73" s="183" t="s">
        <v>178</v>
      </c>
      <c r="E73" s="173">
        <f>E68+E70+E72</f>
        <v>1029299389.04686</v>
      </c>
      <c r="G73" s="164" t="str">
        <f>"L "&amp;A68&amp;" + L "&amp;A70&amp;" + L "&amp;A72&amp;""</f>
        <v>L 41 + L 43 + L 45</v>
      </c>
      <c r="L73" s="173"/>
      <c r="N73" s="173"/>
    </row>
    <row r="74" spans="1:14" ht="13" x14ac:dyDescent="0.3">
      <c r="B74" s="165" t="s">
        <v>179</v>
      </c>
      <c r="D74" s="187"/>
      <c r="E74" s="173"/>
      <c r="H74" s="50"/>
    </row>
    <row r="75" spans="1:14" ht="13" x14ac:dyDescent="0.3">
      <c r="A75" s="166"/>
      <c r="B75" s="174" t="s">
        <v>180</v>
      </c>
      <c r="C75" s="165"/>
      <c r="D75" s="187"/>
      <c r="E75" s="173"/>
    </row>
    <row r="76" spans="1:14" ht="13" x14ac:dyDescent="0.3">
      <c r="A76" s="166"/>
      <c r="B76" s="174" t="s">
        <v>181</v>
      </c>
      <c r="C76" s="165"/>
      <c r="D76" s="187"/>
      <c r="E76" s="173"/>
    </row>
    <row r="77" spans="1:14" ht="13" x14ac:dyDescent="0.3">
      <c r="A77" s="166"/>
      <c r="B77" s="172" t="s">
        <v>182</v>
      </c>
      <c r="C77" s="174"/>
      <c r="D77" s="187"/>
      <c r="E77" s="173"/>
    </row>
    <row r="78" spans="1:14" ht="13" x14ac:dyDescent="0.3">
      <c r="A78" s="166"/>
      <c r="B78" s="172" t="s">
        <v>183</v>
      </c>
      <c r="D78" s="187"/>
      <c r="E78" s="173"/>
    </row>
    <row r="79" spans="1:14" ht="13" x14ac:dyDescent="0.3">
      <c r="A79" s="166"/>
    </row>
    <row r="80" spans="1:14" ht="13" x14ac:dyDescent="0.3">
      <c r="A80" s="166"/>
      <c r="B80" s="174" t="s">
        <v>184</v>
      </c>
    </row>
    <row r="81" spans="1:12" ht="13" x14ac:dyDescent="0.3">
      <c r="A81" s="166"/>
      <c r="B81" s="174"/>
      <c r="C81" s="174" t="s">
        <v>185</v>
      </c>
    </row>
    <row r="82" spans="1:12" ht="13" x14ac:dyDescent="0.3">
      <c r="A82" s="166"/>
      <c r="B82" s="174"/>
      <c r="J82" s="166" t="s">
        <v>186</v>
      </c>
    </row>
    <row r="83" spans="1:12" ht="13" x14ac:dyDescent="0.3">
      <c r="A83" s="166"/>
      <c r="E83" s="171" t="s">
        <v>187</v>
      </c>
      <c r="F83" s="170" t="s">
        <v>170</v>
      </c>
      <c r="G83" s="171" t="s">
        <v>188</v>
      </c>
      <c r="H83" s="171" t="s">
        <v>189</v>
      </c>
      <c r="J83" s="171" t="s">
        <v>190</v>
      </c>
    </row>
    <row r="84" spans="1:12" ht="13" x14ac:dyDescent="0.3">
      <c r="B84" s="191" t="s">
        <v>191</v>
      </c>
      <c r="C84" s="174" t="s">
        <v>192</v>
      </c>
      <c r="E84" s="192">
        <v>0.10299999999999999</v>
      </c>
      <c r="F84" s="174" t="s">
        <v>193</v>
      </c>
      <c r="G84" s="193">
        <v>43781</v>
      </c>
      <c r="H84" s="193">
        <v>43830</v>
      </c>
      <c r="I84" s="174"/>
      <c r="J84" s="194">
        <v>50</v>
      </c>
      <c r="K84" s="174"/>
      <c r="L84" s="174"/>
    </row>
    <row r="85" spans="1:12" ht="13" x14ac:dyDescent="0.3">
      <c r="B85" s="191" t="s">
        <v>194</v>
      </c>
      <c r="C85" s="174" t="s">
        <v>195</v>
      </c>
      <c r="E85" s="192">
        <v>0.112</v>
      </c>
      <c r="F85" s="174" t="s">
        <v>196</v>
      </c>
      <c r="G85" s="193">
        <v>43466</v>
      </c>
      <c r="H85" s="193">
        <v>43780</v>
      </c>
      <c r="I85" s="174"/>
      <c r="J85" s="194">
        <v>315</v>
      </c>
      <c r="K85" s="174"/>
      <c r="L85" s="174"/>
    </row>
    <row r="86" spans="1:12" ht="13" x14ac:dyDescent="0.3">
      <c r="B86" s="191" t="s">
        <v>197</v>
      </c>
      <c r="C86" s="174"/>
      <c r="E86" s="195"/>
      <c r="F86" s="174"/>
      <c r="G86" s="196"/>
      <c r="H86" s="196"/>
      <c r="I86" s="183" t="s">
        <v>198</v>
      </c>
      <c r="J86" s="174">
        <f>SUM(J84:J85)</f>
        <v>365</v>
      </c>
      <c r="K86" s="174"/>
      <c r="L86" s="174"/>
    </row>
    <row r="87" spans="1:12" ht="13" x14ac:dyDescent="0.3">
      <c r="B87" s="191" t="s">
        <v>199</v>
      </c>
      <c r="C87" s="174" t="s">
        <v>200</v>
      </c>
      <c r="E87" s="197">
        <f>((E84*J84) + (E85* J85)) / J86</f>
        <v>0.11076712328767123</v>
      </c>
      <c r="F87" s="174" t="s">
        <v>201</v>
      </c>
      <c r="H87" s="174"/>
      <c r="I87" s="174"/>
      <c r="J87" s="174"/>
      <c r="K87" s="174"/>
      <c r="L87" s="174"/>
    </row>
    <row r="88" spans="1:12" ht="13" x14ac:dyDescent="0.3">
      <c r="A88" s="166"/>
      <c r="B88" s="174"/>
      <c r="H88" s="174"/>
      <c r="I88" s="174"/>
      <c r="J88" s="174"/>
      <c r="K88" s="174"/>
      <c r="L88" s="174"/>
    </row>
    <row r="89" spans="1:12" ht="13" x14ac:dyDescent="0.3">
      <c r="A89" s="166"/>
      <c r="B89" s="174" t="s">
        <v>202</v>
      </c>
      <c r="H89" s="174"/>
      <c r="I89" s="174"/>
      <c r="J89" s="174"/>
      <c r="K89" s="174"/>
      <c r="L89" s="174"/>
    </row>
    <row r="90" spans="1:12" ht="13" x14ac:dyDescent="0.3">
      <c r="A90" s="166"/>
      <c r="B90" s="174"/>
      <c r="E90" s="170" t="s">
        <v>170</v>
      </c>
      <c r="H90" s="174"/>
      <c r="I90" s="174"/>
      <c r="J90" s="174"/>
      <c r="K90" s="174"/>
      <c r="L90" s="174"/>
    </row>
    <row r="91" spans="1:12" ht="13" x14ac:dyDescent="0.3">
      <c r="B91" s="191" t="s">
        <v>203</v>
      </c>
      <c r="C91" s="174" t="s">
        <v>204</v>
      </c>
      <c r="E91" s="198" t="s">
        <v>205</v>
      </c>
      <c r="F91" s="199"/>
      <c r="G91" s="199"/>
      <c r="H91" s="194"/>
      <c r="I91" s="194"/>
      <c r="J91" s="194"/>
      <c r="K91" s="174"/>
      <c r="L91" s="174"/>
    </row>
    <row r="92" spans="1:12" ht="13" x14ac:dyDescent="0.3">
      <c r="B92" s="191" t="s">
        <v>206</v>
      </c>
      <c r="C92" s="174" t="s">
        <v>207</v>
      </c>
      <c r="E92" s="198" t="s">
        <v>208</v>
      </c>
      <c r="F92" s="199"/>
      <c r="G92" s="199"/>
      <c r="H92" s="194"/>
      <c r="I92" s="194"/>
      <c r="J92" s="194"/>
      <c r="K92" s="174"/>
      <c r="L92" s="174"/>
    </row>
    <row r="93" spans="1:12" x14ac:dyDescent="0.25">
      <c r="C93" s="174"/>
      <c r="E93" s="196"/>
      <c r="I93" s="174"/>
      <c r="J93" s="174"/>
      <c r="K93" s="174"/>
      <c r="L93" s="174"/>
    </row>
    <row r="94" spans="1:12" ht="13" x14ac:dyDescent="0.3">
      <c r="E94" s="171" t="s">
        <v>187</v>
      </c>
      <c r="F94" s="170" t="s">
        <v>170</v>
      </c>
      <c r="H94" s="174"/>
      <c r="I94" s="174"/>
    </row>
    <row r="95" spans="1:12" ht="13" x14ac:dyDescent="0.3">
      <c r="B95" s="191" t="s">
        <v>209</v>
      </c>
      <c r="C95" s="174" t="s">
        <v>210</v>
      </c>
      <c r="D95" s="174"/>
      <c r="E95" s="181">
        <v>2.1845250688587517E-2</v>
      </c>
      <c r="F95" s="164" t="s">
        <v>715</v>
      </c>
      <c r="H95" s="174"/>
      <c r="I95" s="174"/>
    </row>
    <row r="96" spans="1:12" ht="13" x14ac:dyDescent="0.3">
      <c r="B96" s="191" t="s">
        <v>211</v>
      </c>
      <c r="C96" s="174" t="s">
        <v>212</v>
      </c>
      <c r="E96" s="181">
        <v>4.1782699103032513E-3</v>
      </c>
      <c r="F96" s="164" t="s">
        <v>716</v>
      </c>
      <c r="H96" s="174"/>
      <c r="I96" s="174"/>
    </row>
    <row r="97" spans="1:10" ht="13" x14ac:dyDescent="0.3">
      <c r="B97" s="191" t="s">
        <v>213</v>
      </c>
      <c r="C97" s="174" t="s">
        <v>214</v>
      </c>
      <c r="E97" s="200">
        <v>4.9641411178534565E-2</v>
      </c>
      <c r="F97" s="164" t="s">
        <v>717</v>
      </c>
      <c r="G97" s="174"/>
      <c r="H97" s="174"/>
    </row>
    <row r="98" spans="1:10" ht="13" x14ac:dyDescent="0.3">
      <c r="B98" s="166" t="s">
        <v>215</v>
      </c>
      <c r="C98" s="176" t="s">
        <v>138</v>
      </c>
      <c r="E98" s="180">
        <f>SUM(E95:E97)</f>
        <v>7.5664931777425337E-2</v>
      </c>
      <c r="F98" s="173" t="str">
        <f>"Sum of Lines "&amp;B95&amp;" to "&amp;B97&amp;""</f>
        <v>Sum of Lines g to i</v>
      </c>
      <c r="G98" s="201"/>
      <c r="J98" s="202"/>
    </row>
    <row r="99" spans="1:10" ht="13" x14ac:dyDescent="0.3">
      <c r="A99" s="166"/>
      <c r="C99" s="45"/>
      <c r="D99" s="51"/>
      <c r="E99" s="173"/>
      <c r="F99" s="173"/>
      <c r="G99" s="201"/>
      <c r="H99" s="173"/>
      <c r="J99" s="202"/>
    </row>
    <row r="100" spans="1:10" ht="13" x14ac:dyDescent="0.3">
      <c r="A100" s="166"/>
      <c r="B100" s="174" t="s">
        <v>216</v>
      </c>
    </row>
    <row r="101" spans="1:10" ht="13" x14ac:dyDescent="0.3">
      <c r="A101" s="166"/>
    </row>
    <row r="102" spans="1:10" ht="13" x14ac:dyDescent="0.3">
      <c r="A102" s="166"/>
      <c r="E102" s="171" t="s">
        <v>187</v>
      </c>
      <c r="F102" s="170" t="s">
        <v>170</v>
      </c>
    </row>
    <row r="103" spans="1:10" ht="13" x14ac:dyDescent="0.3">
      <c r="B103" s="191" t="s">
        <v>217</v>
      </c>
      <c r="E103" s="181">
        <f>E96+E97</f>
        <v>5.381968108883782E-2</v>
      </c>
      <c r="F103" s="173" t="str">
        <f>"Sum of Lines "&amp;B96&amp;" to "&amp;B97&amp;""</f>
        <v>Sum of Lines h to i</v>
      </c>
    </row>
    <row r="104" spans="1:10" ht="13" x14ac:dyDescent="0.3">
      <c r="A104" s="166"/>
      <c r="E104" s="181"/>
      <c r="F104" s="173"/>
    </row>
    <row r="105" spans="1:10" ht="13" x14ac:dyDescent="0.3">
      <c r="A105" s="166"/>
      <c r="B105" s="174" t="s">
        <v>87</v>
      </c>
      <c r="E105" s="201"/>
      <c r="F105" s="201"/>
      <c r="G105" s="201"/>
      <c r="H105" s="173"/>
    </row>
    <row r="106" spans="1:10" ht="13" x14ac:dyDescent="0.3">
      <c r="A106" s="166"/>
      <c r="B106" s="174" t="s">
        <v>218</v>
      </c>
    </row>
    <row r="107" spans="1:10" ht="13" x14ac:dyDescent="0.3">
      <c r="A107" s="166"/>
      <c r="B107" s="174" t="s">
        <v>219</v>
      </c>
      <c r="D107" s="166"/>
      <c r="E107" s="166"/>
      <c r="F107" s="166"/>
      <c r="G107" s="166"/>
      <c r="H107" s="166"/>
    </row>
    <row r="108" spans="1:10" ht="13" x14ac:dyDescent="0.3">
      <c r="A108" s="166"/>
      <c r="B108" s="172"/>
      <c r="D108" s="166"/>
      <c r="E108" s="166"/>
      <c r="F108" s="166"/>
      <c r="G108" s="166"/>
      <c r="H108" s="166"/>
    </row>
    <row r="109" spans="1:10" ht="13" x14ac:dyDescent="0.3">
      <c r="A109" s="166"/>
      <c r="C109" s="44"/>
      <c r="D109" s="44"/>
      <c r="E109" s="171"/>
      <c r="F109" s="171"/>
      <c r="G109" s="171"/>
      <c r="H109" s="171"/>
    </row>
    <row r="110" spans="1:10" ht="13" x14ac:dyDescent="0.3">
      <c r="A110" s="166"/>
    </row>
    <row r="111" spans="1:10" ht="13" x14ac:dyDescent="0.3">
      <c r="A111" s="166"/>
    </row>
    <row r="112" spans="1:10" ht="13" x14ac:dyDescent="0.3">
      <c r="A112" s="166"/>
    </row>
    <row r="113" spans="1:10" ht="13" x14ac:dyDescent="0.3">
      <c r="A113" s="166"/>
      <c r="C113" s="45"/>
      <c r="E113" s="173"/>
      <c r="F113" s="173"/>
      <c r="H113" s="173"/>
      <c r="J113" s="202"/>
    </row>
    <row r="114" spans="1:10" ht="13" x14ac:dyDescent="0.3">
      <c r="A114" s="166"/>
      <c r="C114" s="45"/>
      <c r="E114" s="173"/>
      <c r="F114" s="173"/>
      <c r="H114" s="173"/>
      <c r="J114" s="202"/>
    </row>
    <row r="115" spans="1:10" ht="13" x14ac:dyDescent="0.3">
      <c r="A115" s="168"/>
      <c r="C115" s="45"/>
      <c r="E115" s="173"/>
      <c r="F115" s="173"/>
      <c r="H115" s="173"/>
      <c r="J115" s="202"/>
    </row>
    <row r="116" spans="1:10" ht="13" x14ac:dyDescent="0.3">
      <c r="A116" s="166"/>
      <c r="D116" s="49"/>
      <c r="E116" s="173"/>
      <c r="F116" s="173"/>
      <c r="G116" s="174"/>
      <c r="H116" s="173"/>
      <c r="J116" s="202"/>
    </row>
    <row r="117" spans="1:10" ht="13" x14ac:dyDescent="0.3">
      <c r="A117" s="166"/>
      <c r="C117" s="45"/>
      <c r="D117" s="183"/>
      <c r="E117" s="177"/>
      <c r="F117" s="173"/>
      <c r="G117" s="174"/>
      <c r="H117" s="173"/>
      <c r="J117" s="202"/>
    </row>
    <row r="118" spans="1:10" ht="13" x14ac:dyDescent="0.3">
      <c r="A118" s="166"/>
      <c r="C118" s="45"/>
      <c r="D118" s="183"/>
      <c r="E118" s="173"/>
      <c r="F118" s="173"/>
      <c r="G118" s="174"/>
      <c r="H118" s="173"/>
      <c r="J118" s="202"/>
    </row>
    <row r="119" spans="1:10" ht="13" x14ac:dyDescent="0.3">
      <c r="A119" s="166"/>
    </row>
    <row r="120" spans="1:10" ht="13" x14ac:dyDescent="0.3">
      <c r="A120" s="166"/>
      <c r="B120" s="163"/>
    </row>
    <row r="121" spans="1:10" ht="13" x14ac:dyDescent="0.3">
      <c r="A121" s="166"/>
    </row>
    <row r="122" spans="1:10" ht="13" x14ac:dyDescent="0.3">
      <c r="A122" s="166"/>
    </row>
    <row r="123" spans="1:10" ht="13" x14ac:dyDescent="0.3">
      <c r="A123" s="166"/>
      <c r="F123" s="166"/>
    </row>
    <row r="124" spans="1:10" ht="13" x14ac:dyDescent="0.3">
      <c r="A124" s="166"/>
      <c r="F124" s="166"/>
    </row>
    <row r="125" spans="1:10" ht="13" x14ac:dyDescent="0.3">
      <c r="A125" s="166"/>
      <c r="D125" s="166"/>
      <c r="E125" s="166"/>
      <c r="F125" s="166"/>
      <c r="H125" s="166"/>
    </row>
    <row r="126" spans="1:10" ht="13" x14ac:dyDescent="0.3">
      <c r="A126" s="166"/>
      <c r="D126" s="166"/>
      <c r="E126" s="166"/>
      <c r="F126" s="166"/>
      <c r="G126" s="166"/>
      <c r="H126" s="191"/>
    </row>
    <row r="127" spans="1:10" ht="13" x14ac:dyDescent="0.3">
      <c r="A127" s="168"/>
      <c r="C127" s="44"/>
      <c r="D127" s="44"/>
      <c r="E127" s="171"/>
      <c r="F127" s="203"/>
      <c r="G127" s="171"/>
      <c r="H127" s="191"/>
    </row>
    <row r="128" spans="1:10" ht="13" x14ac:dyDescent="0.3">
      <c r="A128" s="166"/>
      <c r="C128" s="45"/>
      <c r="D128" s="51"/>
      <c r="E128" s="173"/>
      <c r="F128" s="173"/>
      <c r="G128" s="197"/>
      <c r="H128" s="173"/>
    </row>
    <row r="129" spans="1:8" ht="13" x14ac:dyDescent="0.3">
      <c r="A129" s="166"/>
      <c r="C129" s="45"/>
      <c r="D129" s="51"/>
      <c r="E129" s="173"/>
      <c r="F129" s="173"/>
      <c r="G129" s="197"/>
      <c r="H129" s="173"/>
    </row>
    <row r="130" spans="1:8" ht="13" x14ac:dyDescent="0.3">
      <c r="A130" s="166"/>
      <c r="C130" s="45"/>
      <c r="D130" s="51"/>
      <c r="E130" s="173"/>
      <c r="F130" s="173"/>
      <c r="G130" s="197"/>
      <c r="H130" s="173"/>
    </row>
    <row r="131" spans="1:8" ht="13" x14ac:dyDescent="0.3">
      <c r="A131" s="166"/>
      <c r="C131" s="45"/>
      <c r="D131" s="51"/>
      <c r="E131" s="173"/>
      <c r="F131" s="173"/>
      <c r="G131" s="197"/>
      <c r="H131" s="173"/>
    </row>
    <row r="132" spans="1:8" ht="13" x14ac:dyDescent="0.3">
      <c r="A132" s="166"/>
      <c r="C132" s="45"/>
      <c r="D132" s="51"/>
      <c r="E132" s="173"/>
      <c r="F132" s="173"/>
      <c r="G132" s="197"/>
      <c r="H132" s="173"/>
    </row>
    <row r="133" spans="1:8" ht="13" x14ac:dyDescent="0.3">
      <c r="A133" s="166"/>
      <c r="C133" s="45"/>
      <c r="D133" s="51"/>
      <c r="E133" s="173"/>
      <c r="F133" s="173"/>
      <c r="G133" s="197"/>
      <c r="H133" s="173"/>
    </row>
    <row r="134" spans="1:8" ht="13" x14ac:dyDescent="0.3">
      <c r="A134" s="166"/>
      <c r="C134" s="45"/>
      <c r="D134" s="51"/>
      <c r="E134" s="173"/>
      <c r="F134" s="173"/>
      <c r="G134" s="197"/>
      <c r="H134" s="173"/>
    </row>
    <row r="135" spans="1:8" ht="13" x14ac:dyDescent="0.3">
      <c r="A135" s="166"/>
      <c r="C135" s="45"/>
      <c r="D135" s="51"/>
      <c r="E135" s="173"/>
      <c r="F135" s="173"/>
      <c r="G135" s="197"/>
      <c r="H135" s="173"/>
    </row>
    <row r="136" spans="1:8" ht="13" x14ac:dyDescent="0.3">
      <c r="A136" s="166"/>
      <c r="C136" s="45"/>
      <c r="D136" s="51"/>
      <c r="E136" s="173"/>
      <c r="F136" s="173"/>
      <c r="G136" s="197"/>
      <c r="H136" s="173"/>
    </row>
    <row r="137" spans="1:8" ht="13" x14ac:dyDescent="0.3">
      <c r="A137" s="166"/>
      <c r="C137" s="45"/>
      <c r="D137" s="51"/>
      <c r="E137" s="173"/>
      <c r="F137" s="173"/>
      <c r="G137" s="197"/>
      <c r="H137" s="173"/>
    </row>
    <row r="138" spans="1:8" ht="13" x14ac:dyDescent="0.3">
      <c r="A138" s="166"/>
      <c r="C138" s="45"/>
      <c r="D138" s="51"/>
      <c r="E138" s="173"/>
      <c r="F138" s="173"/>
      <c r="G138" s="197"/>
      <c r="H138" s="173"/>
    </row>
    <row r="139" spans="1:8" ht="13" x14ac:dyDescent="0.3">
      <c r="A139" s="166"/>
      <c r="C139" s="45"/>
      <c r="D139" s="51"/>
      <c r="E139" s="173"/>
      <c r="F139" s="173"/>
      <c r="G139" s="197"/>
      <c r="H139" s="177"/>
    </row>
    <row r="140" spans="1:8" ht="13" x14ac:dyDescent="0.3">
      <c r="A140" s="166"/>
      <c r="H140" s="173"/>
    </row>
    <row r="141" spans="1:8" ht="13" x14ac:dyDescent="0.3">
      <c r="A141" s="166"/>
      <c r="C141" s="45"/>
      <c r="D141" s="51"/>
      <c r="F141" s="204"/>
      <c r="G141" s="197"/>
      <c r="H141" s="204"/>
    </row>
    <row r="142" spans="1:8" ht="13" x14ac:dyDescent="0.3">
      <c r="A142" s="166"/>
      <c r="B142" s="163"/>
      <c r="C142" s="45"/>
      <c r="D142" s="51"/>
      <c r="F142" s="204"/>
      <c r="G142" s="197"/>
      <c r="H142" s="204"/>
    </row>
    <row r="143" spans="1:8" ht="13" x14ac:dyDescent="0.3">
      <c r="A143" s="168"/>
      <c r="B143" s="163"/>
      <c r="C143" s="45"/>
      <c r="D143" s="51"/>
      <c r="F143" s="204"/>
      <c r="G143" s="197"/>
      <c r="H143" s="204"/>
    </row>
    <row r="144" spans="1:8" ht="13" x14ac:dyDescent="0.3">
      <c r="A144" s="166"/>
      <c r="C144" s="45"/>
      <c r="D144" s="52"/>
      <c r="E144" s="173"/>
      <c r="F144" s="205"/>
      <c r="G144" s="197"/>
      <c r="H144" s="204"/>
    </row>
    <row r="145" spans="1:8" ht="13" x14ac:dyDescent="0.3">
      <c r="A145" s="166"/>
      <c r="C145" s="45"/>
      <c r="D145" s="187"/>
      <c r="E145" s="173"/>
      <c r="F145" s="205"/>
      <c r="G145" s="197"/>
      <c r="H145" s="204"/>
    </row>
    <row r="146" spans="1:8" ht="13" x14ac:dyDescent="0.3">
      <c r="A146" s="166"/>
      <c r="C146" s="45"/>
      <c r="D146" s="187"/>
      <c r="E146" s="177"/>
      <c r="F146" s="205"/>
      <c r="G146" s="197"/>
      <c r="H146" s="204"/>
    </row>
    <row r="147" spans="1:8" ht="13" x14ac:dyDescent="0.3">
      <c r="A147" s="166"/>
      <c r="C147" s="45"/>
      <c r="D147" s="52"/>
      <c r="E147" s="173"/>
      <c r="F147" s="204"/>
      <c r="G147" s="197"/>
      <c r="H147" s="204"/>
    </row>
    <row r="148" spans="1:8" ht="13" x14ac:dyDescent="0.3">
      <c r="A148" s="166"/>
      <c r="C148" s="45"/>
      <c r="D148" s="51"/>
      <c r="F148" s="204"/>
      <c r="G148" s="197"/>
      <c r="H148" s="204"/>
    </row>
    <row r="149" spans="1:8" ht="13" x14ac:dyDescent="0.3">
      <c r="A149" s="166"/>
    </row>
    <row r="150" spans="1:8" ht="13" x14ac:dyDescent="0.3">
      <c r="A150" s="166"/>
    </row>
    <row r="151" spans="1:8" ht="13" x14ac:dyDescent="0.3">
      <c r="A151" s="166"/>
    </row>
    <row r="152" spans="1:8" ht="13" x14ac:dyDescent="0.3">
      <c r="A152" s="166"/>
      <c r="B152" s="163"/>
    </row>
    <row r="153" spans="1:8" ht="13" x14ac:dyDescent="0.3">
      <c r="A153" s="166"/>
      <c r="B153" s="174"/>
    </row>
    <row r="154" spans="1:8" ht="13" x14ac:dyDescent="0.3">
      <c r="A154" s="166"/>
      <c r="B154" s="174"/>
    </row>
    <row r="155" spans="1:8" ht="13" x14ac:dyDescent="0.3">
      <c r="A155" s="166"/>
      <c r="B155" s="174"/>
    </row>
    <row r="156" spans="1:8" ht="13" x14ac:dyDescent="0.3">
      <c r="A156" s="166"/>
    </row>
    <row r="157" spans="1:8" ht="13" x14ac:dyDescent="0.3">
      <c r="A157" s="166"/>
      <c r="B157" s="163"/>
    </row>
    <row r="158" spans="1:8" ht="13" x14ac:dyDescent="0.3">
      <c r="A158" s="166"/>
    </row>
    <row r="159" spans="1:8" ht="13" x14ac:dyDescent="0.3">
      <c r="A159" s="168"/>
      <c r="C159" s="44"/>
      <c r="D159" s="171"/>
    </row>
    <row r="160" spans="1:8" ht="13" x14ac:dyDescent="0.3">
      <c r="A160" s="166"/>
      <c r="C160" s="45"/>
      <c r="D160" s="206"/>
      <c r="F160" s="181"/>
    </row>
    <row r="161" spans="1:6" ht="13" x14ac:dyDescent="0.3">
      <c r="A161" s="166"/>
      <c r="C161" s="45"/>
      <c r="D161" s="206"/>
      <c r="F161" s="181"/>
    </row>
    <row r="162" spans="1:6" ht="13" x14ac:dyDescent="0.3">
      <c r="A162" s="166"/>
      <c r="C162" s="45"/>
      <c r="D162" s="206"/>
      <c r="F162" s="181"/>
    </row>
    <row r="163" spans="1:6" ht="13" x14ac:dyDescent="0.3">
      <c r="A163" s="166"/>
      <c r="C163" s="45"/>
      <c r="D163" s="206"/>
      <c r="F163" s="181"/>
    </row>
    <row r="164" spans="1:6" ht="13" x14ac:dyDescent="0.3">
      <c r="A164" s="166"/>
      <c r="C164" s="45"/>
      <c r="D164" s="206"/>
      <c r="F164" s="181"/>
    </row>
    <row r="165" spans="1:6" ht="13" x14ac:dyDescent="0.3">
      <c r="A165" s="166"/>
      <c r="C165" s="45"/>
      <c r="D165" s="206"/>
      <c r="F165" s="181"/>
    </row>
    <row r="166" spans="1:6" ht="13" x14ac:dyDescent="0.3">
      <c r="A166" s="166"/>
      <c r="C166" s="45"/>
      <c r="D166" s="206"/>
      <c r="F166" s="181"/>
    </row>
    <row r="167" spans="1:6" ht="13" x14ac:dyDescent="0.3">
      <c r="A167" s="166"/>
      <c r="C167" s="45"/>
      <c r="D167" s="206"/>
      <c r="F167" s="181"/>
    </row>
    <row r="168" spans="1:6" ht="13" x14ac:dyDescent="0.3">
      <c r="A168" s="166"/>
      <c r="C168" s="45"/>
      <c r="D168" s="206"/>
      <c r="F168" s="181"/>
    </row>
    <row r="169" spans="1:6" ht="13" x14ac:dyDescent="0.3">
      <c r="A169" s="166"/>
      <c r="C169" s="45"/>
      <c r="D169" s="206"/>
      <c r="F169" s="181"/>
    </row>
    <row r="170" spans="1:6" ht="13" x14ac:dyDescent="0.3">
      <c r="A170" s="166"/>
      <c r="C170" s="45"/>
      <c r="D170" s="206"/>
      <c r="F170" s="181"/>
    </row>
    <row r="171" spans="1:6" ht="13" x14ac:dyDescent="0.3">
      <c r="A171" s="166"/>
      <c r="C171" s="45"/>
      <c r="D171" s="207"/>
      <c r="F171" s="200"/>
    </row>
    <row r="172" spans="1:6" ht="13" x14ac:dyDescent="0.3">
      <c r="A172" s="166"/>
      <c r="C172" s="49"/>
      <c r="D172" s="206"/>
    </row>
  </sheetData>
  <pageMargins left="0.75" right="0.75" top="1" bottom="1" header="0.5" footer="0.5"/>
  <pageSetup scale="78" orientation="landscape" cellComments="asDisplayed" r:id="rId1"/>
  <headerFooter alignWithMargins="0">
    <oddHeader xml:space="preserve">&amp;CSchedule 4
True Up TRR
(2019 Wildfire Adj)&amp;RTO2021 Draft Annual Update
Attachment 4
WP-Schedule 3-One Time Adjustment Transition
Page &amp;P of &amp;N
</oddHeader>
    <oddFooter>&amp;R&amp;A</oddFooter>
  </headerFooter>
  <rowBreaks count="4" manualBreakCount="4">
    <brk id="46" max="9" man="1"/>
    <brk id="73" max="16383" man="1"/>
    <brk id="119" max="9" man="1"/>
    <brk id="15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A3D34-F835-467B-97C3-F384D934507B}">
  <sheetPr>
    <tabColor rgb="FFCCECFF"/>
  </sheetPr>
  <dimension ref="A1:J188"/>
  <sheetViews>
    <sheetView zoomScale="80" zoomScaleNormal="80" zoomScaleSheetLayoutView="80" zoomScalePageLayoutView="80" workbookViewId="0"/>
  </sheetViews>
  <sheetFormatPr defaultRowHeight="13" x14ac:dyDescent="0.3"/>
  <cols>
    <col min="1" max="1" width="9.54296875" style="164" customWidth="1"/>
    <col min="2" max="2" width="9.54296875" style="229" customWidth="1"/>
    <col min="3" max="3" width="55" style="229" customWidth="1"/>
    <col min="4" max="4" width="15.54296875" style="229" customWidth="1"/>
    <col min="5" max="5" width="16.54296875" style="229" customWidth="1"/>
    <col min="6" max="6" width="15.54296875" style="229" customWidth="1"/>
    <col min="7" max="7" width="16.54296875" style="229" customWidth="1"/>
    <col min="8" max="8" width="15.54296875" style="229" customWidth="1"/>
    <col min="9" max="9" width="16.453125" style="229" bestFit="1" customWidth="1"/>
    <col min="10" max="10" width="33.54296875" style="229" customWidth="1"/>
    <col min="11" max="16384" width="8.7265625" style="164"/>
  </cols>
  <sheetData>
    <row r="1" spans="1:10" x14ac:dyDescent="0.3">
      <c r="A1" s="163" t="s">
        <v>344</v>
      </c>
      <c r="B1" s="228"/>
      <c r="C1" s="228"/>
      <c r="D1" s="228"/>
      <c r="E1" s="228"/>
      <c r="F1" s="198" t="s">
        <v>221</v>
      </c>
      <c r="G1" s="198"/>
      <c r="H1" s="228"/>
      <c r="I1" s="228"/>
      <c r="J1" s="228"/>
    </row>
    <row r="2" spans="1:10" x14ac:dyDescent="0.3">
      <c r="A2" s="228"/>
      <c r="B2" s="54"/>
      <c r="C2" s="50"/>
      <c r="D2" s="50"/>
      <c r="E2" s="228"/>
      <c r="F2" s="228"/>
      <c r="G2" s="228"/>
      <c r="H2" s="228"/>
      <c r="I2" s="228"/>
      <c r="J2" s="228"/>
    </row>
    <row r="3" spans="1:10" x14ac:dyDescent="0.3">
      <c r="A3" s="228"/>
      <c r="B3" s="54" t="s">
        <v>345</v>
      </c>
      <c r="C3" s="50"/>
      <c r="D3" s="50"/>
      <c r="E3" s="228"/>
      <c r="F3" s="228"/>
      <c r="G3" s="228"/>
      <c r="H3" s="228"/>
      <c r="I3" s="228"/>
      <c r="J3" s="228"/>
    </row>
    <row r="4" spans="1:10" x14ac:dyDescent="0.3">
      <c r="A4" s="228"/>
      <c r="B4" s="54"/>
      <c r="C4" s="50"/>
      <c r="D4" s="50"/>
      <c r="E4" s="228"/>
      <c r="F4" s="228"/>
      <c r="G4" s="228"/>
      <c r="H4" s="228"/>
      <c r="I4" s="228"/>
      <c r="J4" s="228"/>
    </row>
    <row r="5" spans="1:10" x14ac:dyDescent="0.3">
      <c r="A5" s="228"/>
      <c r="B5" s="55" t="s">
        <v>346</v>
      </c>
      <c r="C5" s="50"/>
      <c r="D5" s="50"/>
      <c r="E5" s="228"/>
      <c r="F5" s="228"/>
      <c r="G5" s="228"/>
      <c r="H5" s="228"/>
      <c r="I5" s="228"/>
      <c r="J5" s="228"/>
    </row>
    <row r="6" spans="1:10" x14ac:dyDescent="0.3">
      <c r="A6" s="228"/>
      <c r="B6" s="54"/>
      <c r="C6" s="203" t="s">
        <v>12</v>
      </c>
      <c r="D6" s="203" t="s">
        <v>347</v>
      </c>
      <c r="E6" s="228"/>
      <c r="I6" s="228"/>
      <c r="J6" s="228"/>
    </row>
    <row r="7" spans="1:10" x14ac:dyDescent="0.3">
      <c r="A7" s="228"/>
      <c r="C7" s="50"/>
      <c r="D7" s="228"/>
      <c r="E7" s="228"/>
      <c r="I7" s="228"/>
      <c r="J7" s="228"/>
    </row>
    <row r="8" spans="1:10" x14ac:dyDescent="0.3">
      <c r="A8" s="228"/>
      <c r="B8" s="54"/>
      <c r="C8" s="228"/>
      <c r="D8" s="166" t="s">
        <v>348</v>
      </c>
      <c r="J8" s="228"/>
    </row>
    <row r="9" spans="1:10" x14ac:dyDescent="0.3">
      <c r="A9" s="168" t="s">
        <v>22</v>
      </c>
      <c r="B9" s="54"/>
      <c r="C9" s="230" t="s">
        <v>349</v>
      </c>
      <c r="D9" s="171" t="s">
        <v>350</v>
      </c>
      <c r="E9" s="231" t="s">
        <v>98</v>
      </c>
      <c r="J9" s="228"/>
    </row>
    <row r="10" spans="1:10" ht="14.5" x14ac:dyDescent="0.35">
      <c r="A10" s="232">
        <v>1</v>
      </c>
      <c r="B10" s="54"/>
      <c r="C10" s="174" t="s">
        <v>351</v>
      </c>
      <c r="D10" s="182">
        <f>+D71</f>
        <v>117755457.11550149</v>
      </c>
      <c r="E10" s="176" t="str">
        <f>"Line "&amp;A71&amp;", Col. 2"</f>
        <v>Line 353, Col. 2</v>
      </c>
      <c r="J10" s="228"/>
    </row>
    <row r="11" spans="1:10" x14ac:dyDescent="0.3">
      <c r="A11" s="166">
        <f>A10+1</f>
        <v>2</v>
      </c>
      <c r="B11" s="54"/>
      <c r="C11" s="174" t="s">
        <v>352</v>
      </c>
      <c r="D11" s="182">
        <f>+D91</f>
        <v>-1188810901.2409992</v>
      </c>
      <c r="E11" s="176" t="str">
        <f>"Line "&amp;A91&amp;", Col. 2"</f>
        <v>Line 452, Col. 2</v>
      </c>
      <c r="J11" s="228"/>
    </row>
    <row r="12" spans="1:10" x14ac:dyDescent="0.3">
      <c r="A12" s="166">
        <f t="shared" ref="A12:A24" si="0">A11+1</f>
        <v>3</v>
      </c>
      <c r="B12" s="54"/>
      <c r="C12" s="174" t="s">
        <v>353</v>
      </c>
      <c r="D12" s="182">
        <f>+D131</f>
        <v>-14941597.497067939</v>
      </c>
      <c r="E12" s="176" t="str">
        <f>"Line "&amp;A131&amp;", Col. 2"</f>
        <v>Line 803, Col. 2</v>
      </c>
      <c r="I12" s="233"/>
      <c r="J12" s="228"/>
    </row>
    <row r="13" spans="1:10" x14ac:dyDescent="0.3">
      <c r="A13" s="166">
        <f t="shared" si="0"/>
        <v>4</v>
      </c>
      <c r="B13" s="54"/>
      <c r="C13" s="174" t="s">
        <v>354</v>
      </c>
      <c r="D13" s="56">
        <f>-637169884+101819399</f>
        <v>-535350485</v>
      </c>
      <c r="E13" s="176" t="s">
        <v>355</v>
      </c>
      <c r="I13" s="233"/>
      <c r="J13" s="228"/>
    </row>
    <row r="14" spans="1:10" x14ac:dyDescent="0.3">
      <c r="A14" s="166">
        <f t="shared" si="0"/>
        <v>5</v>
      </c>
      <c r="B14" s="54"/>
      <c r="C14" s="174" t="s">
        <v>356</v>
      </c>
      <c r="D14" s="234">
        <f>SUM(D10:D13)</f>
        <v>-1621347526.6225657</v>
      </c>
      <c r="E14" s="235" t="str">
        <f>"Sum of Lines "&amp;A10&amp;" to "&amp;A13&amp;""</f>
        <v>Sum of Lines 1 to 4</v>
      </c>
      <c r="J14" s="228"/>
    </row>
    <row r="15" spans="1:10" x14ac:dyDescent="0.3">
      <c r="A15" s="166">
        <f t="shared" si="0"/>
        <v>6</v>
      </c>
      <c r="B15" s="54"/>
      <c r="C15" s="176" t="s">
        <v>357</v>
      </c>
      <c r="D15" s="228"/>
      <c r="E15" s="228"/>
      <c r="G15" s="236"/>
      <c r="H15" s="237"/>
      <c r="I15" s="228"/>
      <c r="J15" s="228"/>
    </row>
    <row r="16" spans="1:10" x14ac:dyDescent="0.3">
      <c r="A16" s="166">
        <f t="shared" si="0"/>
        <v>7</v>
      </c>
      <c r="B16" s="55" t="s">
        <v>358</v>
      </c>
      <c r="E16" s="228"/>
      <c r="G16" s="233"/>
      <c r="H16" s="238"/>
      <c r="I16" s="233"/>
      <c r="J16" s="228"/>
    </row>
    <row r="17" spans="1:10" x14ac:dyDescent="0.3">
      <c r="A17" s="166">
        <f t="shared" si="0"/>
        <v>8</v>
      </c>
      <c r="B17" s="55"/>
      <c r="D17" s="166" t="s">
        <v>359</v>
      </c>
      <c r="E17" s="228"/>
      <c r="G17" s="233"/>
      <c r="H17" s="238"/>
      <c r="I17" s="233"/>
      <c r="J17" s="228"/>
    </row>
    <row r="18" spans="1:10" x14ac:dyDescent="0.3">
      <c r="A18" s="166">
        <f t="shared" si="0"/>
        <v>9</v>
      </c>
      <c r="B18" s="54"/>
      <c r="D18" s="171" t="s">
        <v>350</v>
      </c>
      <c r="E18" s="231" t="s">
        <v>98</v>
      </c>
      <c r="G18" s="239"/>
      <c r="H18" s="233"/>
      <c r="I18" s="233"/>
      <c r="J18" s="228"/>
    </row>
    <row r="19" spans="1:10" x14ac:dyDescent="0.3">
      <c r="A19" s="166">
        <f t="shared" si="0"/>
        <v>10</v>
      </c>
      <c r="B19" s="54"/>
      <c r="C19" s="174" t="s">
        <v>356</v>
      </c>
      <c r="D19" s="226">
        <v>-1642932131</v>
      </c>
      <c r="E19" s="176" t="str">
        <f>"Previous Year Informational Filing, Line "&amp;A14&amp;", Col. 2"</f>
        <v>Previous Year Informational Filing, Line 5, Col. 2</v>
      </c>
      <c r="G19" s="240"/>
      <c r="H19" s="233"/>
      <c r="I19" s="233"/>
    </row>
    <row r="20" spans="1:10" x14ac:dyDescent="0.3">
      <c r="A20" s="166">
        <f t="shared" si="0"/>
        <v>11</v>
      </c>
      <c r="B20" s="54"/>
      <c r="D20" s="228"/>
      <c r="E20" s="228"/>
      <c r="F20" s="233"/>
      <c r="G20" s="233"/>
      <c r="H20" s="233"/>
      <c r="I20" s="233"/>
      <c r="J20" s="228"/>
    </row>
    <row r="21" spans="1:10" x14ac:dyDescent="0.3">
      <c r="A21" s="166">
        <f t="shared" si="0"/>
        <v>12</v>
      </c>
      <c r="B21" s="55" t="s">
        <v>360</v>
      </c>
      <c r="D21" s="228"/>
      <c r="E21" s="228"/>
      <c r="F21" s="233"/>
      <c r="G21" s="233"/>
      <c r="H21" s="233"/>
      <c r="I21" s="233"/>
      <c r="J21" s="228"/>
    </row>
    <row r="22" spans="1:10" x14ac:dyDescent="0.3">
      <c r="A22" s="166">
        <f t="shared" si="0"/>
        <v>13</v>
      </c>
      <c r="B22" s="50"/>
      <c r="C22" s="58"/>
      <c r="D22" s="59" t="s">
        <v>361</v>
      </c>
      <c r="E22" s="228"/>
      <c r="F22" s="228"/>
      <c r="G22" s="228"/>
      <c r="H22" s="228"/>
      <c r="I22" s="228"/>
      <c r="J22" s="228"/>
    </row>
    <row r="23" spans="1:10" x14ac:dyDescent="0.3">
      <c r="A23" s="166">
        <f t="shared" si="0"/>
        <v>14</v>
      </c>
      <c r="B23" s="50"/>
      <c r="D23" s="171" t="s">
        <v>350</v>
      </c>
      <c r="E23" s="231" t="s">
        <v>98</v>
      </c>
      <c r="F23" s="228"/>
      <c r="G23" s="239"/>
      <c r="H23" s="228"/>
      <c r="I23" s="228"/>
      <c r="J23" s="228"/>
    </row>
    <row r="24" spans="1:10" x14ac:dyDescent="0.3">
      <c r="A24" s="166">
        <f t="shared" si="0"/>
        <v>15</v>
      </c>
      <c r="B24" s="50"/>
      <c r="C24" s="60" t="s">
        <v>362</v>
      </c>
      <c r="D24" s="61">
        <f>J155</f>
        <v>-1632992371.4042728</v>
      </c>
      <c r="E24" s="176" t="s">
        <v>363</v>
      </c>
      <c r="F24" s="228"/>
      <c r="G24" s="233"/>
      <c r="H24" s="228"/>
      <c r="I24" s="228"/>
      <c r="J24" s="228"/>
    </row>
    <row r="25" spans="1:10" x14ac:dyDescent="0.3">
      <c r="A25" s="166"/>
      <c r="B25" s="50"/>
      <c r="C25" s="58"/>
      <c r="D25" s="62"/>
      <c r="E25" s="228"/>
      <c r="F25" s="228"/>
      <c r="G25" s="228"/>
      <c r="H25" s="228"/>
      <c r="I25" s="228"/>
      <c r="J25" s="228"/>
    </row>
    <row r="26" spans="1:10" x14ac:dyDescent="0.3">
      <c r="A26" s="166"/>
      <c r="B26" s="54" t="s">
        <v>364</v>
      </c>
      <c r="C26" s="58"/>
      <c r="D26" s="62"/>
      <c r="E26" s="228"/>
      <c r="F26" s="228"/>
      <c r="G26" s="228"/>
      <c r="H26" s="228"/>
      <c r="I26" s="228"/>
      <c r="J26" s="228"/>
    </row>
    <row r="27" spans="1:10" x14ac:dyDescent="0.3">
      <c r="A27" s="166"/>
      <c r="B27" s="54"/>
      <c r="C27" s="203" t="s">
        <v>12</v>
      </c>
      <c r="D27" s="203" t="s">
        <v>347</v>
      </c>
      <c r="E27" s="203" t="s">
        <v>365</v>
      </c>
      <c r="F27" s="203" t="s">
        <v>13</v>
      </c>
      <c r="G27" s="203" t="s">
        <v>366</v>
      </c>
      <c r="H27" s="203" t="s">
        <v>367</v>
      </c>
      <c r="I27" s="203" t="s">
        <v>368</v>
      </c>
      <c r="J27" s="228"/>
    </row>
    <row r="28" spans="1:10" x14ac:dyDescent="0.3">
      <c r="A28" s="174"/>
      <c r="B28" s="59"/>
      <c r="C28" s="59"/>
      <c r="D28" s="59" t="s">
        <v>369</v>
      </c>
      <c r="E28" s="59" t="s">
        <v>370</v>
      </c>
      <c r="F28" s="59"/>
      <c r="G28" s="59"/>
      <c r="H28" s="59" t="s">
        <v>371</v>
      </c>
      <c r="I28" s="241" t="s">
        <v>372</v>
      </c>
      <c r="J28" s="228"/>
    </row>
    <row r="29" spans="1:10" x14ac:dyDescent="0.3">
      <c r="A29" s="174"/>
      <c r="B29" s="63" t="s">
        <v>373</v>
      </c>
      <c r="C29" s="63" t="s">
        <v>374</v>
      </c>
      <c r="D29" s="63" t="s">
        <v>375</v>
      </c>
      <c r="E29" s="63" t="s">
        <v>376</v>
      </c>
      <c r="F29" s="63" t="s">
        <v>377</v>
      </c>
      <c r="G29" s="63" t="s">
        <v>378</v>
      </c>
      <c r="H29" s="63" t="s">
        <v>379</v>
      </c>
      <c r="I29" s="63" t="s">
        <v>95</v>
      </c>
      <c r="J29" s="228"/>
    </row>
    <row r="30" spans="1:10" x14ac:dyDescent="0.3">
      <c r="A30" s="166"/>
      <c r="B30" s="50" t="s">
        <v>380</v>
      </c>
      <c r="C30" s="50"/>
      <c r="D30" s="50"/>
      <c r="E30" s="228"/>
      <c r="F30" s="228"/>
      <c r="G30" s="228"/>
      <c r="H30" s="228"/>
      <c r="I30" s="228"/>
      <c r="J30" s="228"/>
    </row>
    <row r="31" spans="1:10" x14ac:dyDescent="0.3">
      <c r="A31" s="242">
        <f>100</f>
        <v>100</v>
      </c>
      <c r="B31" s="64">
        <v>190</v>
      </c>
      <c r="C31" s="65" t="s">
        <v>381</v>
      </c>
      <c r="D31" s="66">
        <v>539259.8899999999</v>
      </c>
      <c r="E31" s="67">
        <f>D31*$G$178</f>
        <v>483.73571206760488</v>
      </c>
      <c r="F31" s="243"/>
      <c r="G31" s="67">
        <f>D31-E31</f>
        <v>538776.15428793232</v>
      </c>
      <c r="H31" s="67"/>
      <c r="I31" s="53" t="s">
        <v>382</v>
      </c>
      <c r="J31" s="198"/>
    </row>
    <row r="32" spans="1:10" x14ac:dyDescent="0.3">
      <c r="A32" s="242">
        <f t="shared" ref="A32:A46" si="1">A31+1</f>
        <v>101</v>
      </c>
      <c r="B32" s="64">
        <v>190</v>
      </c>
      <c r="C32" s="65" t="s">
        <v>383</v>
      </c>
      <c r="D32" s="66">
        <v>1227871.1299999999</v>
      </c>
      <c r="E32" s="67">
        <f>D32*$G$170</f>
        <v>4300.652896665576</v>
      </c>
      <c r="F32" s="243"/>
      <c r="G32" s="67"/>
      <c r="H32" s="67">
        <f>D32-E32</f>
        <v>1223570.4771033344</v>
      </c>
      <c r="I32" s="53" t="s">
        <v>384</v>
      </c>
      <c r="J32" s="198"/>
    </row>
    <row r="33" spans="1:10" x14ac:dyDescent="0.3">
      <c r="A33" s="242">
        <f t="shared" si="1"/>
        <v>102</v>
      </c>
      <c r="B33" s="64">
        <v>190</v>
      </c>
      <c r="C33" s="65" t="s">
        <v>385</v>
      </c>
      <c r="D33" s="66">
        <v>719009.04</v>
      </c>
      <c r="E33" s="67">
        <f>D33*$G$178</f>
        <v>644.97722971282928</v>
      </c>
      <c r="F33" s="243"/>
      <c r="G33" s="67">
        <f>D33-E33</f>
        <v>718364.06277028716</v>
      </c>
      <c r="H33" s="67"/>
      <c r="I33" s="53" t="s">
        <v>382</v>
      </c>
      <c r="J33" s="198"/>
    </row>
    <row r="34" spans="1:10" x14ac:dyDescent="0.3">
      <c r="A34" s="242">
        <f t="shared" si="1"/>
        <v>103</v>
      </c>
      <c r="B34" s="64">
        <v>190</v>
      </c>
      <c r="C34" s="65" t="s">
        <v>386</v>
      </c>
      <c r="D34" s="66">
        <v>1264408.98</v>
      </c>
      <c r="E34" s="67">
        <f>D34*$G$170</f>
        <v>4428.627735882158</v>
      </c>
      <c r="F34" s="67"/>
      <c r="G34" s="67"/>
      <c r="H34" s="67">
        <f>D34-E34</f>
        <v>1259980.3522641179</v>
      </c>
      <c r="I34" s="53" t="s">
        <v>384</v>
      </c>
      <c r="J34" s="198"/>
    </row>
    <row r="35" spans="1:10" x14ac:dyDescent="0.3">
      <c r="A35" s="242">
        <f t="shared" si="1"/>
        <v>104</v>
      </c>
      <c r="B35" s="64">
        <v>190</v>
      </c>
      <c r="C35" s="65" t="s">
        <v>387</v>
      </c>
      <c r="D35" s="66">
        <v>28272451.09</v>
      </c>
      <c r="E35" s="67">
        <f>D35*$G$170</f>
        <v>99025.0488876991</v>
      </c>
      <c r="F35" s="243"/>
      <c r="G35" s="67"/>
      <c r="H35" s="67">
        <f>D35-E35</f>
        <v>28173426.0411123</v>
      </c>
      <c r="I35" s="53" t="s">
        <v>384</v>
      </c>
      <c r="J35" s="198"/>
    </row>
    <row r="36" spans="1:10" ht="12.75" customHeight="1" x14ac:dyDescent="0.3">
      <c r="A36" s="242">
        <f t="shared" si="1"/>
        <v>105</v>
      </c>
      <c r="B36" s="64">
        <v>190</v>
      </c>
      <c r="C36" s="65" t="s">
        <v>388</v>
      </c>
      <c r="D36" s="66">
        <v>13313776.199999999</v>
      </c>
      <c r="E36" s="67">
        <f>D36*$G$170</f>
        <v>46631.87266247331</v>
      </c>
      <c r="F36" s="243"/>
      <c r="G36" s="67"/>
      <c r="H36" s="67">
        <f>D36-E36</f>
        <v>13267144.327337526</v>
      </c>
      <c r="I36" s="53" t="s">
        <v>384</v>
      </c>
      <c r="J36" s="198"/>
    </row>
    <row r="37" spans="1:10" x14ac:dyDescent="0.3">
      <c r="A37" s="242">
        <f t="shared" si="1"/>
        <v>106</v>
      </c>
      <c r="B37" s="64">
        <v>190</v>
      </c>
      <c r="C37" s="65" t="s">
        <v>389</v>
      </c>
      <c r="D37" s="66">
        <v>815253.11999999988</v>
      </c>
      <c r="E37" s="67">
        <f>D37*$G$178</f>
        <v>731.31166591777583</v>
      </c>
      <c r="F37" s="243"/>
      <c r="G37" s="67">
        <f>D37-E37</f>
        <v>814521.80833408213</v>
      </c>
      <c r="H37" s="67"/>
      <c r="I37" s="53" t="s">
        <v>382</v>
      </c>
      <c r="J37" s="198"/>
    </row>
    <row r="38" spans="1:10" ht="13.5" thickBot="1" x14ac:dyDescent="0.35">
      <c r="A38" s="242">
        <f t="shared" si="1"/>
        <v>107</v>
      </c>
      <c r="B38" s="64">
        <v>190</v>
      </c>
      <c r="C38" s="65" t="s">
        <v>686</v>
      </c>
      <c r="D38" s="66">
        <f>818771165.09-D39</f>
        <v>814158069.09000003</v>
      </c>
      <c r="E38" s="67">
        <f>D38*$G$170</f>
        <v>2851611.3561327574</v>
      </c>
      <c r="F38" s="243"/>
      <c r="G38" s="67"/>
      <c r="H38" s="67">
        <f>D38-E38</f>
        <v>811306457.73386729</v>
      </c>
      <c r="I38" s="53" t="s">
        <v>384</v>
      </c>
      <c r="J38" s="198"/>
    </row>
    <row r="39" spans="1:10" ht="13.5" thickBot="1" x14ac:dyDescent="0.35">
      <c r="A39" s="244" t="s">
        <v>685</v>
      </c>
      <c r="B39" s="68">
        <v>190</v>
      </c>
      <c r="C39" s="69" t="s">
        <v>390</v>
      </c>
      <c r="D39" s="70">
        <v>4613096</v>
      </c>
      <c r="E39" s="71">
        <f>+D39</f>
        <v>4613096</v>
      </c>
      <c r="F39" s="245"/>
      <c r="G39" s="71"/>
      <c r="H39" s="71"/>
      <c r="I39" s="72" t="s">
        <v>391</v>
      </c>
      <c r="J39" s="246"/>
    </row>
    <row r="40" spans="1:10" x14ac:dyDescent="0.3">
      <c r="A40" s="242">
        <f>A38+1</f>
        <v>108</v>
      </c>
      <c r="B40" s="64">
        <v>190</v>
      </c>
      <c r="C40" s="65" t="s">
        <v>392</v>
      </c>
      <c r="D40" s="66">
        <v>466893648.7299999</v>
      </c>
      <c r="E40" s="67">
        <f>+D40</f>
        <v>466893648.7299999</v>
      </c>
      <c r="F40" s="243"/>
      <c r="G40" s="67"/>
      <c r="H40" s="67"/>
      <c r="I40" s="53" t="s">
        <v>393</v>
      </c>
      <c r="J40" s="198"/>
    </row>
    <row r="41" spans="1:10" x14ac:dyDescent="0.3">
      <c r="A41" s="242">
        <f t="shared" si="1"/>
        <v>109</v>
      </c>
      <c r="B41" s="64">
        <v>190</v>
      </c>
      <c r="C41" s="65" t="s">
        <v>394</v>
      </c>
      <c r="D41" s="66">
        <v>-0.27999999970896172</v>
      </c>
      <c r="E41" s="67">
        <f>+D41</f>
        <v>-0.27999999970896172</v>
      </c>
      <c r="F41" s="243"/>
      <c r="G41" s="67"/>
      <c r="H41" s="67"/>
      <c r="I41" s="53" t="s">
        <v>395</v>
      </c>
      <c r="J41" s="198"/>
    </row>
    <row r="42" spans="1:10" x14ac:dyDescent="0.3">
      <c r="A42" s="242">
        <f t="shared" si="1"/>
        <v>110</v>
      </c>
      <c r="B42" s="64">
        <v>190</v>
      </c>
      <c r="C42" s="65" t="s">
        <v>396</v>
      </c>
      <c r="D42" s="66">
        <v>37050590.980000004</v>
      </c>
      <c r="E42" s="67">
        <f>D42*$G$170</f>
        <v>129770.72880710903</v>
      </c>
      <c r="F42" s="226"/>
      <c r="G42" s="67"/>
      <c r="H42" s="67">
        <f>D42-E42</f>
        <v>36920820.251192898</v>
      </c>
      <c r="I42" s="53" t="s">
        <v>384</v>
      </c>
      <c r="J42" s="247"/>
    </row>
    <row r="43" spans="1:10" x14ac:dyDescent="0.3">
      <c r="A43" s="242">
        <f t="shared" si="1"/>
        <v>111</v>
      </c>
      <c r="B43" s="64">
        <v>190</v>
      </c>
      <c r="C43" s="65" t="s">
        <v>397</v>
      </c>
      <c r="D43" s="66">
        <v>751622201.74000013</v>
      </c>
      <c r="E43" s="67">
        <f>+D43</f>
        <v>751622201.74000013</v>
      </c>
      <c r="F43" s="243"/>
      <c r="G43" s="67"/>
      <c r="H43" s="67"/>
      <c r="I43" s="73" t="s">
        <v>398</v>
      </c>
      <c r="J43" s="198"/>
    </row>
    <row r="44" spans="1:10" x14ac:dyDescent="0.3">
      <c r="A44" s="242">
        <f t="shared" si="1"/>
        <v>112</v>
      </c>
      <c r="B44" s="64">
        <v>190</v>
      </c>
      <c r="C44" s="65" t="s">
        <v>399</v>
      </c>
      <c r="D44" s="66">
        <v>57713.380000010075</v>
      </c>
      <c r="E44" s="67">
        <f>+D44</f>
        <v>57713.380000010075</v>
      </c>
      <c r="F44" s="243"/>
      <c r="G44" s="67"/>
      <c r="H44" s="243"/>
      <c r="I44" s="53" t="s">
        <v>400</v>
      </c>
      <c r="J44" s="198"/>
    </row>
    <row r="45" spans="1:10" x14ac:dyDescent="0.3">
      <c r="A45" s="242">
        <f t="shared" si="1"/>
        <v>113</v>
      </c>
      <c r="B45" s="64">
        <v>190</v>
      </c>
      <c r="C45" s="65" t="s">
        <v>401</v>
      </c>
      <c r="D45" s="66">
        <v>-70476891.759999961</v>
      </c>
      <c r="E45" s="67">
        <f>+D45</f>
        <v>-70476891.759999961</v>
      </c>
      <c r="F45" s="243"/>
      <c r="G45" s="67"/>
      <c r="H45" s="243"/>
      <c r="I45" s="53" t="s">
        <v>402</v>
      </c>
      <c r="J45" s="198"/>
    </row>
    <row r="46" spans="1:10" x14ac:dyDescent="0.3">
      <c r="A46" s="242">
        <f t="shared" si="1"/>
        <v>114</v>
      </c>
      <c r="B46" s="64">
        <v>190</v>
      </c>
      <c r="C46" s="65" t="s">
        <v>403</v>
      </c>
      <c r="D46" s="66">
        <v>314760292.12</v>
      </c>
      <c r="E46" s="67"/>
      <c r="F46" s="243"/>
      <c r="G46" s="67">
        <f>D46-E46</f>
        <v>314760292.12</v>
      </c>
      <c r="H46" s="243"/>
      <c r="I46" s="53" t="s">
        <v>404</v>
      </c>
      <c r="J46" s="198"/>
    </row>
    <row r="47" spans="1:10" x14ac:dyDescent="0.3">
      <c r="A47" s="166"/>
      <c r="B47" s="74"/>
      <c r="C47" s="50"/>
      <c r="D47" s="75"/>
      <c r="E47" s="214"/>
      <c r="F47" s="214"/>
      <c r="G47" s="214"/>
      <c r="H47" s="214"/>
      <c r="I47" s="228"/>
      <c r="J47" s="228"/>
    </row>
    <row r="48" spans="1:10" x14ac:dyDescent="0.3">
      <c r="A48" s="166"/>
      <c r="B48" s="54" t="s">
        <v>405</v>
      </c>
      <c r="C48" s="58"/>
      <c r="D48" s="62"/>
      <c r="E48" s="228"/>
      <c r="F48" s="228"/>
      <c r="G48" s="228"/>
      <c r="H48" s="228"/>
      <c r="I48" s="228"/>
      <c r="J48" s="228"/>
    </row>
    <row r="49" spans="1:10" x14ac:dyDescent="0.3">
      <c r="A49" s="166"/>
      <c r="B49" s="54"/>
      <c r="C49" s="203" t="s">
        <v>12</v>
      </c>
      <c r="D49" s="203" t="s">
        <v>347</v>
      </c>
      <c r="E49" s="203" t="s">
        <v>365</v>
      </c>
      <c r="F49" s="203" t="s">
        <v>13</v>
      </c>
      <c r="G49" s="203" t="s">
        <v>366</v>
      </c>
      <c r="H49" s="203" t="s">
        <v>367</v>
      </c>
      <c r="I49" s="203" t="s">
        <v>368</v>
      </c>
      <c r="J49" s="228"/>
    </row>
    <row r="50" spans="1:10" x14ac:dyDescent="0.3">
      <c r="A50" s="166"/>
      <c r="B50" s="59"/>
      <c r="C50" s="59"/>
      <c r="D50" s="59" t="s">
        <v>369</v>
      </c>
      <c r="E50" s="59" t="s">
        <v>370</v>
      </c>
      <c r="F50" s="59"/>
      <c r="G50" s="59"/>
      <c r="H50" s="59"/>
      <c r="I50" s="241" t="s">
        <v>372</v>
      </c>
      <c r="J50" s="228"/>
    </row>
    <row r="51" spans="1:10" x14ac:dyDescent="0.3">
      <c r="A51" s="166"/>
      <c r="B51" s="63" t="s">
        <v>373</v>
      </c>
      <c r="C51" s="63" t="s">
        <v>374</v>
      </c>
      <c r="D51" s="63" t="s">
        <v>375</v>
      </c>
      <c r="E51" s="63" t="s">
        <v>376</v>
      </c>
      <c r="F51" s="63" t="s">
        <v>377</v>
      </c>
      <c r="G51" s="63" t="s">
        <v>378</v>
      </c>
      <c r="H51" s="63" t="s">
        <v>406</v>
      </c>
      <c r="I51" s="63" t="s">
        <v>95</v>
      </c>
      <c r="J51" s="214"/>
    </row>
    <row r="52" spans="1:10" x14ac:dyDescent="0.3">
      <c r="A52" s="166"/>
      <c r="B52" s="50" t="s">
        <v>380</v>
      </c>
      <c r="C52" s="50"/>
      <c r="D52" s="50"/>
      <c r="E52" s="228"/>
      <c r="F52" s="228"/>
      <c r="G52" s="228"/>
      <c r="H52" s="228"/>
      <c r="I52" s="228"/>
      <c r="J52" s="228"/>
    </row>
    <row r="53" spans="1:10" x14ac:dyDescent="0.3">
      <c r="A53" s="242">
        <v>115</v>
      </c>
      <c r="B53" s="64" t="s">
        <v>407</v>
      </c>
      <c r="C53" s="65"/>
      <c r="D53" s="66"/>
      <c r="E53" s="243"/>
      <c r="F53" s="243"/>
      <c r="G53" s="243"/>
      <c r="H53" s="243"/>
      <c r="I53" s="198"/>
      <c r="J53" s="198"/>
    </row>
    <row r="54" spans="1:10" x14ac:dyDescent="0.3">
      <c r="A54" s="166"/>
      <c r="B54" s="76"/>
      <c r="C54" s="50"/>
      <c r="D54" s="75"/>
      <c r="E54" s="214"/>
      <c r="F54" s="214"/>
      <c r="G54" s="214"/>
      <c r="H54" s="214"/>
      <c r="I54" s="231" t="s">
        <v>98</v>
      </c>
      <c r="J54" s="228"/>
    </row>
    <row r="55" spans="1:10" x14ac:dyDescent="0.3">
      <c r="A55" s="166">
        <v>250</v>
      </c>
      <c r="B55" s="50"/>
      <c r="C55" s="50" t="s">
        <v>408</v>
      </c>
      <c r="D55" s="77">
        <f>SUM(D31:D46)+SUM(D53:D53)</f>
        <v>2364830749.4500003</v>
      </c>
      <c r="E55" s="77">
        <f>SUM(E31:E46)+SUM(E53:E53)</f>
        <v>1155847396.1217306</v>
      </c>
      <c r="F55" s="78">
        <f>SUM(F31:F46)+SUM(F53:F53)</f>
        <v>0</v>
      </c>
      <c r="G55" s="78">
        <f>SUM(G31:G46)+SUM(G53:G53)</f>
        <v>316831954.1453923</v>
      </c>
      <c r="H55" s="78">
        <f>SUM(H31:H46)+SUM(H53:H53)</f>
        <v>892151399.18287754</v>
      </c>
      <c r="I55" s="237" t="str">
        <f>"Sum of Above Lines beginning on Line "&amp;A31&amp;""</f>
        <v>Sum of Above Lines beginning on Line 100</v>
      </c>
      <c r="J55" s="228"/>
    </row>
    <row r="56" spans="1:10" x14ac:dyDescent="0.3">
      <c r="A56" s="166"/>
      <c r="B56" s="50"/>
      <c r="C56" s="50"/>
      <c r="D56" s="79"/>
      <c r="E56" s="214"/>
      <c r="F56" s="214"/>
      <c r="G56" s="214"/>
      <c r="H56" s="214"/>
      <c r="I56" s="228"/>
      <c r="J56" s="228"/>
    </row>
    <row r="57" spans="1:10" x14ac:dyDescent="0.3">
      <c r="A57" s="166"/>
      <c r="B57" s="50" t="s">
        <v>409</v>
      </c>
      <c r="C57" s="50"/>
      <c r="D57" s="79"/>
      <c r="E57" s="214"/>
      <c r="F57" s="214"/>
      <c r="G57" s="214"/>
      <c r="H57" s="214"/>
      <c r="I57" s="241" t="s">
        <v>372</v>
      </c>
      <c r="J57" s="228"/>
    </row>
    <row r="58" spans="1:10" x14ac:dyDescent="0.3">
      <c r="A58" s="166"/>
      <c r="C58" s="203" t="s">
        <v>12</v>
      </c>
      <c r="D58" s="203" t="s">
        <v>347</v>
      </c>
      <c r="E58" s="203" t="s">
        <v>365</v>
      </c>
      <c r="F58" s="203" t="s">
        <v>13</v>
      </c>
      <c r="G58" s="203" t="s">
        <v>366</v>
      </c>
      <c r="H58" s="203" t="s">
        <v>367</v>
      </c>
      <c r="I58" s="203" t="s">
        <v>368</v>
      </c>
      <c r="J58" s="228"/>
    </row>
    <row r="59" spans="1:10" x14ac:dyDescent="0.3">
      <c r="A59" s="242">
        <v>300</v>
      </c>
      <c r="B59" s="64">
        <v>190</v>
      </c>
      <c r="C59" s="65" t="s">
        <v>410</v>
      </c>
      <c r="D59" s="66">
        <v>-3401</v>
      </c>
      <c r="E59" s="67">
        <f>D59</f>
        <v>-3401</v>
      </c>
      <c r="F59" s="67"/>
      <c r="G59" s="67"/>
      <c r="H59" s="67"/>
      <c r="I59" s="53" t="s">
        <v>411</v>
      </c>
      <c r="J59" s="53"/>
    </row>
    <row r="60" spans="1:10" x14ac:dyDescent="0.3">
      <c r="A60" s="242">
        <f>A59+1</f>
        <v>301</v>
      </c>
      <c r="B60" s="64">
        <v>190</v>
      </c>
      <c r="C60" s="65" t="s">
        <v>412</v>
      </c>
      <c r="D60" s="66">
        <v>-1683831</v>
      </c>
      <c r="E60" s="67">
        <f>D60</f>
        <v>-1683831</v>
      </c>
      <c r="F60" s="67"/>
      <c r="G60" s="67"/>
      <c r="H60" s="67"/>
      <c r="I60" s="53" t="s">
        <v>413</v>
      </c>
      <c r="J60" s="53"/>
    </row>
    <row r="61" spans="1:10" x14ac:dyDescent="0.3">
      <c r="A61" s="242">
        <f>A60+1</f>
        <v>302</v>
      </c>
      <c r="B61" s="64">
        <v>190</v>
      </c>
      <c r="C61" s="65" t="s">
        <v>414</v>
      </c>
      <c r="D61" s="66">
        <v>898801</v>
      </c>
      <c r="E61" s="67">
        <f>D61</f>
        <v>898801</v>
      </c>
      <c r="F61" s="67"/>
      <c r="G61" s="67"/>
      <c r="H61" s="67"/>
      <c r="I61" s="53" t="s">
        <v>413</v>
      </c>
      <c r="J61" s="53"/>
    </row>
    <row r="62" spans="1:10" x14ac:dyDescent="0.3">
      <c r="A62" s="242">
        <v>303</v>
      </c>
      <c r="B62" s="64">
        <v>190</v>
      </c>
      <c r="C62" s="65" t="s">
        <v>415</v>
      </c>
      <c r="D62" s="66">
        <v>145793.81</v>
      </c>
      <c r="E62" s="67">
        <f t="shared" ref="E62:E63" si="2">D62</f>
        <v>145793.81</v>
      </c>
      <c r="F62" s="67"/>
      <c r="G62" s="67"/>
      <c r="H62" s="67"/>
      <c r="I62" s="53" t="s">
        <v>398</v>
      </c>
      <c r="J62" s="53"/>
    </row>
    <row r="63" spans="1:10" x14ac:dyDescent="0.3">
      <c r="A63" s="242">
        <v>304</v>
      </c>
      <c r="B63" s="64">
        <v>190</v>
      </c>
      <c r="C63" s="65" t="s">
        <v>416</v>
      </c>
      <c r="D63" s="66">
        <v>10334182.949999992</v>
      </c>
      <c r="E63" s="67">
        <f t="shared" si="2"/>
        <v>10334182.949999992</v>
      </c>
      <c r="F63" s="67"/>
      <c r="G63" s="67"/>
      <c r="H63" s="67"/>
      <c r="I63" s="53" t="s">
        <v>398</v>
      </c>
      <c r="J63" s="53"/>
    </row>
    <row r="64" spans="1:10" x14ac:dyDescent="0.3">
      <c r="A64" s="242">
        <v>305</v>
      </c>
      <c r="B64" s="64" t="s">
        <v>407</v>
      </c>
      <c r="C64" s="65"/>
      <c r="D64" s="66"/>
      <c r="E64" s="67"/>
      <c r="F64" s="67"/>
      <c r="G64" s="67"/>
      <c r="H64" s="67"/>
      <c r="I64" s="53"/>
      <c r="J64" s="53"/>
    </row>
    <row r="65" spans="1:10" x14ac:dyDescent="0.3">
      <c r="A65" s="166"/>
      <c r="B65" s="76"/>
      <c r="C65" s="50"/>
      <c r="D65" s="75"/>
      <c r="E65" s="214"/>
      <c r="F65" s="214"/>
      <c r="G65" s="214"/>
      <c r="H65" s="214"/>
      <c r="I65" s="228"/>
      <c r="J65" s="228"/>
    </row>
    <row r="66" spans="1:10" x14ac:dyDescent="0.3">
      <c r="A66" s="166"/>
      <c r="B66" s="76"/>
      <c r="C66" s="203" t="s">
        <v>12</v>
      </c>
      <c r="D66" s="203" t="s">
        <v>347</v>
      </c>
      <c r="E66" s="203" t="s">
        <v>365</v>
      </c>
      <c r="F66" s="203" t="s">
        <v>13</v>
      </c>
      <c r="G66" s="203" t="s">
        <v>366</v>
      </c>
      <c r="H66" s="203" t="s">
        <v>367</v>
      </c>
      <c r="I66" s="231" t="s">
        <v>98</v>
      </c>
      <c r="J66" s="228"/>
    </row>
    <row r="67" spans="1:10" x14ac:dyDescent="0.3">
      <c r="A67" s="166">
        <v>350</v>
      </c>
      <c r="B67" s="50"/>
      <c r="C67" s="50" t="s">
        <v>417</v>
      </c>
      <c r="D67" s="77">
        <f>SUM(D59:D64)</f>
        <v>9691545.7599999923</v>
      </c>
      <c r="E67" s="77">
        <f>SUM(E59:E64)</f>
        <v>9691545.7599999923</v>
      </c>
      <c r="F67" s="78">
        <f>SUM(F59:F64)</f>
        <v>0</v>
      </c>
      <c r="G67" s="78">
        <f>SUM(G59:G64)</f>
        <v>0</v>
      </c>
      <c r="H67" s="78">
        <f>SUM(H59:H64)</f>
        <v>0</v>
      </c>
      <c r="I67" s="237" t="str">
        <f>"Sum of Above Lines beginning on Line "&amp;A59&amp;""</f>
        <v>Sum of Above Lines beginning on Line 300</v>
      </c>
      <c r="J67" s="228"/>
    </row>
    <row r="68" spans="1:10" x14ac:dyDescent="0.3">
      <c r="A68" s="166"/>
      <c r="B68" s="50"/>
      <c r="C68" s="50"/>
      <c r="D68" s="78"/>
      <c r="E68" s="78"/>
      <c r="F68" s="78"/>
      <c r="G68" s="78"/>
      <c r="H68" s="78"/>
      <c r="I68" s="237"/>
      <c r="J68" s="228"/>
    </row>
    <row r="69" spans="1:10" x14ac:dyDescent="0.3">
      <c r="A69" s="166">
        <f>A67+1</f>
        <v>351</v>
      </c>
      <c r="B69" s="50"/>
      <c r="C69" s="50" t="s">
        <v>418</v>
      </c>
      <c r="D69" s="78">
        <f>+D67+D55</f>
        <v>2374522295.2100005</v>
      </c>
      <c r="E69" s="78">
        <f>+E67+E55</f>
        <v>1165538941.8817306</v>
      </c>
      <c r="F69" s="78">
        <f>+F67+F55</f>
        <v>0</v>
      </c>
      <c r="G69" s="78">
        <f>+G67+G55</f>
        <v>316831954.1453923</v>
      </c>
      <c r="H69" s="78">
        <f>+H67+H55</f>
        <v>892151399.18287754</v>
      </c>
      <c r="I69" s="248" t="str">
        <f>"Line "&amp;A55&amp;" + Line "&amp;A67&amp;""</f>
        <v>Line 250 + Line 350</v>
      </c>
      <c r="J69" s="228"/>
    </row>
    <row r="70" spans="1:10" x14ac:dyDescent="0.3">
      <c r="A70" s="166">
        <f>+A69+1</f>
        <v>352</v>
      </c>
      <c r="B70" s="50"/>
      <c r="C70" s="50" t="s">
        <v>419</v>
      </c>
      <c r="D70" s="78"/>
      <c r="E70" s="78"/>
      <c r="F70" s="78"/>
      <c r="G70" s="80">
        <v>0.18668153702052509</v>
      </c>
      <c r="H70" s="80">
        <v>6.5693761162178274E-2</v>
      </c>
      <c r="I70" s="249" t="s">
        <v>687</v>
      </c>
      <c r="J70" s="228"/>
    </row>
    <row r="71" spans="1:10" x14ac:dyDescent="0.3">
      <c r="A71" s="166">
        <f>+A70+1</f>
        <v>353</v>
      </c>
      <c r="B71" s="50"/>
      <c r="C71" s="50" t="s">
        <v>420</v>
      </c>
      <c r="D71" s="78">
        <f>SUM(F71:H71)</f>
        <v>117755457.11550149</v>
      </c>
      <c r="E71" s="78"/>
      <c r="F71" s="81">
        <f>+F69</f>
        <v>0</v>
      </c>
      <c r="G71" s="81">
        <f>+G69*G70</f>
        <v>59146676.177078359</v>
      </c>
      <c r="H71" s="81">
        <f>+H69*H70</f>
        <v>58608780.938423127</v>
      </c>
      <c r="I71" s="248" t="str">
        <f>"Line "&amp;A69&amp;" * Line "&amp;A70&amp;" for Cols 5 and 6.  Col. 4 100% ISO."</f>
        <v>Line 351 * Line 352 for Cols 5 and 6.  Col. 4 100% ISO.</v>
      </c>
      <c r="J71" s="228"/>
    </row>
    <row r="72" spans="1:10" x14ac:dyDescent="0.3">
      <c r="A72" s="166"/>
      <c r="B72" s="50"/>
      <c r="C72" s="82" t="s">
        <v>421</v>
      </c>
      <c r="D72" s="78"/>
      <c r="E72" s="78"/>
      <c r="F72" s="78"/>
      <c r="G72" s="78"/>
      <c r="H72" s="78"/>
      <c r="I72" s="248"/>
      <c r="J72" s="228"/>
    </row>
    <row r="73" spans="1:10" x14ac:dyDescent="0.3">
      <c r="A73" s="166"/>
      <c r="B73" s="50"/>
      <c r="C73" s="50"/>
      <c r="D73" s="78"/>
      <c r="E73" s="78"/>
      <c r="F73" s="78"/>
      <c r="G73" s="78"/>
      <c r="H73" s="78"/>
      <c r="I73" s="248"/>
      <c r="J73" s="228"/>
    </row>
    <row r="74" spans="1:10" x14ac:dyDescent="0.3">
      <c r="A74" s="166">
        <f>+A71+1</f>
        <v>354</v>
      </c>
      <c r="B74" s="50"/>
      <c r="C74" s="50" t="s">
        <v>422</v>
      </c>
      <c r="D74" s="83">
        <v>2374522295</v>
      </c>
      <c r="E74" s="84" t="str">
        <f>"Must match amount on Line "&amp;A69&amp;", Col. 2"</f>
        <v>Must match amount on Line 351, Col. 2</v>
      </c>
      <c r="G74" s="78"/>
      <c r="H74" s="78"/>
      <c r="I74" s="248" t="s">
        <v>423</v>
      </c>
      <c r="J74" s="228"/>
    </row>
    <row r="75" spans="1:10" x14ac:dyDescent="0.3">
      <c r="A75" s="166"/>
      <c r="B75" s="50"/>
      <c r="C75" s="50"/>
      <c r="D75" s="85"/>
      <c r="E75" s="85"/>
      <c r="F75" s="85"/>
      <c r="G75" s="85"/>
      <c r="H75" s="85"/>
      <c r="I75" s="250"/>
      <c r="J75" s="228"/>
    </row>
    <row r="76" spans="1:10" x14ac:dyDescent="0.3">
      <c r="A76" s="174"/>
      <c r="B76" s="54" t="s">
        <v>424</v>
      </c>
      <c r="C76" s="86"/>
      <c r="D76" s="85"/>
      <c r="E76" s="228"/>
      <c r="F76" s="228"/>
      <c r="G76" s="228"/>
      <c r="H76" s="228"/>
      <c r="I76" s="228"/>
      <c r="J76" s="228"/>
    </row>
    <row r="77" spans="1:10" x14ac:dyDescent="0.3">
      <c r="A77" s="174"/>
      <c r="C77" s="203" t="s">
        <v>12</v>
      </c>
      <c r="D77" s="203" t="s">
        <v>347</v>
      </c>
      <c r="E77" s="203" t="s">
        <v>365</v>
      </c>
      <c r="F77" s="203" t="s">
        <v>13</v>
      </c>
      <c r="G77" s="203" t="s">
        <v>366</v>
      </c>
      <c r="H77" s="203" t="s">
        <v>367</v>
      </c>
      <c r="I77" s="203" t="s">
        <v>368</v>
      </c>
      <c r="J77" s="228"/>
    </row>
    <row r="78" spans="1:10" x14ac:dyDescent="0.3">
      <c r="A78" s="174"/>
      <c r="B78" s="59"/>
      <c r="C78" s="59"/>
      <c r="D78" s="59" t="s">
        <v>369</v>
      </c>
      <c r="E78" s="59" t="s">
        <v>370</v>
      </c>
      <c r="F78" s="59"/>
      <c r="G78" s="59"/>
      <c r="H78" s="59" t="s">
        <v>371</v>
      </c>
      <c r="I78" s="241" t="s">
        <v>372</v>
      </c>
      <c r="J78" s="228"/>
    </row>
    <row r="79" spans="1:10" x14ac:dyDescent="0.3">
      <c r="A79" s="174"/>
      <c r="B79" s="63" t="s">
        <v>425</v>
      </c>
      <c r="C79" s="63" t="s">
        <v>374</v>
      </c>
      <c r="D79" s="63" t="s">
        <v>375</v>
      </c>
      <c r="E79" s="63" t="s">
        <v>376</v>
      </c>
      <c r="F79" s="63" t="s">
        <v>377</v>
      </c>
      <c r="G79" s="63" t="s">
        <v>378</v>
      </c>
      <c r="H79" s="63" t="s">
        <v>379</v>
      </c>
      <c r="I79" s="63" t="s">
        <v>95</v>
      </c>
      <c r="J79" s="228"/>
    </row>
    <row r="80" spans="1:10" x14ac:dyDescent="0.3">
      <c r="A80" s="242">
        <v>400</v>
      </c>
      <c r="B80" s="87">
        <v>282</v>
      </c>
      <c r="C80" s="73" t="s">
        <v>426</v>
      </c>
      <c r="D80" s="88">
        <v>-1188810901.2409992</v>
      </c>
      <c r="E80" s="67"/>
      <c r="F80" s="67">
        <f>D80</f>
        <v>-1188810901.2409992</v>
      </c>
      <c r="G80" s="67"/>
      <c r="H80" s="67"/>
      <c r="I80" s="53" t="s">
        <v>427</v>
      </c>
      <c r="J80" s="53"/>
    </row>
    <row r="81" spans="1:10" x14ac:dyDescent="0.3">
      <c r="A81" s="242">
        <f t="shared" ref="A81:A86" si="3">A80+1</f>
        <v>401</v>
      </c>
      <c r="B81" s="87">
        <v>282</v>
      </c>
      <c r="C81" s="73" t="s">
        <v>397</v>
      </c>
      <c r="D81" s="88">
        <v>-6775581015.2690001</v>
      </c>
      <c r="E81" s="67">
        <f>D81</f>
        <v>-6775581015.2690001</v>
      </c>
      <c r="F81" s="67"/>
      <c r="G81" s="67"/>
      <c r="H81" s="67"/>
      <c r="I81" s="53" t="s">
        <v>428</v>
      </c>
      <c r="J81" s="53"/>
    </row>
    <row r="82" spans="1:10" x14ac:dyDescent="0.3">
      <c r="A82" s="242">
        <f t="shared" si="3"/>
        <v>402</v>
      </c>
      <c r="B82" s="87">
        <v>282</v>
      </c>
      <c r="C82" s="73" t="s">
        <v>429</v>
      </c>
      <c r="D82" s="88">
        <v>-81849149.929999977</v>
      </c>
      <c r="E82" s="67">
        <f>D82</f>
        <v>-81849149.929999977</v>
      </c>
      <c r="F82" s="67"/>
      <c r="G82" s="67"/>
      <c r="H82" s="67"/>
      <c r="I82" s="53" t="s">
        <v>430</v>
      </c>
      <c r="J82" s="53"/>
    </row>
    <row r="83" spans="1:10" x14ac:dyDescent="0.3">
      <c r="A83" s="242">
        <f t="shared" si="3"/>
        <v>403</v>
      </c>
      <c r="B83" s="87">
        <v>282</v>
      </c>
      <c r="C83" s="73" t="s">
        <v>431</v>
      </c>
      <c r="D83" s="88">
        <v>0</v>
      </c>
      <c r="E83" s="67">
        <f>D83</f>
        <v>0</v>
      </c>
      <c r="F83" s="67"/>
      <c r="G83" s="67"/>
      <c r="H83" s="67"/>
      <c r="I83" s="53" t="s">
        <v>432</v>
      </c>
      <c r="J83" s="53"/>
    </row>
    <row r="84" spans="1:10" x14ac:dyDescent="0.3">
      <c r="A84" s="242">
        <f t="shared" si="3"/>
        <v>404</v>
      </c>
      <c r="B84" s="87">
        <v>282</v>
      </c>
      <c r="C84" s="73" t="s">
        <v>415</v>
      </c>
      <c r="D84" s="88">
        <v>-919589.19</v>
      </c>
      <c r="E84" s="67">
        <f>D84</f>
        <v>-919589.19</v>
      </c>
      <c r="F84" s="67"/>
      <c r="G84" s="67"/>
      <c r="H84" s="67"/>
      <c r="I84" s="53" t="s">
        <v>411</v>
      </c>
      <c r="J84" s="53"/>
    </row>
    <row r="85" spans="1:10" x14ac:dyDescent="0.3">
      <c r="A85" s="242">
        <f t="shared" si="3"/>
        <v>405</v>
      </c>
      <c r="B85" s="87">
        <v>282</v>
      </c>
      <c r="C85" s="73" t="s">
        <v>416</v>
      </c>
      <c r="D85" s="88">
        <v>-4811958.4700000016</v>
      </c>
      <c r="E85" s="67">
        <f>D85</f>
        <v>-4811958.4700000016</v>
      </c>
      <c r="F85" s="67"/>
      <c r="G85" s="67"/>
      <c r="H85" s="67"/>
      <c r="I85" s="53" t="s">
        <v>413</v>
      </c>
      <c r="J85" s="53"/>
    </row>
    <row r="86" spans="1:10" x14ac:dyDescent="0.3">
      <c r="A86" s="242">
        <f t="shared" si="3"/>
        <v>406</v>
      </c>
      <c r="B86" s="64" t="s">
        <v>407</v>
      </c>
      <c r="C86" s="194"/>
      <c r="D86" s="83"/>
      <c r="E86" s="243"/>
      <c r="F86" s="243"/>
      <c r="G86" s="243"/>
      <c r="H86" s="243"/>
      <c r="I86" s="198"/>
      <c r="J86" s="198"/>
    </row>
    <row r="87" spans="1:10" x14ac:dyDescent="0.3">
      <c r="A87" s="166"/>
      <c r="B87" s="196"/>
      <c r="C87" s="174"/>
      <c r="D87" s="77"/>
      <c r="E87" s="214"/>
      <c r="F87" s="214"/>
      <c r="G87" s="214"/>
      <c r="H87" s="214"/>
      <c r="I87" s="228"/>
      <c r="J87" s="228"/>
    </row>
    <row r="88" spans="1:10" x14ac:dyDescent="0.3">
      <c r="A88" s="166"/>
      <c r="B88" s="196"/>
      <c r="C88" s="203" t="s">
        <v>12</v>
      </c>
      <c r="D88" s="203" t="s">
        <v>347</v>
      </c>
      <c r="E88" s="203" t="s">
        <v>365</v>
      </c>
      <c r="F88" s="203" t="s">
        <v>13</v>
      </c>
      <c r="G88" s="203" t="s">
        <v>366</v>
      </c>
      <c r="H88" s="203" t="s">
        <v>367</v>
      </c>
      <c r="I88" s="231" t="s">
        <v>98</v>
      </c>
      <c r="J88" s="228"/>
    </row>
    <row r="89" spans="1:10" x14ac:dyDescent="0.3">
      <c r="A89" s="166">
        <v>450</v>
      </c>
      <c r="B89" s="201"/>
      <c r="C89" s="174" t="s">
        <v>433</v>
      </c>
      <c r="D89" s="78">
        <f>SUM(D80:D86)</f>
        <v>-8051972614.0999994</v>
      </c>
      <c r="E89" s="78">
        <f>SUM(E80:E86)</f>
        <v>-6863161712.8590002</v>
      </c>
      <c r="F89" s="78">
        <f>SUM(F80:F86)</f>
        <v>-1188810901.2409992</v>
      </c>
      <c r="G89" s="78">
        <f>SUM(G80:G86)</f>
        <v>0</v>
      </c>
      <c r="H89" s="78">
        <f>SUM(H80:H86)</f>
        <v>0</v>
      </c>
      <c r="I89" s="237" t="str">
        <f>"Sum of Above Lines beginning on Line "&amp;A80&amp;""</f>
        <v>Sum of Above Lines beginning on Line 400</v>
      </c>
      <c r="J89" s="228"/>
    </row>
    <row r="90" spans="1:10" x14ac:dyDescent="0.3">
      <c r="A90" s="166">
        <f>+A89+1</f>
        <v>451</v>
      </c>
      <c r="B90" s="50"/>
      <c r="C90" s="50" t="s">
        <v>419</v>
      </c>
      <c r="D90" s="78"/>
      <c r="E90" s="78"/>
      <c r="F90" s="78"/>
      <c r="G90" s="80">
        <v>0.18668153702052509</v>
      </c>
      <c r="H90" s="80">
        <v>6.5693761162178274E-2</v>
      </c>
      <c r="I90" s="249" t="s">
        <v>687</v>
      </c>
      <c r="J90" s="228"/>
    </row>
    <row r="91" spans="1:10" x14ac:dyDescent="0.3">
      <c r="A91" s="166">
        <f>+A90+1</f>
        <v>452</v>
      </c>
      <c r="B91" s="50"/>
      <c r="C91" s="50" t="s">
        <v>434</v>
      </c>
      <c r="D91" s="78">
        <f>SUM(F91:H91)</f>
        <v>-1188810901.2409992</v>
      </c>
      <c r="E91" s="78"/>
      <c r="F91" s="81">
        <f>+F89</f>
        <v>-1188810901.2409992</v>
      </c>
      <c r="G91" s="81">
        <f>+G89*G90</f>
        <v>0</v>
      </c>
      <c r="H91" s="81">
        <f>+H89*H90</f>
        <v>0</v>
      </c>
      <c r="I91" s="248" t="str">
        <f>"Line "&amp;A89&amp;" * Line "&amp;A90&amp;" for Cols 5 and 6.  Col. 4 100% ISO."</f>
        <v>Line 450 * Line 451 for Cols 5 and 6.  Col. 4 100% ISO.</v>
      </c>
      <c r="J91" s="228"/>
    </row>
    <row r="92" spans="1:10" x14ac:dyDescent="0.3">
      <c r="A92" s="166"/>
      <c r="B92" s="50"/>
      <c r="C92" s="82" t="s">
        <v>421</v>
      </c>
      <c r="D92" s="78"/>
      <c r="E92" s="78"/>
      <c r="F92" s="78"/>
      <c r="G92" s="78"/>
      <c r="H92" s="78"/>
      <c r="I92" s="248"/>
      <c r="J92" s="228"/>
    </row>
    <row r="93" spans="1:10" x14ac:dyDescent="0.3">
      <c r="A93" s="166"/>
      <c r="B93" s="201"/>
      <c r="C93" s="174"/>
      <c r="D93" s="78"/>
      <c r="E93" s="78"/>
      <c r="F93" s="78"/>
      <c r="G93" s="78"/>
      <c r="H93" s="78"/>
      <c r="I93" s="237"/>
      <c r="J93" s="228"/>
    </row>
    <row r="94" spans="1:10" x14ac:dyDescent="0.3">
      <c r="A94" s="166">
        <f>+A91+1</f>
        <v>453</v>
      </c>
      <c r="B94" s="201"/>
      <c r="C94" s="50" t="s">
        <v>435</v>
      </c>
      <c r="D94" s="83">
        <v>-8051972613</v>
      </c>
      <c r="E94" s="84" t="str">
        <f>"Must match amount on Line "&amp;A89&amp;", Col. 2"</f>
        <v>Must match amount on Line 450, Col. 2</v>
      </c>
      <c r="F94" s="78"/>
      <c r="G94" s="78"/>
      <c r="H94" s="78"/>
      <c r="I94" s="237" t="s">
        <v>436</v>
      </c>
      <c r="J94" s="228"/>
    </row>
    <row r="95" spans="1:10" x14ac:dyDescent="0.3">
      <c r="A95" s="166"/>
      <c r="B95" s="201"/>
      <c r="C95" s="174"/>
      <c r="D95" s="78"/>
      <c r="E95" s="78"/>
      <c r="F95" s="78"/>
      <c r="G95" s="78"/>
      <c r="H95" s="78"/>
      <c r="I95" s="237"/>
      <c r="J95" s="228"/>
    </row>
    <row r="96" spans="1:10" x14ac:dyDescent="0.3">
      <c r="A96" s="166"/>
      <c r="B96" s="201"/>
      <c r="C96" s="174"/>
      <c r="D96" s="78"/>
      <c r="E96" s="78"/>
      <c r="F96" s="78"/>
      <c r="G96" s="78"/>
      <c r="H96" s="78"/>
      <c r="I96" s="250"/>
      <c r="J96" s="228"/>
    </row>
    <row r="97" spans="1:10" x14ac:dyDescent="0.3">
      <c r="A97" s="174"/>
      <c r="B97" s="54" t="s">
        <v>437</v>
      </c>
      <c r="C97" s="50"/>
      <c r="D97" s="78"/>
      <c r="E97" s="214"/>
      <c r="F97" s="214"/>
      <c r="G97" s="214"/>
      <c r="H97" s="214"/>
      <c r="I97" s="228"/>
      <c r="J97" s="228"/>
    </row>
    <row r="98" spans="1:10" x14ac:dyDescent="0.3">
      <c r="A98" s="174"/>
      <c r="B98" s="54"/>
      <c r="C98" s="203" t="s">
        <v>12</v>
      </c>
      <c r="D98" s="203" t="s">
        <v>347</v>
      </c>
      <c r="E98" s="203" t="s">
        <v>365</v>
      </c>
      <c r="F98" s="203" t="s">
        <v>13</v>
      </c>
      <c r="G98" s="203" t="s">
        <v>366</v>
      </c>
      <c r="H98" s="203" t="s">
        <v>367</v>
      </c>
      <c r="I98" s="203" t="s">
        <v>368</v>
      </c>
      <c r="J98" s="228"/>
    </row>
    <row r="99" spans="1:10" x14ac:dyDescent="0.3">
      <c r="A99" s="174"/>
      <c r="B99" s="59"/>
      <c r="C99" s="59"/>
      <c r="D99" s="89" t="s">
        <v>369</v>
      </c>
      <c r="E99" s="89" t="s">
        <v>370</v>
      </c>
      <c r="F99" s="89"/>
      <c r="G99" s="89"/>
      <c r="H99" s="89" t="s">
        <v>371</v>
      </c>
      <c r="I99" s="241" t="s">
        <v>372</v>
      </c>
      <c r="J99" s="228"/>
    </row>
    <row r="100" spans="1:10" x14ac:dyDescent="0.3">
      <c r="A100" s="174"/>
      <c r="B100" s="63" t="s">
        <v>438</v>
      </c>
      <c r="C100" s="63" t="s">
        <v>374</v>
      </c>
      <c r="D100" s="90" t="s">
        <v>375</v>
      </c>
      <c r="E100" s="90" t="s">
        <v>376</v>
      </c>
      <c r="F100" s="90" t="s">
        <v>377</v>
      </c>
      <c r="G100" s="90" t="s">
        <v>378</v>
      </c>
      <c r="H100" s="90" t="s">
        <v>379</v>
      </c>
      <c r="I100" s="63" t="s">
        <v>95</v>
      </c>
      <c r="J100" s="228"/>
    </row>
    <row r="101" spans="1:10" x14ac:dyDescent="0.3">
      <c r="A101" s="166"/>
      <c r="B101" s="50" t="s">
        <v>380</v>
      </c>
      <c r="C101" s="228"/>
      <c r="D101" s="214"/>
      <c r="E101" s="214"/>
      <c r="F101" s="214"/>
      <c r="G101" s="214"/>
      <c r="H101" s="214"/>
      <c r="I101" s="228"/>
      <c r="J101" s="228"/>
    </row>
    <row r="102" spans="1:10" x14ac:dyDescent="0.3">
      <c r="A102" s="242">
        <v>500</v>
      </c>
      <c r="B102" s="87">
        <v>283</v>
      </c>
      <c r="C102" s="73" t="s">
        <v>439</v>
      </c>
      <c r="D102" s="67">
        <v>-50569341.669999994</v>
      </c>
      <c r="E102" s="67">
        <f>+D102</f>
        <v>-50569341.669999994</v>
      </c>
      <c r="F102" s="67"/>
      <c r="G102" s="67"/>
      <c r="H102" s="67"/>
      <c r="I102" s="53" t="s">
        <v>440</v>
      </c>
      <c r="J102" s="198"/>
    </row>
    <row r="103" spans="1:10" x14ac:dyDescent="0.3">
      <c r="A103" s="242">
        <f t="shared" ref="A103:A108" si="4">A102+1</f>
        <v>501</v>
      </c>
      <c r="B103" s="87">
        <v>283</v>
      </c>
      <c r="C103" s="73" t="s">
        <v>439</v>
      </c>
      <c r="D103" s="67">
        <v>-8664107.9600000009</v>
      </c>
      <c r="E103" s="67"/>
      <c r="F103" s="67">
        <f>+D103</f>
        <v>-8664107.9600000009</v>
      </c>
      <c r="G103" s="67"/>
      <c r="H103" s="67"/>
      <c r="I103" s="53" t="s">
        <v>441</v>
      </c>
      <c r="J103" s="198"/>
    </row>
    <row r="104" spans="1:10" x14ac:dyDescent="0.3">
      <c r="A104" s="242">
        <f t="shared" si="4"/>
        <v>502</v>
      </c>
      <c r="B104" s="87">
        <v>283</v>
      </c>
      <c r="C104" s="73" t="s">
        <v>442</v>
      </c>
      <c r="D104" s="67">
        <v>-33097557.539999999</v>
      </c>
      <c r="E104" s="67">
        <f>D104*$G$178</f>
        <v>-29689.711512403468</v>
      </c>
      <c r="F104" s="67"/>
      <c r="G104" s="67">
        <f>D104-E104</f>
        <v>-33067867.828487597</v>
      </c>
      <c r="H104" s="67"/>
      <c r="I104" s="53" t="s">
        <v>382</v>
      </c>
      <c r="J104" s="198"/>
    </row>
    <row r="105" spans="1:10" x14ac:dyDescent="0.3">
      <c r="A105" s="242">
        <f t="shared" si="4"/>
        <v>503</v>
      </c>
      <c r="B105" s="87">
        <v>283</v>
      </c>
      <c r="C105" s="73" t="s">
        <v>443</v>
      </c>
      <c r="D105" s="67">
        <v>-1593695.4000000001</v>
      </c>
      <c r="E105" s="67">
        <f>D105*$G$170</f>
        <v>-5581.9626106956403</v>
      </c>
      <c r="F105" s="67"/>
      <c r="G105" s="67"/>
      <c r="H105" s="67">
        <f>D105-E105</f>
        <v>-1588113.4373893044</v>
      </c>
      <c r="I105" s="53" t="s">
        <v>384</v>
      </c>
      <c r="J105" s="198"/>
    </row>
    <row r="106" spans="1:10" x14ac:dyDescent="0.3">
      <c r="A106" s="242">
        <f t="shared" si="4"/>
        <v>504</v>
      </c>
      <c r="B106" s="87">
        <v>283</v>
      </c>
      <c r="C106" s="73" t="s">
        <v>394</v>
      </c>
      <c r="D106" s="67">
        <v>-567470431.47000003</v>
      </c>
      <c r="E106" s="67">
        <f>D106</f>
        <v>-567470431.47000003</v>
      </c>
      <c r="F106" s="67"/>
      <c r="G106" s="67"/>
      <c r="H106" s="67"/>
      <c r="I106" s="53" t="s">
        <v>395</v>
      </c>
      <c r="J106" s="198"/>
    </row>
    <row r="107" spans="1:10" x14ac:dyDescent="0.3">
      <c r="A107" s="242">
        <f t="shared" si="4"/>
        <v>505</v>
      </c>
      <c r="B107" s="87">
        <v>283</v>
      </c>
      <c r="C107" s="73" t="s">
        <v>392</v>
      </c>
      <c r="D107" s="67">
        <v>-449253649.64999998</v>
      </c>
      <c r="E107" s="67">
        <f>D107</f>
        <v>-449253649.64999998</v>
      </c>
      <c r="F107" s="67"/>
      <c r="G107" s="67"/>
      <c r="H107" s="67"/>
      <c r="I107" s="53" t="s">
        <v>393</v>
      </c>
      <c r="J107" s="198"/>
    </row>
    <row r="108" spans="1:10" x14ac:dyDescent="0.3">
      <c r="A108" s="242">
        <f t="shared" si="4"/>
        <v>506</v>
      </c>
      <c r="B108" s="87">
        <v>283</v>
      </c>
      <c r="C108" s="73" t="s">
        <v>399</v>
      </c>
      <c r="D108" s="67">
        <v>57886962.789999999</v>
      </c>
      <c r="E108" s="67">
        <f>D108</f>
        <v>57886962.789999999</v>
      </c>
      <c r="F108" s="67"/>
      <c r="G108" s="67"/>
      <c r="H108" s="67"/>
      <c r="I108" s="53" t="s">
        <v>400</v>
      </c>
      <c r="J108" s="198"/>
    </row>
    <row r="109" spans="1:10" x14ac:dyDescent="0.3">
      <c r="A109" s="242">
        <v>507</v>
      </c>
      <c r="B109" s="87">
        <v>283</v>
      </c>
      <c r="C109" s="73" t="s">
        <v>401</v>
      </c>
      <c r="D109" s="67">
        <v>252487819.91999999</v>
      </c>
      <c r="E109" s="67">
        <f>D109</f>
        <v>252487819.91999999</v>
      </c>
      <c r="F109" s="67"/>
      <c r="G109" s="67"/>
      <c r="H109" s="67"/>
      <c r="I109" s="53" t="s">
        <v>444</v>
      </c>
      <c r="J109" s="198"/>
    </row>
    <row r="110" spans="1:10" x14ac:dyDescent="0.3">
      <c r="A110" s="166"/>
      <c r="B110" s="251"/>
      <c r="C110" s="174"/>
      <c r="D110" s="182"/>
      <c r="E110" s="214"/>
      <c r="F110" s="214"/>
      <c r="G110" s="214"/>
      <c r="H110" s="214"/>
      <c r="I110" s="228"/>
      <c r="J110" s="228"/>
    </row>
    <row r="111" spans="1:10" x14ac:dyDescent="0.3">
      <c r="A111" s="166"/>
      <c r="B111" s="54" t="s">
        <v>445</v>
      </c>
      <c r="C111" s="50"/>
      <c r="D111" s="78"/>
      <c r="E111" s="214"/>
      <c r="F111" s="214"/>
      <c r="G111" s="214"/>
      <c r="H111" s="214"/>
      <c r="I111" s="228"/>
      <c r="J111" s="228"/>
    </row>
    <row r="112" spans="1:10" x14ac:dyDescent="0.3">
      <c r="A112" s="166"/>
      <c r="B112" s="54"/>
      <c r="C112" s="203" t="s">
        <v>12</v>
      </c>
      <c r="D112" s="203" t="s">
        <v>347</v>
      </c>
      <c r="E112" s="203" t="s">
        <v>365</v>
      </c>
      <c r="F112" s="203" t="s">
        <v>13</v>
      </c>
      <c r="G112" s="203" t="s">
        <v>366</v>
      </c>
      <c r="H112" s="203" t="s">
        <v>367</v>
      </c>
      <c r="I112" s="203" t="s">
        <v>368</v>
      </c>
      <c r="J112" s="228"/>
    </row>
    <row r="113" spans="1:10" x14ac:dyDescent="0.3">
      <c r="A113" s="166"/>
      <c r="B113" s="59"/>
      <c r="C113" s="59"/>
      <c r="D113" s="89" t="s">
        <v>369</v>
      </c>
      <c r="E113" s="89" t="s">
        <v>370</v>
      </c>
      <c r="F113" s="89"/>
      <c r="G113" s="89"/>
      <c r="H113" s="89" t="s">
        <v>371</v>
      </c>
      <c r="I113" s="241" t="s">
        <v>372</v>
      </c>
      <c r="J113" s="228"/>
    </row>
    <row r="114" spans="1:10" x14ac:dyDescent="0.3">
      <c r="A114" s="166"/>
      <c r="B114" s="63" t="s">
        <v>438</v>
      </c>
      <c r="C114" s="63" t="s">
        <v>374</v>
      </c>
      <c r="D114" s="90" t="s">
        <v>375</v>
      </c>
      <c r="E114" s="90" t="s">
        <v>376</v>
      </c>
      <c r="F114" s="90" t="s">
        <v>377</v>
      </c>
      <c r="G114" s="90" t="s">
        <v>378</v>
      </c>
      <c r="H114" s="90" t="s">
        <v>379</v>
      </c>
      <c r="I114" s="63" t="s">
        <v>95</v>
      </c>
      <c r="J114" s="228"/>
    </row>
    <row r="115" spans="1:10" x14ac:dyDescent="0.3">
      <c r="A115" s="166"/>
      <c r="B115" s="50" t="s">
        <v>446</v>
      </c>
      <c r="C115" s="59"/>
      <c r="D115" s="89"/>
      <c r="E115" s="89"/>
      <c r="F115" s="89"/>
      <c r="G115" s="89"/>
      <c r="H115" s="89"/>
      <c r="I115" s="59"/>
      <c r="J115" s="228"/>
    </row>
    <row r="116" spans="1:10" x14ac:dyDescent="0.3">
      <c r="A116" s="242">
        <v>507</v>
      </c>
      <c r="B116" s="64" t="s">
        <v>407</v>
      </c>
      <c r="C116" s="194"/>
      <c r="D116" s="226"/>
      <c r="E116" s="243"/>
      <c r="F116" s="243"/>
      <c r="G116" s="243"/>
      <c r="H116" s="243"/>
      <c r="I116" s="198"/>
      <c r="J116" s="198"/>
    </row>
    <row r="117" spans="1:10" x14ac:dyDescent="0.3">
      <c r="A117" s="166"/>
      <c r="B117" s="252"/>
      <c r="C117" s="174"/>
      <c r="D117" s="182"/>
      <c r="E117" s="214"/>
      <c r="F117" s="214"/>
      <c r="G117" s="214"/>
      <c r="H117" s="214"/>
      <c r="I117" s="228"/>
      <c r="J117" s="228"/>
    </row>
    <row r="118" spans="1:10" x14ac:dyDescent="0.3">
      <c r="A118" s="166">
        <v>650</v>
      </c>
      <c r="B118" s="174"/>
      <c r="C118" s="174" t="s">
        <v>447</v>
      </c>
      <c r="D118" s="182">
        <f>SUM(D102:D109)+SUM(D116:D116)</f>
        <v>-800274000.98000014</v>
      </c>
      <c r="E118" s="182">
        <f>SUM(E102:E109)+SUM(E116:E116)</f>
        <v>-756953911.75412321</v>
      </c>
      <c r="F118" s="182">
        <f>SUM(F102:F109)+SUM(F116:F116)</f>
        <v>-8664107.9600000009</v>
      </c>
      <c r="G118" s="182">
        <f>SUM(G102:G109)+SUM(G116:G116)</f>
        <v>-33067867.828487597</v>
      </c>
      <c r="H118" s="182">
        <f>SUM(H102:H109)+SUM(H116:H116)</f>
        <v>-1588113.4373893044</v>
      </c>
      <c r="I118" s="237" t="str">
        <f>"Sum of Above Lines beginning on Line "&amp;A102&amp;""</f>
        <v>Sum of Above Lines beginning on Line 500</v>
      </c>
      <c r="J118" s="228"/>
    </row>
    <row r="119" spans="1:10" x14ac:dyDescent="0.3">
      <c r="A119" s="166"/>
      <c r="B119" s="174"/>
      <c r="C119" s="174"/>
      <c r="D119" s="182"/>
      <c r="E119" s="182"/>
      <c r="F119" s="182"/>
      <c r="G119" s="182"/>
      <c r="H119" s="182"/>
      <c r="I119" s="250"/>
      <c r="J119" s="228"/>
    </row>
    <row r="120" spans="1:10" x14ac:dyDescent="0.3">
      <c r="A120" s="166"/>
      <c r="B120" s="50" t="s">
        <v>448</v>
      </c>
      <c r="C120" s="174"/>
      <c r="D120" s="182"/>
      <c r="E120" s="214"/>
      <c r="F120" s="214"/>
      <c r="G120" s="214"/>
      <c r="H120" s="214"/>
      <c r="I120" s="241" t="s">
        <v>372</v>
      </c>
      <c r="J120" s="228"/>
    </row>
    <row r="121" spans="1:10" x14ac:dyDescent="0.3">
      <c r="A121" s="166"/>
      <c r="C121" s="203" t="s">
        <v>12</v>
      </c>
      <c r="D121" s="203" t="s">
        <v>347</v>
      </c>
      <c r="E121" s="203" t="s">
        <v>365</v>
      </c>
      <c r="F121" s="203" t="s">
        <v>13</v>
      </c>
      <c r="G121" s="203" t="s">
        <v>366</v>
      </c>
      <c r="H121" s="203" t="s">
        <v>367</v>
      </c>
      <c r="I121" s="203" t="s">
        <v>368</v>
      </c>
      <c r="J121" s="228"/>
    </row>
    <row r="122" spans="1:10" x14ac:dyDescent="0.3">
      <c r="A122" s="242">
        <v>700</v>
      </c>
      <c r="B122" s="87">
        <v>283</v>
      </c>
      <c r="C122" s="73" t="s">
        <v>410</v>
      </c>
      <c r="D122" s="57">
        <v>-17511.839999999997</v>
      </c>
      <c r="E122" s="67"/>
      <c r="F122" s="67"/>
      <c r="G122" s="67"/>
      <c r="H122" s="67"/>
      <c r="I122" s="53" t="s">
        <v>411</v>
      </c>
      <c r="J122" s="53"/>
    </row>
    <row r="123" spans="1:10" x14ac:dyDescent="0.3">
      <c r="A123" s="242">
        <f>A122+1</f>
        <v>701</v>
      </c>
      <c r="B123" s="87">
        <v>283</v>
      </c>
      <c r="C123" s="73" t="s">
        <v>412</v>
      </c>
      <c r="D123" s="57">
        <v>-654218.14999999991</v>
      </c>
      <c r="E123" s="67"/>
      <c r="F123" s="67"/>
      <c r="G123" s="67"/>
      <c r="H123" s="67"/>
      <c r="I123" s="53" t="s">
        <v>413</v>
      </c>
      <c r="J123" s="53"/>
    </row>
    <row r="124" spans="1:10" x14ac:dyDescent="0.3">
      <c r="A124" s="242">
        <f>A123+1</f>
        <v>702</v>
      </c>
      <c r="B124" s="253" t="s">
        <v>407</v>
      </c>
      <c r="C124" s="73"/>
      <c r="D124" s="57"/>
      <c r="E124" s="67"/>
      <c r="F124" s="67"/>
      <c r="G124" s="67"/>
      <c r="H124" s="67"/>
      <c r="I124" s="53"/>
      <c r="J124" s="53"/>
    </row>
    <row r="125" spans="1:10" x14ac:dyDescent="0.3">
      <c r="A125" s="166"/>
      <c r="B125" s="251"/>
      <c r="C125" s="174"/>
      <c r="D125" s="182"/>
      <c r="E125" s="214"/>
      <c r="F125" s="214"/>
      <c r="G125" s="214"/>
      <c r="H125" s="214"/>
      <c r="I125" s="228"/>
      <c r="J125" s="228"/>
    </row>
    <row r="126" spans="1:10" x14ac:dyDescent="0.3">
      <c r="A126" s="166"/>
      <c r="B126" s="174"/>
      <c r="C126" s="203" t="s">
        <v>12</v>
      </c>
      <c r="D126" s="203" t="s">
        <v>347</v>
      </c>
      <c r="E126" s="203" t="s">
        <v>365</v>
      </c>
      <c r="F126" s="203" t="s">
        <v>13</v>
      </c>
      <c r="G126" s="203" t="s">
        <v>366</v>
      </c>
      <c r="H126" s="203" t="s">
        <v>367</v>
      </c>
      <c r="I126" s="231" t="s">
        <v>98</v>
      </c>
      <c r="J126" s="228"/>
    </row>
    <row r="127" spans="1:10" x14ac:dyDescent="0.3">
      <c r="A127" s="166">
        <v>800</v>
      </c>
      <c r="B127" s="228"/>
      <c r="C127" s="174" t="s">
        <v>449</v>
      </c>
      <c r="D127" s="182">
        <f>SUM(D122:D124)</f>
        <v>-671729.98999999987</v>
      </c>
      <c r="E127" s="182">
        <f>SUM(E122:E124)</f>
        <v>0</v>
      </c>
      <c r="F127" s="182">
        <f>SUM(F124:F124)</f>
        <v>0</v>
      </c>
      <c r="G127" s="182">
        <f>SUM(G124:G124)</f>
        <v>0</v>
      </c>
      <c r="H127" s="182">
        <f>SUM(H124:H124)</f>
        <v>0</v>
      </c>
      <c r="I127" s="237" t="str">
        <f>"Sum of Above Lines beginning on Line "&amp;A122&amp;""</f>
        <v>Sum of Above Lines beginning on Line 700</v>
      </c>
      <c r="J127" s="228"/>
    </row>
    <row r="128" spans="1:10" x14ac:dyDescent="0.3">
      <c r="A128" s="166"/>
      <c r="B128" s="228"/>
      <c r="C128" s="174"/>
      <c r="D128" s="182"/>
      <c r="E128" s="182"/>
      <c r="F128" s="182"/>
      <c r="G128" s="182"/>
      <c r="H128" s="182"/>
      <c r="I128" s="237"/>
      <c r="J128" s="228"/>
    </row>
    <row r="129" spans="1:10" x14ac:dyDescent="0.3">
      <c r="A129" s="166">
        <f>A127+1</f>
        <v>801</v>
      </c>
      <c r="B129" s="228"/>
      <c r="C129" s="174" t="s">
        <v>450</v>
      </c>
      <c r="D129" s="182">
        <f>D118+D127</f>
        <v>-800945730.97000015</v>
      </c>
      <c r="E129" s="182">
        <f>E118+E127</f>
        <v>-756953911.75412321</v>
      </c>
      <c r="F129" s="182">
        <f>F118+F127</f>
        <v>-8664107.9600000009</v>
      </c>
      <c r="G129" s="182">
        <f>G118+G127</f>
        <v>-33067867.828487597</v>
      </c>
      <c r="H129" s="182">
        <f>H118+H127</f>
        <v>-1588113.4373893044</v>
      </c>
      <c r="I129" s="248" t="str">
        <f>"Line "&amp;A118&amp;" + Line "&amp;A127&amp;""</f>
        <v>Line 650 + Line 800</v>
      </c>
      <c r="J129" s="228"/>
    </row>
    <row r="130" spans="1:10" x14ac:dyDescent="0.3">
      <c r="A130" s="166">
        <f>+A129+1</f>
        <v>802</v>
      </c>
      <c r="B130" s="50"/>
      <c r="C130" s="50" t="s">
        <v>419</v>
      </c>
      <c r="D130" s="91"/>
      <c r="E130" s="91"/>
      <c r="F130" s="78"/>
      <c r="G130" s="80">
        <v>0.18668153702052509</v>
      </c>
      <c r="H130" s="80">
        <v>6.5693761162178274E-2</v>
      </c>
      <c r="I130" s="249" t="s">
        <v>687</v>
      </c>
      <c r="J130" s="228"/>
    </row>
    <row r="131" spans="1:10" x14ac:dyDescent="0.3">
      <c r="A131" s="166">
        <f>+A130+1</f>
        <v>803</v>
      </c>
      <c r="B131" s="50"/>
      <c r="C131" s="50" t="s">
        <v>451</v>
      </c>
      <c r="D131" s="77">
        <f>SUM(F131:H131)</f>
        <v>-14941597.497067939</v>
      </c>
      <c r="E131" s="78"/>
      <c r="F131" s="81">
        <f>+F129</f>
        <v>-8664107.9600000009</v>
      </c>
      <c r="G131" s="81">
        <f>+G129*G130</f>
        <v>-6173160.3922136379</v>
      </c>
      <c r="H131" s="92">
        <f>+H129*H130</f>
        <v>-104329.14485429892</v>
      </c>
      <c r="I131" s="248" t="str">
        <f>"Line "&amp;A129&amp;" * Line "&amp;A130&amp;" for Cols 5 and 6.  Col. 4 100% ISO."</f>
        <v>Line 801 * Line 802 for Cols 5 and 6.  Col. 4 100% ISO.</v>
      </c>
      <c r="J131" s="228"/>
    </row>
    <row r="132" spans="1:10" x14ac:dyDescent="0.3">
      <c r="A132" s="166"/>
      <c r="B132" s="228"/>
      <c r="C132" s="82" t="s">
        <v>421</v>
      </c>
      <c r="D132" s="182"/>
      <c r="E132" s="182"/>
      <c r="F132" s="182"/>
      <c r="G132" s="182"/>
      <c r="H132" s="182"/>
      <c r="I132" s="248"/>
      <c r="J132" s="214"/>
    </row>
    <row r="133" spans="1:10" x14ac:dyDescent="0.3">
      <c r="A133" s="166"/>
      <c r="B133" s="228"/>
      <c r="C133" s="174"/>
      <c r="D133" s="182"/>
      <c r="E133" s="182"/>
      <c r="F133" s="182"/>
      <c r="G133" s="182"/>
      <c r="H133" s="182"/>
      <c r="I133" s="248"/>
      <c r="J133" s="228"/>
    </row>
    <row r="134" spans="1:10" x14ac:dyDescent="0.3">
      <c r="A134" s="166">
        <f>A131+1</f>
        <v>804</v>
      </c>
      <c r="C134" s="50" t="s">
        <v>452</v>
      </c>
      <c r="D134" s="83">
        <v>-800945731</v>
      </c>
      <c r="E134" s="84" t="str">
        <f>"Must match amount on Line "&amp;A129&amp;", Col. 2"</f>
        <v>Must match amount on Line 801, Col. 2</v>
      </c>
      <c r="F134" s="78"/>
      <c r="G134" s="78"/>
      <c r="H134" s="78"/>
      <c r="I134" s="237" t="s">
        <v>453</v>
      </c>
    </row>
    <row r="135" spans="1:10" x14ac:dyDescent="0.3">
      <c r="A135" s="166"/>
      <c r="C135" s="50"/>
      <c r="D135" s="84"/>
      <c r="E135" s="84"/>
      <c r="F135" s="78"/>
      <c r="G135" s="78"/>
      <c r="H135" s="78"/>
      <c r="I135" s="237"/>
    </row>
    <row r="136" spans="1:10" x14ac:dyDescent="0.3">
      <c r="A136" s="166"/>
      <c r="B136" s="163" t="s">
        <v>454</v>
      </c>
      <c r="C136" s="50"/>
      <c r="D136" s="84"/>
      <c r="E136" s="84"/>
      <c r="F136" s="78"/>
      <c r="G136" s="78"/>
      <c r="H136" s="78"/>
      <c r="I136" s="176"/>
      <c r="J136" s="254"/>
    </row>
    <row r="137" spans="1:10" x14ac:dyDescent="0.3">
      <c r="A137" s="166"/>
      <c r="B137" s="254"/>
      <c r="C137" s="50"/>
      <c r="D137" s="84"/>
      <c r="E137" s="84"/>
      <c r="F137" s="78"/>
      <c r="G137" s="78"/>
      <c r="H137" s="78"/>
      <c r="I137" s="176"/>
      <c r="J137" s="254"/>
    </row>
    <row r="138" spans="1:10" x14ac:dyDescent="0.3">
      <c r="A138" s="166"/>
      <c r="B138" s="254"/>
      <c r="C138" s="203" t="s">
        <v>12</v>
      </c>
      <c r="D138" s="203" t="s">
        <v>347</v>
      </c>
      <c r="E138" s="203" t="s">
        <v>365</v>
      </c>
      <c r="F138" s="203" t="s">
        <v>13</v>
      </c>
      <c r="G138" s="203" t="s">
        <v>366</v>
      </c>
      <c r="H138" s="203" t="s">
        <v>367</v>
      </c>
      <c r="I138" s="203" t="s">
        <v>368</v>
      </c>
      <c r="J138" s="203" t="s">
        <v>455</v>
      </c>
    </row>
    <row r="139" spans="1:10" x14ac:dyDescent="0.3">
      <c r="A139" s="166"/>
      <c r="B139" s="254"/>
      <c r="C139" s="50"/>
      <c r="D139" s="93" t="s">
        <v>456</v>
      </c>
      <c r="E139" s="93" t="s">
        <v>54</v>
      </c>
      <c r="F139" s="78"/>
      <c r="G139" s="78"/>
      <c r="H139" s="93" t="s">
        <v>457</v>
      </c>
      <c r="I139" s="255" t="s">
        <v>458</v>
      </c>
      <c r="J139" s="93" t="s">
        <v>459</v>
      </c>
    </row>
    <row r="140" spans="1:10" x14ac:dyDescent="0.3">
      <c r="A140" s="166"/>
      <c r="B140" s="254"/>
      <c r="C140" s="50"/>
      <c r="D140" s="84"/>
      <c r="E140" s="84"/>
      <c r="F140" s="78"/>
      <c r="G140" s="78"/>
      <c r="H140" s="78"/>
      <c r="I140" s="176"/>
      <c r="J140" s="254"/>
    </row>
    <row r="141" spans="1:10" x14ac:dyDescent="0.3">
      <c r="A141" s="166"/>
      <c r="B141" s="254"/>
      <c r="C141" s="94"/>
      <c r="D141" s="93" t="s">
        <v>460</v>
      </c>
      <c r="E141" s="93" t="s">
        <v>461</v>
      </c>
      <c r="F141" s="93"/>
      <c r="G141" s="93" t="s">
        <v>462</v>
      </c>
      <c r="H141" s="93" t="s">
        <v>463</v>
      </c>
      <c r="I141" s="166" t="s">
        <v>464</v>
      </c>
      <c r="J141" s="166" t="s">
        <v>465</v>
      </c>
    </row>
    <row r="142" spans="1:10" x14ac:dyDescent="0.3">
      <c r="A142" s="166"/>
      <c r="B142" s="254"/>
      <c r="C142" s="94" t="s">
        <v>466</v>
      </c>
      <c r="D142" s="95" t="s">
        <v>467</v>
      </c>
      <c r="E142" s="95" t="s">
        <v>468</v>
      </c>
      <c r="F142" s="95" t="s">
        <v>469</v>
      </c>
      <c r="G142" s="95" t="s">
        <v>470</v>
      </c>
      <c r="H142" s="95" t="s">
        <v>471</v>
      </c>
      <c r="I142" s="171" t="s">
        <v>472</v>
      </c>
      <c r="J142" s="171" t="s">
        <v>473</v>
      </c>
    </row>
    <row r="143" spans="1:10" x14ac:dyDescent="0.3">
      <c r="A143" s="166">
        <f>A134+1</f>
        <v>805</v>
      </c>
      <c r="B143" s="254"/>
      <c r="C143" s="256" t="s">
        <v>474</v>
      </c>
      <c r="D143" s="96"/>
      <c r="E143" s="257">
        <f>D19</f>
        <v>-1642932131</v>
      </c>
      <c r="F143" s="78"/>
      <c r="G143" s="97">
        <f>SUM(F144:F155)</f>
        <v>365</v>
      </c>
      <c r="H143" s="98">
        <f xml:space="preserve"> 1</f>
        <v>1</v>
      </c>
      <c r="I143" s="258"/>
      <c r="J143" s="182">
        <f>+E143</f>
        <v>-1642932131</v>
      </c>
    </row>
    <row r="144" spans="1:10" x14ac:dyDescent="0.3">
      <c r="A144" s="166">
        <f>A143+1</f>
        <v>806</v>
      </c>
      <c r="B144" s="254"/>
      <c r="C144" s="256" t="s">
        <v>30</v>
      </c>
      <c r="D144" s="259">
        <f>($D$14-$D$19)/12</f>
        <v>1798717.0314528544</v>
      </c>
      <c r="E144" s="257">
        <f>E143+D144</f>
        <v>-1641133413.9685471</v>
      </c>
      <c r="F144" s="260">
        <v>31</v>
      </c>
      <c r="G144" s="261">
        <f>+G143-F144</f>
        <v>334</v>
      </c>
      <c r="H144" s="98">
        <f>G144/G143</f>
        <v>0.91506849315068495</v>
      </c>
      <c r="I144" s="258">
        <f t="shared" ref="I144:I155" si="5">D144*H144</f>
        <v>1645949.2835760366</v>
      </c>
      <c r="J144" s="214">
        <f>J143+I144</f>
        <v>-1641286181.716424</v>
      </c>
    </row>
    <row r="145" spans="1:10" x14ac:dyDescent="0.3">
      <c r="A145" s="166">
        <f t="shared" ref="A145:A156" si="6">A144+1</f>
        <v>807</v>
      </c>
      <c r="B145" s="254"/>
      <c r="C145" s="256" t="s">
        <v>32</v>
      </c>
      <c r="D145" s="259">
        <f t="shared" ref="D145:D155" si="7">($D$14-$D$19)/12</f>
        <v>1798717.0314528544</v>
      </c>
      <c r="E145" s="257">
        <f t="shared" ref="E145:E155" si="8">E144+D145</f>
        <v>-1639334696.9370942</v>
      </c>
      <c r="F145" s="260">
        <v>28</v>
      </c>
      <c r="G145" s="261">
        <f t="shared" ref="G145:G155" si="9">+G144-F145</f>
        <v>306</v>
      </c>
      <c r="H145" s="98">
        <f>G145/G143</f>
        <v>0.83835616438356164</v>
      </c>
      <c r="I145" s="258">
        <f t="shared" si="5"/>
        <v>1507965.5113002013</v>
      </c>
      <c r="J145" s="214">
        <f t="shared" ref="J145:J155" si="10">J144+I145</f>
        <v>-1639778216.2051239</v>
      </c>
    </row>
    <row r="146" spans="1:10" x14ac:dyDescent="0.3">
      <c r="A146" s="166">
        <f t="shared" si="6"/>
        <v>808</v>
      </c>
      <c r="B146" s="254"/>
      <c r="C146" s="256" t="s">
        <v>34</v>
      </c>
      <c r="D146" s="259">
        <f t="shared" si="7"/>
        <v>1798717.0314528544</v>
      </c>
      <c r="E146" s="257">
        <f t="shared" si="8"/>
        <v>-1637535979.9056413</v>
      </c>
      <c r="F146" s="260">
        <v>31</v>
      </c>
      <c r="G146" s="261">
        <f t="shared" si="9"/>
        <v>275</v>
      </c>
      <c r="H146" s="98">
        <f>G146/G143</f>
        <v>0.75342465753424659</v>
      </c>
      <c r="I146" s="258">
        <f t="shared" si="5"/>
        <v>1355197.7634233835</v>
      </c>
      <c r="J146" s="214">
        <f t="shared" si="10"/>
        <v>-1638423018.4417005</v>
      </c>
    </row>
    <row r="147" spans="1:10" x14ac:dyDescent="0.3">
      <c r="A147" s="166">
        <f t="shared" si="6"/>
        <v>809</v>
      </c>
      <c r="B147" s="254"/>
      <c r="C147" s="256" t="s">
        <v>36</v>
      </c>
      <c r="D147" s="259">
        <f t="shared" si="7"/>
        <v>1798717.0314528544</v>
      </c>
      <c r="E147" s="257">
        <f t="shared" si="8"/>
        <v>-1635737262.8741884</v>
      </c>
      <c r="F147" s="260">
        <v>30</v>
      </c>
      <c r="G147" s="261">
        <f t="shared" si="9"/>
        <v>245</v>
      </c>
      <c r="H147" s="98">
        <f>G147/G143</f>
        <v>0.67123287671232879</v>
      </c>
      <c r="I147" s="258">
        <f t="shared" si="5"/>
        <v>1207358.0074135598</v>
      </c>
      <c r="J147" s="214">
        <f t="shared" si="10"/>
        <v>-1637215660.4342868</v>
      </c>
    </row>
    <row r="148" spans="1:10" x14ac:dyDescent="0.3">
      <c r="A148" s="166">
        <f t="shared" si="6"/>
        <v>810</v>
      </c>
      <c r="B148" s="254"/>
      <c r="C148" s="256" t="s">
        <v>37</v>
      </c>
      <c r="D148" s="259">
        <f t="shared" si="7"/>
        <v>1798717.0314528544</v>
      </c>
      <c r="E148" s="257">
        <f t="shared" si="8"/>
        <v>-1633938545.8427355</v>
      </c>
      <c r="F148" s="260">
        <v>31</v>
      </c>
      <c r="G148" s="261">
        <f t="shared" si="9"/>
        <v>214</v>
      </c>
      <c r="H148" s="98">
        <f>G148/G143</f>
        <v>0.58630136986301373</v>
      </c>
      <c r="I148" s="258">
        <f t="shared" si="5"/>
        <v>1054590.259536742</v>
      </c>
      <c r="J148" s="214">
        <f t="shared" si="10"/>
        <v>-1636161070.1747501</v>
      </c>
    </row>
    <row r="149" spans="1:10" x14ac:dyDescent="0.3">
      <c r="A149" s="166">
        <f t="shared" si="6"/>
        <v>811</v>
      </c>
      <c r="B149" s="254"/>
      <c r="C149" s="256" t="s">
        <v>475</v>
      </c>
      <c r="D149" s="259">
        <f t="shared" si="7"/>
        <v>1798717.0314528544</v>
      </c>
      <c r="E149" s="257">
        <f t="shared" si="8"/>
        <v>-1632139828.8112826</v>
      </c>
      <c r="F149" s="260">
        <v>30</v>
      </c>
      <c r="G149" s="261">
        <f t="shared" si="9"/>
        <v>184</v>
      </c>
      <c r="H149" s="98">
        <f>G149/G143</f>
        <v>0.50410958904109593</v>
      </c>
      <c r="I149" s="258">
        <f t="shared" si="5"/>
        <v>906750.50352691847</v>
      </c>
      <c r="J149" s="214">
        <f t="shared" si="10"/>
        <v>-1635254319.6712232</v>
      </c>
    </row>
    <row r="150" spans="1:10" x14ac:dyDescent="0.3">
      <c r="A150" s="166">
        <f t="shared" si="6"/>
        <v>812</v>
      </c>
      <c r="B150" s="254"/>
      <c r="C150" s="256" t="s">
        <v>39</v>
      </c>
      <c r="D150" s="259">
        <f t="shared" si="7"/>
        <v>1798717.0314528544</v>
      </c>
      <c r="E150" s="257">
        <f t="shared" si="8"/>
        <v>-1630341111.7798297</v>
      </c>
      <c r="F150" s="260">
        <v>31</v>
      </c>
      <c r="G150" s="261">
        <f t="shared" si="9"/>
        <v>153</v>
      </c>
      <c r="H150" s="98">
        <f>G150/G143</f>
        <v>0.41917808219178082</v>
      </c>
      <c r="I150" s="258">
        <f t="shared" si="5"/>
        <v>753982.75565010065</v>
      </c>
      <c r="J150" s="214">
        <f t="shared" si="10"/>
        <v>-1634500336.9155731</v>
      </c>
    </row>
    <row r="151" spans="1:10" x14ac:dyDescent="0.3">
      <c r="A151" s="166">
        <f t="shared" si="6"/>
        <v>813</v>
      </c>
      <c r="B151" s="254"/>
      <c r="C151" s="256" t="s">
        <v>40</v>
      </c>
      <c r="D151" s="259">
        <f t="shared" si="7"/>
        <v>1798717.0314528544</v>
      </c>
      <c r="E151" s="257">
        <f t="shared" si="8"/>
        <v>-1628542394.7483768</v>
      </c>
      <c r="F151" s="260">
        <v>31</v>
      </c>
      <c r="G151" s="261">
        <f t="shared" si="9"/>
        <v>122</v>
      </c>
      <c r="H151" s="98">
        <f>G151/G143</f>
        <v>0.33424657534246577</v>
      </c>
      <c r="I151" s="258">
        <f t="shared" si="5"/>
        <v>601215.00777328282</v>
      </c>
      <c r="J151" s="214">
        <f t="shared" si="10"/>
        <v>-1633899121.9077997</v>
      </c>
    </row>
    <row r="152" spans="1:10" x14ac:dyDescent="0.3">
      <c r="A152" s="166">
        <f t="shared" si="6"/>
        <v>814</v>
      </c>
      <c r="B152" s="254"/>
      <c r="C152" s="256" t="s">
        <v>41</v>
      </c>
      <c r="D152" s="259">
        <f t="shared" si="7"/>
        <v>1798717.0314528544</v>
      </c>
      <c r="E152" s="257">
        <f t="shared" si="8"/>
        <v>-1626743677.716924</v>
      </c>
      <c r="F152" s="260">
        <v>30</v>
      </c>
      <c r="G152" s="261">
        <f t="shared" si="9"/>
        <v>92</v>
      </c>
      <c r="H152" s="98">
        <f>G152/G143</f>
        <v>0.25205479452054796</v>
      </c>
      <c r="I152" s="258">
        <f t="shared" si="5"/>
        <v>453375.25176345924</v>
      </c>
      <c r="J152" s="214">
        <f t="shared" si="10"/>
        <v>-1633445746.6560364</v>
      </c>
    </row>
    <row r="153" spans="1:10" x14ac:dyDescent="0.3">
      <c r="A153" s="166">
        <f t="shared" si="6"/>
        <v>815</v>
      </c>
      <c r="B153" s="254"/>
      <c r="C153" s="256" t="s">
        <v>42</v>
      </c>
      <c r="D153" s="259">
        <f t="shared" si="7"/>
        <v>1798717.0314528544</v>
      </c>
      <c r="E153" s="257">
        <f t="shared" si="8"/>
        <v>-1624944960.6854711</v>
      </c>
      <c r="F153" s="260">
        <v>31</v>
      </c>
      <c r="G153" s="261">
        <f t="shared" si="9"/>
        <v>61</v>
      </c>
      <c r="H153" s="98">
        <f>G153/G143</f>
        <v>0.16712328767123288</v>
      </c>
      <c r="I153" s="258">
        <f t="shared" si="5"/>
        <v>300607.50388664141</v>
      </c>
      <c r="J153" s="214">
        <f t="shared" si="10"/>
        <v>-1633145139.1521497</v>
      </c>
    </row>
    <row r="154" spans="1:10" x14ac:dyDescent="0.3">
      <c r="A154" s="166">
        <f t="shared" si="6"/>
        <v>816</v>
      </c>
      <c r="B154" s="254"/>
      <c r="C154" s="256" t="s">
        <v>43</v>
      </c>
      <c r="D154" s="259">
        <f t="shared" si="7"/>
        <v>1798717.0314528544</v>
      </c>
      <c r="E154" s="257">
        <f t="shared" si="8"/>
        <v>-1623146243.6540182</v>
      </c>
      <c r="F154" s="260">
        <v>30</v>
      </c>
      <c r="G154" s="261">
        <f t="shared" si="9"/>
        <v>31</v>
      </c>
      <c r="H154" s="98">
        <f>G154/G143</f>
        <v>8.4931506849315067E-2</v>
      </c>
      <c r="I154" s="258">
        <f t="shared" si="5"/>
        <v>152767.74787681777</v>
      </c>
      <c r="J154" s="214">
        <f t="shared" si="10"/>
        <v>-1632992371.4042728</v>
      </c>
    </row>
    <row r="155" spans="1:10" x14ac:dyDescent="0.3">
      <c r="A155" s="166">
        <f t="shared" si="6"/>
        <v>817</v>
      </c>
      <c r="B155" s="254"/>
      <c r="C155" s="256" t="s">
        <v>27</v>
      </c>
      <c r="D155" s="259">
        <f t="shared" si="7"/>
        <v>1798717.0314528544</v>
      </c>
      <c r="E155" s="257">
        <f t="shared" si="8"/>
        <v>-1621347526.6225653</v>
      </c>
      <c r="F155" s="260">
        <v>31</v>
      </c>
      <c r="G155" s="261">
        <f t="shared" si="9"/>
        <v>0</v>
      </c>
      <c r="H155" s="98">
        <f>G155/G143</f>
        <v>0</v>
      </c>
      <c r="I155" s="258">
        <f t="shared" si="5"/>
        <v>0</v>
      </c>
      <c r="J155" s="214">
        <f t="shared" si="10"/>
        <v>-1632992371.4042728</v>
      </c>
    </row>
    <row r="156" spans="1:10" x14ac:dyDescent="0.3">
      <c r="A156" s="166">
        <f t="shared" si="6"/>
        <v>818</v>
      </c>
      <c r="B156" s="254"/>
      <c r="C156" s="256" t="s">
        <v>476</v>
      </c>
      <c r="D156" s="259"/>
      <c r="E156" s="257">
        <f>D14</f>
        <v>-1621347526.6225657</v>
      </c>
      <c r="F156" s="78"/>
      <c r="G156" s="78"/>
      <c r="H156" s="78"/>
      <c r="I156" s="176"/>
      <c r="J156" s="262"/>
    </row>
    <row r="157" spans="1:10" x14ac:dyDescent="0.3">
      <c r="A157" s="263"/>
      <c r="B157" s="264"/>
      <c r="C157" s="99"/>
      <c r="D157" s="100"/>
      <c r="E157" s="100"/>
      <c r="F157" s="101"/>
      <c r="G157" s="101"/>
      <c r="H157" s="101"/>
      <c r="I157" s="265"/>
      <c r="J157" s="266"/>
    </row>
    <row r="158" spans="1:10" x14ac:dyDescent="0.3">
      <c r="B158" s="164"/>
      <c r="C158" s="228" t="s">
        <v>477</v>
      </c>
      <c r="D158" s="228"/>
      <c r="E158" s="228"/>
      <c r="F158" s="228"/>
      <c r="G158" s="228"/>
      <c r="J158" s="164"/>
    </row>
    <row r="159" spans="1:10" x14ac:dyDescent="0.3">
      <c r="B159" s="164"/>
      <c r="C159" s="228" t="s">
        <v>478</v>
      </c>
      <c r="D159" s="228"/>
      <c r="E159" s="228"/>
      <c r="F159" s="228"/>
      <c r="G159" s="228"/>
      <c r="J159" s="164"/>
    </row>
    <row r="160" spans="1:10" x14ac:dyDescent="0.3">
      <c r="B160" s="164"/>
      <c r="C160" s="228"/>
      <c r="D160" s="228"/>
      <c r="E160" s="228"/>
      <c r="F160" s="228"/>
      <c r="G160" s="228"/>
      <c r="J160" s="164"/>
    </row>
    <row r="161" spans="2:10" x14ac:dyDescent="0.3">
      <c r="B161" s="164"/>
      <c r="C161" s="228" t="s">
        <v>479</v>
      </c>
      <c r="D161" s="228"/>
      <c r="E161" s="228"/>
      <c r="F161" s="228"/>
      <c r="G161" s="228"/>
      <c r="J161" s="164"/>
    </row>
    <row r="162" spans="2:10" x14ac:dyDescent="0.3">
      <c r="B162" s="164"/>
      <c r="C162" s="228" t="s">
        <v>480</v>
      </c>
      <c r="D162" s="228"/>
      <c r="E162" s="228"/>
      <c r="F162" s="228"/>
      <c r="G162" s="228"/>
      <c r="J162" s="164"/>
    </row>
    <row r="163" spans="2:10" x14ac:dyDescent="0.3">
      <c r="B163" s="164"/>
      <c r="C163" s="228" t="s">
        <v>481</v>
      </c>
      <c r="D163" s="228"/>
      <c r="E163" s="228"/>
      <c r="F163" s="228"/>
      <c r="G163" s="228"/>
      <c r="J163" s="164"/>
    </row>
    <row r="164" spans="2:10" s="174" customFormat="1" x14ac:dyDescent="0.3">
      <c r="E164" s="166" t="s">
        <v>107</v>
      </c>
      <c r="G164" s="191" t="s">
        <v>482</v>
      </c>
      <c r="H164" s="228"/>
      <c r="I164" s="228"/>
    </row>
    <row r="165" spans="2:10" s="174" customFormat="1" x14ac:dyDescent="0.3">
      <c r="E165" s="171" t="s">
        <v>112</v>
      </c>
      <c r="G165" s="171" t="s">
        <v>223</v>
      </c>
      <c r="H165" s="228"/>
      <c r="I165" s="228"/>
    </row>
    <row r="166" spans="2:10" s="174" customFormat="1" ht="12.5" x14ac:dyDescent="0.25">
      <c r="C166" s="176" t="s">
        <v>483</v>
      </c>
      <c r="E166" s="174" t="s">
        <v>484</v>
      </c>
      <c r="G166" s="267">
        <v>801074308</v>
      </c>
      <c r="H166" s="228"/>
      <c r="I166" s="268"/>
    </row>
    <row r="167" spans="2:10" s="174" customFormat="1" ht="12.5" x14ac:dyDescent="0.25">
      <c r="C167" s="176" t="s">
        <v>485</v>
      </c>
      <c r="E167" s="174" t="s">
        <v>486</v>
      </c>
      <c r="G167" s="226">
        <v>650570</v>
      </c>
      <c r="H167" s="228"/>
      <c r="I167" s="268"/>
    </row>
    <row r="168" spans="2:10" s="174" customFormat="1" ht="12.5" x14ac:dyDescent="0.25">
      <c r="C168" s="176" t="s">
        <v>487</v>
      </c>
      <c r="E168" s="174" t="s">
        <v>488</v>
      </c>
      <c r="G168" s="269">
        <v>2165077</v>
      </c>
      <c r="H168" s="228"/>
      <c r="I168" s="268"/>
    </row>
    <row r="169" spans="2:10" s="174" customFormat="1" ht="12.5" x14ac:dyDescent="0.25">
      <c r="C169" s="176" t="s">
        <v>489</v>
      </c>
      <c r="E169" s="174" t="s">
        <v>490</v>
      </c>
      <c r="G169" s="182">
        <f>SUM(G166:G168)</f>
        <v>803889955</v>
      </c>
      <c r="H169" s="228"/>
      <c r="I169" s="228"/>
    </row>
    <row r="170" spans="2:10" s="174" customFormat="1" ht="12.5" x14ac:dyDescent="0.25">
      <c r="C170" s="176" t="s">
        <v>491</v>
      </c>
      <c r="E170" s="252" t="s">
        <v>492</v>
      </c>
      <c r="G170" s="180">
        <f>(G167+G168)/G169</f>
        <v>3.5025279050787494E-3</v>
      </c>
      <c r="H170" s="228"/>
      <c r="I170" s="228"/>
    </row>
    <row r="171" spans="2:10" s="174" customFormat="1" ht="12.5" x14ac:dyDescent="0.25">
      <c r="C171" s="270" t="s">
        <v>493</v>
      </c>
      <c r="D171" s="228"/>
      <c r="E171" s="228"/>
      <c r="F171" s="228"/>
      <c r="G171" s="228"/>
      <c r="H171" s="228"/>
      <c r="I171" s="228"/>
    </row>
    <row r="172" spans="2:10" s="174" customFormat="1" x14ac:dyDescent="0.3">
      <c r="E172" s="166" t="s">
        <v>107</v>
      </c>
      <c r="G172" s="191" t="s">
        <v>482</v>
      </c>
      <c r="H172" s="228"/>
      <c r="I172" s="228"/>
    </row>
    <row r="173" spans="2:10" s="174" customFormat="1" x14ac:dyDescent="0.3">
      <c r="E173" s="171" t="s">
        <v>112</v>
      </c>
      <c r="G173" s="171" t="s">
        <v>223</v>
      </c>
      <c r="H173" s="228"/>
      <c r="I173" s="228"/>
    </row>
    <row r="174" spans="2:10" s="174" customFormat="1" ht="12.5" x14ac:dyDescent="0.25">
      <c r="C174" s="176" t="s">
        <v>494</v>
      </c>
      <c r="E174" s="174" t="s">
        <v>495</v>
      </c>
      <c r="G174" s="267">
        <v>51320942976</v>
      </c>
      <c r="H174" s="228"/>
      <c r="I174" s="268"/>
    </row>
    <row r="175" spans="2:10" s="174" customFormat="1" ht="12.5" x14ac:dyDescent="0.25">
      <c r="C175" s="176" t="s">
        <v>496</v>
      </c>
      <c r="E175" s="174" t="s">
        <v>497</v>
      </c>
      <c r="G175" s="226">
        <v>6385691</v>
      </c>
      <c r="H175" s="228"/>
      <c r="I175" s="228"/>
    </row>
    <row r="176" spans="2:10" s="174" customFormat="1" ht="12.5" x14ac:dyDescent="0.25">
      <c r="C176" s="176" t="s">
        <v>498</v>
      </c>
      <c r="E176" s="174" t="s">
        <v>499</v>
      </c>
      <c r="G176" s="226">
        <v>39692393</v>
      </c>
      <c r="H176" s="228"/>
      <c r="I176" s="268"/>
    </row>
    <row r="177" spans="2:10" s="174" customFormat="1" ht="12.5" x14ac:dyDescent="0.25">
      <c r="C177" s="176" t="s">
        <v>500</v>
      </c>
      <c r="E177" s="174" t="s">
        <v>501</v>
      </c>
      <c r="G177" s="182">
        <f>SUM(G174:G176)</f>
        <v>51367021060</v>
      </c>
      <c r="H177" s="228"/>
      <c r="I177" s="228"/>
    </row>
    <row r="178" spans="2:10" s="174" customFormat="1" ht="12.5" x14ac:dyDescent="0.25">
      <c r="C178" s="176" t="s">
        <v>502</v>
      </c>
      <c r="E178" s="252" t="s">
        <v>503</v>
      </c>
      <c r="G178" s="180">
        <f>(G175+G176)/G177</f>
        <v>8.9703632893520962E-4</v>
      </c>
      <c r="H178" s="228"/>
      <c r="I178" s="228"/>
    </row>
    <row r="179" spans="2:10" s="174" customFormat="1" ht="12.5" x14ac:dyDescent="0.25">
      <c r="C179" s="228" t="s">
        <v>504</v>
      </c>
      <c r="D179" s="228"/>
      <c r="E179" s="228"/>
      <c r="F179" s="228"/>
      <c r="G179" s="228"/>
      <c r="H179" s="228"/>
      <c r="I179" s="228"/>
    </row>
    <row r="180" spans="2:10" s="174" customFormat="1" ht="12.5" x14ac:dyDescent="0.25">
      <c r="B180" s="228"/>
      <c r="C180" s="228"/>
      <c r="D180" s="228"/>
      <c r="E180" s="228"/>
      <c r="F180" s="228"/>
      <c r="G180" s="228"/>
      <c r="H180" s="228"/>
      <c r="I180" s="228"/>
      <c r="J180" s="228"/>
    </row>
    <row r="181" spans="2:10" s="174" customFormat="1" x14ac:dyDescent="0.3">
      <c r="B181" s="228"/>
      <c r="C181" s="170" t="s">
        <v>87</v>
      </c>
      <c r="D181" s="228"/>
      <c r="E181" s="228"/>
      <c r="F181" s="228"/>
      <c r="G181" s="228"/>
      <c r="H181" s="228"/>
      <c r="I181" s="228"/>
      <c r="J181" s="228"/>
    </row>
    <row r="182" spans="2:10" s="174" customFormat="1" ht="12.5" x14ac:dyDescent="0.25">
      <c r="B182" s="228"/>
      <c r="C182" s="174" t="s">
        <v>505</v>
      </c>
      <c r="D182" s="228"/>
      <c r="E182" s="228"/>
      <c r="F182" s="228"/>
      <c r="G182" s="228"/>
      <c r="H182" s="228"/>
      <c r="I182" s="228"/>
      <c r="J182" s="228"/>
    </row>
    <row r="183" spans="2:10" s="174" customFormat="1" ht="12.5" x14ac:dyDescent="0.25">
      <c r="B183" s="228"/>
      <c r="C183" s="174" t="s">
        <v>506</v>
      </c>
      <c r="D183" s="228"/>
      <c r="E183" s="228"/>
      <c r="F183" s="228"/>
      <c r="G183" s="228"/>
      <c r="H183" s="228"/>
      <c r="I183" s="228"/>
      <c r="J183" s="228"/>
    </row>
    <row r="184" spans="2:10" x14ac:dyDescent="0.3">
      <c r="C184" s="174" t="s">
        <v>507</v>
      </c>
    </row>
    <row r="185" spans="2:10" x14ac:dyDescent="0.3">
      <c r="C185" s="176" t="s">
        <v>508</v>
      </c>
    </row>
    <row r="186" spans="2:10" x14ac:dyDescent="0.3">
      <c r="C186" s="174" t="s">
        <v>509</v>
      </c>
    </row>
    <row r="187" spans="2:10" x14ac:dyDescent="0.3">
      <c r="C187" s="172" t="s">
        <v>510</v>
      </c>
    </row>
    <row r="188" spans="2:10" x14ac:dyDescent="0.3">
      <c r="C188" s="176" t="s">
        <v>511</v>
      </c>
    </row>
  </sheetData>
  <protectedRanges>
    <protectedRange password="F1C4" sqref="D20:E23 E15:E19 D14:D15 D17:D18 I53 B7:C12 F20 I116 D24 B14:C14 B13 B16:C23 B15 B25:F30 B24" name="AAReport1_23_1_1_2"/>
    <protectedRange password="F1C4" sqref="D19" name="AAReport1_23_1_1_1_1_1"/>
    <protectedRange password="F1C4" sqref="F32:F33 F46 J32:J35" name="AAReport1_23_1_1_2_1"/>
    <protectedRange password="F1C4" sqref="C24" name="AAReport1_23_1_1_2_1_1"/>
    <protectedRange password="F1C4" sqref="E24" name="AAReport1_23_1_1_2_3_2"/>
  </protectedRanges>
  <conditionalFormatting sqref="B110 B124:B125 D124:D125 D110">
    <cfRule type="expression" dxfId="8" priority="8" stopIfTrue="1">
      <formula>Formulas</formula>
    </cfRule>
  </conditionalFormatting>
  <conditionalFormatting sqref="D116">
    <cfRule type="expression" dxfId="7" priority="9" stopIfTrue="1">
      <formula>Formulas</formula>
    </cfRule>
  </conditionalFormatting>
  <conditionalFormatting sqref="C116 C110 C124:C125">
    <cfRule type="expression" dxfId="6" priority="7" stopIfTrue="1">
      <formula>#REF!&lt;&gt;""</formula>
    </cfRule>
  </conditionalFormatting>
  <conditionalFormatting sqref="D102:D109">
    <cfRule type="expression" dxfId="5" priority="6" stopIfTrue="1">
      <formula>Formulas</formula>
    </cfRule>
  </conditionalFormatting>
  <conditionalFormatting sqref="C102:C109">
    <cfRule type="expression" dxfId="4" priority="5" stopIfTrue="1">
      <formula>#REF!&lt;&gt;""</formula>
    </cfRule>
  </conditionalFormatting>
  <conditionalFormatting sqref="D122">
    <cfRule type="expression" dxfId="3" priority="4" stopIfTrue="1">
      <formula>Formulas</formula>
    </cfRule>
  </conditionalFormatting>
  <conditionalFormatting sqref="C122">
    <cfRule type="expression" dxfId="2" priority="3" stopIfTrue="1">
      <formula>#REF!&lt;&gt;""</formula>
    </cfRule>
  </conditionalFormatting>
  <conditionalFormatting sqref="D123">
    <cfRule type="expression" dxfId="1" priority="2" stopIfTrue="1">
      <formula>Formulas</formula>
    </cfRule>
  </conditionalFormatting>
  <conditionalFormatting sqref="C123">
    <cfRule type="expression" dxfId="0" priority="1" stopIfTrue="1">
      <formula>#REF!&lt;&gt;""</formula>
    </cfRule>
  </conditionalFormatting>
  <pageMargins left="0.75" right="0.75" top="1" bottom="1" header="0.5" footer="0.5"/>
  <pageSetup scale="59" orientation="landscape" cellComments="asDisplayed" r:id="rId1"/>
  <headerFooter alignWithMargins="0">
    <oddHeader xml:space="preserve">&amp;CSchedule 9
ADIT
(2019 Widfire Adj)&amp;RTO2021 Draft Annual Update
Attachment 4
WP-Schedule 3-One Time Adjustment Transition
Page &amp;P of &amp;N
</oddHeader>
    <oddFooter>&amp;R&amp;A</oddFooter>
  </headerFooter>
  <rowBreaks count="5" manualBreakCount="5">
    <brk id="24" max="16383" man="1"/>
    <brk id="56" max="16383" man="1"/>
    <brk id="94" max="9" man="1"/>
    <brk id="125" max="16383" man="1"/>
    <brk id="157" max="16383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73766-D680-4F0D-8D2A-393B75EE4A04}">
  <sheetPr>
    <tabColor rgb="FFCCECFF"/>
  </sheetPr>
  <dimension ref="A1:X105"/>
  <sheetViews>
    <sheetView zoomScaleNormal="100" workbookViewId="0"/>
  </sheetViews>
  <sheetFormatPr defaultRowHeight="12.5" x14ac:dyDescent="0.25"/>
  <cols>
    <col min="1" max="1" width="4.54296875" style="164" customWidth="1"/>
    <col min="2" max="2" width="2.54296875" style="164" customWidth="1"/>
    <col min="3" max="3" width="8.54296875" style="164" customWidth="1"/>
    <col min="4" max="4" width="32.54296875" style="164" customWidth="1"/>
    <col min="5" max="5" width="14.54296875" style="164" customWidth="1"/>
    <col min="6" max="6" width="15.54296875" style="164" customWidth="1"/>
    <col min="7" max="8" width="14.54296875" style="164" customWidth="1"/>
    <col min="9" max="9" width="20" style="164" customWidth="1"/>
    <col min="10" max="10" width="15.54296875" style="164" customWidth="1"/>
    <col min="11" max="11" width="11" style="164" bestFit="1" customWidth="1"/>
    <col min="12" max="16384" width="8.7265625" style="164"/>
  </cols>
  <sheetData>
    <row r="1" spans="1:24" ht="13" x14ac:dyDescent="0.3">
      <c r="A1" s="163" t="s">
        <v>512</v>
      </c>
      <c r="F1" s="271" t="s">
        <v>513</v>
      </c>
      <c r="G1" s="199"/>
      <c r="H1" s="225"/>
      <c r="I1" s="225"/>
    </row>
    <row r="2" spans="1:24" ht="13" x14ac:dyDescent="0.3">
      <c r="E2" s="203" t="s">
        <v>12</v>
      </c>
      <c r="F2" s="203" t="s">
        <v>347</v>
      </c>
      <c r="G2" s="203" t="s">
        <v>365</v>
      </c>
      <c r="H2" s="203" t="s">
        <v>13</v>
      </c>
      <c r="I2" s="225"/>
    </row>
    <row r="3" spans="1:24" x14ac:dyDescent="0.25">
      <c r="G3" s="225" t="s">
        <v>456</v>
      </c>
    </row>
    <row r="4" spans="1:24" ht="13" x14ac:dyDescent="0.3">
      <c r="E4" s="166" t="s">
        <v>514</v>
      </c>
      <c r="F4" s="43" t="s">
        <v>515</v>
      </c>
      <c r="G4" s="166" t="s">
        <v>516</v>
      </c>
      <c r="I4" s="166"/>
    </row>
    <row r="5" spans="1:24" ht="13" x14ac:dyDescent="0.3">
      <c r="A5" s="168" t="s">
        <v>108</v>
      </c>
      <c r="B5" s="171"/>
      <c r="C5" s="171" t="s">
        <v>517</v>
      </c>
      <c r="D5" s="171" t="s">
        <v>95</v>
      </c>
      <c r="E5" s="171" t="s">
        <v>96</v>
      </c>
      <c r="F5" s="44" t="s">
        <v>98</v>
      </c>
      <c r="G5" s="171" t="s">
        <v>518</v>
      </c>
      <c r="H5" s="171" t="s">
        <v>152</v>
      </c>
      <c r="I5" s="171" t="s">
        <v>111</v>
      </c>
      <c r="K5" s="171"/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</row>
    <row r="6" spans="1:24" ht="13" x14ac:dyDescent="0.3">
      <c r="A6" s="166">
        <v>1</v>
      </c>
      <c r="C6" s="225">
        <v>920</v>
      </c>
      <c r="D6" s="164" t="s">
        <v>519</v>
      </c>
      <c r="E6" s="212">
        <v>413850310</v>
      </c>
      <c r="F6" s="225" t="s">
        <v>520</v>
      </c>
      <c r="G6" s="173">
        <f>D37</f>
        <v>212654194.68284771</v>
      </c>
      <c r="H6" s="173">
        <f t="shared" ref="H6:H19" si="0">E6-G6</f>
        <v>201196115.31715229</v>
      </c>
      <c r="J6" s="174"/>
    </row>
    <row r="7" spans="1:24" ht="13" x14ac:dyDescent="0.3">
      <c r="A7" s="166">
        <f>A6+1</f>
        <v>2</v>
      </c>
      <c r="C7" s="225">
        <v>921</v>
      </c>
      <c r="D7" s="164" t="s">
        <v>521</v>
      </c>
      <c r="E7" s="212">
        <v>250234425</v>
      </c>
      <c r="F7" s="225" t="s">
        <v>522</v>
      </c>
      <c r="G7" s="173">
        <f t="shared" ref="G7:G19" si="1">D38</f>
        <v>2351967.084740696</v>
      </c>
      <c r="H7" s="173">
        <f t="shared" si="0"/>
        <v>247882457.9152593</v>
      </c>
      <c r="J7" s="174"/>
    </row>
    <row r="8" spans="1:24" ht="13" x14ac:dyDescent="0.3">
      <c r="A8" s="166">
        <f>A7+1</f>
        <v>3</v>
      </c>
      <c r="C8" s="225">
        <v>922</v>
      </c>
      <c r="D8" s="164" t="s">
        <v>523</v>
      </c>
      <c r="E8" s="212">
        <v>-225318190</v>
      </c>
      <c r="F8" s="225" t="s">
        <v>524</v>
      </c>
      <c r="G8" s="173">
        <f t="shared" si="1"/>
        <v>-77722052.712449998</v>
      </c>
      <c r="H8" s="173">
        <f>E8-G8</f>
        <v>-147596137.28755</v>
      </c>
      <c r="I8" s="169" t="s">
        <v>525</v>
      </c>
      <c r="J8" s="174"/>
    </row>
    <row r="9" spans="1:24" ht="13" x14ac:dyDescent="0.3">
      <c r="A9" s="166">
        <f t="shared" ref="A9:A20" si="2">A8+1</f>
        <v>4</v>
      </c>
      <c r="B9" s="166"/>
      <c r="C9" s="225">
        <v>923</v>
      </c>
      <c r="D9" s="164" t="s">
        <v>526</v>
      </c>
      <c r="E9" s="212">
        <v>59887693</v>
      </c>
      <c r="F9" s="225" t="s">
        <v>527</v>
      </c>
      <c r="G9" s="173">
        <f t="shared" si="1"/>
        <v>8194551</v>
      </c>
      <c r="H9" s="173">
        <f t="shared" si="0"/>
        <v>51693142</v>
      </c>
      <c r="J9" s="174"/>
    </row>
    <row r="10" spans="1:24" ht="13" x14ac:dyDescent="0.3">
      <c r="A10" s="166">
        <f t="shared" si="2"/>
        <v>5</v>
      </c>
      <c r="B10" s="166"/>
      <c r="C10" s="225">
        <v>924</v>
      </c>
      <c r="D10" s="164" t="s">
        <v>528</v>
      </c>
      <c r="E10" s="212">
        <v>15607270</v>
      </c>
      <c r="F10" s="225" t="s">
        <v>529</v>
      </c>
      <c r="G10" s="173">
        <f t="shared" si="1"/>
        <v>0</v>
      </c>
      <c r="H10" s="173">
        <f t="shared" si="0"/>
        <v>15607270</v>
      </c>
      <c r="J10" s="174"/>
    </row>
    <row r="11" spans="1:24" ht="13" x14ac:dyDescent="0.3">
      <c r="A11" s="166">
        <f t="shared" si="2"/>
        <v>6</v>
      </c>
      <c r="B11" s="166"/>
      <c r="C11" s="225">
        <v>925</v>
      </c>
      <c r="D11" s="164" t="s">
        <v>530</v>
      </c>
      <c r="E11" s="212">
        <v>902073996</v>
      </c>
      <c r="F11" s="225" t="s">
        <v>531</v>
      </c>
      <c r="G11" s="173">
        <f t="shared" si="1"/>
        <v>168752277.52000001</v>
      </c>
      <c r="H11" s="173">
        <f t="shared" si="0"/>
        <v>733321718.48000002</v>
      </c>
      <c r="J11" s="174"/>
    </row>
    <row r="12" spans="1:24" ht="13" x14ac:dyDescent="0.3">
      <c r="A12" s="166">
        <f t="shared" si="2"/>
        <v>7</v>
      </c>
      <c r="B12" s="166"/>
      <c r="C12" s="225">
        <v>926</v>
      </c>
      <c r="D12" s="164" t="s">
        <v>532</v>
      </c>
      <c r="E12" s="212">
        <v>82906034</v>
      </c>
      <c r="F12" s="225" t="s">
        <v>533</v>
      </c>
      <c r="G12" s="173">
        <f t="shared" si="1"/>
        <v>3580760.4670550358</v>
      </c>
      <c r="H12" s="173">
        <f t="shared" si="0"/>
        <v>79325273.532944962</v>
      </c>
      <c r="J12" s="174"/>
    </row>
    <row r="13" spans="1:24" ht="13" x14ac:dyDescent="0.3">
      <c r="A13" s="166">
        <f t="shared" si="2"/>
        <v>8</v>
      </c>
      <c r="B13" s="166"/>
      <c r="C13" s="225">
        <v>927</v>
      </c>
      <c r="D13" s="164" t="s">
        <v>534</v>
      </c>
      <c r="E13" s="212">
        <v>104335318</v>
      </c>
      <c r="F13" s="225" t="s">
        <v>535</v>
      </c>
      <c r="G13" s="173">
        <f t="shared" si="1"/>
        <v>104335318</v>
      </c>
      <c r="H13" s="173">
        <f t="shared" si="0"/>
        <v>0</v>
      </c>
      <c r="J13" s="174"/>
    </row>
    <row r="14" spans="1:24" ht="13" x14ac:dyDescent="0.3">
      <c r="A14" s="166">
        <f t="shared" si="2"/>
        <v>9</v>
      </c>
      <c r="B14" s="166"/>
      <c r="C14" s="225">
        <v>928</v>
      </c>
      <c r="D14" s="174" t="s">
        <v>536</v>
      </c>
      <c r="E14" s="212">
        <v>11713250</v>
      </c>
      <c r="F14" s="225" t="s">
        <v>537</v>
      </c>
      <c r="G14" s="173">
        <f t="shared" si="1"/>
        <v>9979027.6099999994</v>
      </c>
      <c r="H14" s="173">
        <f t="shared" si="0"/>
        <v>1734222.3900000006</v>
      </c>
      <c r="J14" s="174"/>
    </row>
    <row r="15" spans="1:24" ht="13" x14ac:dyDescent="0.3">
      <c r="A15" s="166">
        <f t="shared" si="2"/>
        <v>10</v>
      </c>
      <c r="B15" s="166"/>
      <c r="C15" s="225">
        <v>929</v>
      </c>
      <c r="D15" s="164" t="s">
        <v>538</v>
      </c>
      <c r="E15" s="212">
        <v>0</v>
      </c>
      <c r="F15" s="225" t="s">
        <v>539</v>
      </c>
      <c r="G15" s="173">
        <f t="shared" si="1"/>
        <v>0</v>
      </c>
      <c r="H15" s="173">
        <f t="shared" si="0"/>
        <v>0</v>
      </c>
      <c r="J15" s="174"/>
    </row>
    <row r="16" spans="1:24" ht="13" x14ac:dyDescent="0.3">
      <c r="A16" s="166">
        <f t="shared" si="2"/>
        <v>11</v>
      </c>
      <c r="B16" s="166"/>
      <c r="C16" s="225">
        <v>930.1</v>
      </c>
      <c r="D16" s="164" t="s">
        <v>540</v>
      </c>
      <c r="E16" s="212">
        <v>11245961</v>
      </c>
      <c r="F16" s="225" t="s">
        <v>541</v>
      </c>
      <c r="G16" s="173">
        <f t="shared" si="1"/>
        <v>4498348</v>
      </c>
      <c r="H16" s="173">
        <f t="shared" si="0"/>
        <v>6747613</v>
      </c>
      <c r="J16" s="174"/>
    </row>
    <row r="17" spans="1:10" ht="13" x14ac:dyDescent="0.3">
      <c r="A17" s="166">
        <f t="shared" si="2"/>
        <v>12</v>
      </c>
      <c r="B17" s="166"/>
      <c r="C17" s="225">
        <v>930.2</v>
      </c>
      <c r="D17" s="164" t="s">
        <v>542</v>
      </c>
      <c r="E17" s="212">
        <v>14071912</v>
      </c>
      <c r="F17" s="225" t="s">
        <v>543</v>
      </c>
      <c r="G17" s="173">
        <f t="shared" si="1"/>
        <v>5984741</v>
      </c>
      <c r="H17" s="173">
        <f t="shared" si="0"/>
        <v>8087171</v>
      </c>
      <c r="J17" s="174"/>
    </row>
    <row r="18" spans="1:10" ht="13" x14ac:dyDescent="0.3">
      <c r="A18" s="166">
        <f t="shared" si="2"/>
        <v>13</v>
      </c>
      <c r="B18" s="166"/>
      <c r="C18" s="225">
        <v>931</v>
      </c>
      <c r="D18" s="164" t="s">
        <v>544</v>
      </c>
      <c r="E18" s="212">
        <v>8581490</v>
      </c>
      <c r="F18" s="225" t="s">
        <v>545</v>
      </c>
      <c r="G18" s="173">
        <f t="shared" si="1"/>
        <v>12016812.699999999</v>
      </c>
      <c r="H18" s="173">
        <f t="shared" si="0"/>
        <v>-3435322.6999999993</v>
      </c>
      <c r="J18" s="174"/>
    </row>
    <row r="19" spans="1:10" ht="13" x14ac:dyDescent="0.3">
      <c r="A19" s="166">
        <f t="shared" si="2"/>
        <v>14</v>
      </c>
      <c r="B19" s="166"/>
      <c r="C19" s="225">
        <v>935</v>
      </c>
      <c r="D19" s="164" t="s">
        <v>546</v>
      </c>
      <c r="E19" s="272">
        <v>26158179</v>
      </c>
      <c r="F19" s="225" t="s">
        <v>547</v>
      </c>
      <c r="G19" s="173">
        <f t="shared" si="1"/>
        <v>811671.73</v>
      </c>
      <c r="H19" s="177">
        <f t="shared" si="0"/>
        <v>25346507.27</v>
      </c>
      <c r="J19" s="174"/>
    </row>
    <row r="20" spans="1:10" ht="13" x14ac:dyDescent="0.3">
      <c r="A20" s="166">
        <f t="shared" si="2"/>
        <v>15</v>
      </c>
      <c r="E20" s="173">
        <f>SUM(E6:E19)</f>
        <v>1675347648</v>
      </c>
      <c r="G20" s="187" t="s">
        <v>548</v>
      </c>
      <c r="H20" s="182">
        <f>SUM(H6:H19)</f>
        <v>1219910030.9178066</v>
      </c>
    </row>
    <row r="22" spans="1:10" ht="13" x14ac:dyDescent="0.3">
      <c r="F22" s="171" t="s">
        <v>96</v>
      </c>
      <c r="G22" s="171" t="s">
        <v>98</v>
      </c>
    </row>
    <row r="23" spans="1:10" ht="13" x14ac:dyDescent="0.3">
      <c r="A23" s="166">
        <f>A20+1</f>
        <v>16</v>
      </c>
      <c r="E23" s="183" t="s">
        <v>549</v>
      </c>
      <c r="F23" s="173">
        <f>H20</f>
        <v>1219910030.9178066</v>
      </c>
      <c r="G23" s="176" t="str">
        <f>"Line "&amp;A20&amp;""</f>
        <v>Line 15</v>
      </c>
    </row>
    <row r="24" spans="1:10" ht="13" x14ac:dyDescent="0.3">
      <c r="A24" s="166">
        <f t="shared" ref="A24:A30" si="3">A23+1</f>
        <v>17</v>
      </c>
      <c r="E24" s="183" t="s">
        <v>550</v>
      </c>
      <c r="F24" s="177">
        <f>E10</f>
        <v>15607270</v>
      </c>
      <c r="G24" s="176" t="str">
        <f>"Line "&amp;A10&amp;""</f>
        <v>Line 5</v>
      </c>
    </row>
    <row r="25" spans="1:10" ht="13" x14ac:dyDescent="0.3">
      <c r="A25" s="166">
        <f t="shared" si="3"/>
        <v>18</v>
      </c>
      <c r="E25" s="183" t="s">
        <v>551</v>
      </c>
      <c r="F25" s="173">
        <f>F23-F24</f>
        <v>1204302760.9178066</v>
      </c>
      <c r="G25" s="176" t="str">
        <f>"Line "&amp;A23&amp;" - Line "&amp;A24&amp;""</f>
        <v>Line 16 - Line 17</v>
      </c>
    </row>
    <row r="26" spans="1:10" ht="13" x14ac:dyDescent="0.3">
      <c r="A26" s="166">
        <f t="shared" si="3"/>
        <v>19</v>
      </c>
      <c r="E26" s="187" t="s">
        <v>552</v>
      </c>
      <c r="F26" s="200">
        <v>6.5693761162178274E-2</v>
      </c>
      <c r="G26" s="176" t="s">
        <v>553</v>
      </c>
    </row>
    <row r="27" spans="1:10" ht="13" x14ac:dyDescent="0.3">
      <c r="A27" s="166">
        <f t="shared" si="3"/>
        <v>20</v>
      </c>
      <c r="E27" s="183" t="s">
        <v>554</v>
      </c>
      <c r="F27" s="173">
        <f>F25*F26</f>
        <v>79115177.942686275</v>
      </c>
      <c r="G27" s="176" t="str">
        <f>"Line "&amp;A25&amp;" * Line "&amp;A26&amp;""</f>
        <v>Line 18 * Line 19</v>
      </c>
    </row>
    <row r="28" spans="1:10" ht="13" x14ac:dyDescent="0.3">
      <c r="A28" s="166">
        <f t="shared" si="3"/>
        <v>21</v>
      </c>
      <c r="E28" s="183" t="s">
        <v>555</v>
      </c>
      <c r="F28" s="181">
        <v>0.18668153702052509</v>
      </c>
      <c r="G28" s="176" t="s">
        <v>556</v>
      </c>
    </row>
    <row r="29" spans="1:10" ht="13" x14ac:dyDescent="0.3">
      <c r="A29" s="166">
        <f t="shared" si="3"/>
        <v>22</v>
      </c>
      <c r="E29" s="183" t="s">
        <v>557</v>
      </c>
      <c r="F29" s="177">
        <f>H10*F28</f>
        <v>2913589.1522943308</v>
      </c>
      <c r="G29" s="176" t="str">
        <f>"Line "&amp;A10&amp;" Col 4 * Line "&amp;A28&amp;""</f>
        <v>Line 5 Col 4 * Line 21</v>
      </c>
    </row>
    <row r="30" spans="1:10" ht="13" x14ac:dyDescent="0.3">
      <c r="A30" s="166">
        <f t="shared" si="3"/>
        <v>23</v>
      </c>
      <c r="E30" s="183" t="s">
        <v>558</v>
      </c>
      <c r="F30" s="182">
        <f>F27+F29</f>
        <v>82028767.094980612</v>
      </c>
      <c r="G30" s="176" t="str">
        <f>"Line "&amp;A27&amp;" + Line "&amp;A29&amp;""</f>
        <v>Line 20 + Line 22</v>
      </c>
    </row>
    <row r="32" spans="1:10" ht="13" x14ac:dyDescent="0.3">
      <c r="B32" s="163" t="s">
        <v>559</v>
      </c>
      <c r="E32" s="203" t="s">
        <v>12</v>
      </c>
      <c r="F32" s="203" t="s">
        <v>347</v>
      </c>
      <c r="G32" s="203" t="s">
        <v>365</v>
      </c>
      <c r="H32" s="203" t="s">
        <v>13</v>
      </c>
    </row>
    <row r="33" spans="1:11" ht="13" x14ac:dyDescent="0.3">
      <c r="B33" s="163"/>
      <c r="E33" s="166" t="s">
        <v>560</v>
      </c>
      <c r="F33" s="203"/>
      <c r="G33" s="203"/>
      <c r="H33" s="203"/>
    </row>
    <row r="34" spans="1:11" ht="13" x14ac:dyDescent="0.3">
      <c r="E34" s="166" t="s">
        <v>561</v>
      </c>
    </row>
    <row r="35" spans="1:11" ht="13" x14ac:dyDescent="0.3">
      <c r="D35" s="166" t="s">
        <v>562</v>
      </c>
      <c r="E35" s="166" t="s">
        <v>563</v>
      </c>
      <c r="F35" s="166" t="s">
        <v>564</v>
      </c>
      <c r="G35" s="166"/>
      <c r="H35" s="166"/>
    </row>
    <row r="36" spans="1:11" ht="13" x14ac:dyDescent="0.3">
      <c r="C36" s="171" t="s">
        <v>517</v>
      </c>
      <c r="D36" s="203" t="s">
        <v>565</v>
      </c>
      <c r="E36" s="171" t="s">
        <v>566</v>
      </c>
      <c r="F36" s="171" t="s">
        <v>567</v>
      </c>
      <c r="G36" s="171" t="s">
        <v>568</v>
      </c>
      <c r="H36" s="171" t="s">
        <v>569</v>
      </c>
      <c r="I36" s="171" t="s">
        <v>111</v>
      </c>
    </row>
    <row r="37" spans="1:11" ht="13" x14ac:dyDescent="0.3">
      <c r="A37" s="166">
        <f>A30+1</f>
        <v>24</v>
      </c>
      <c r="C37" s="225">
        <v>920</v>
      </c>
      <c r="D37" s="273">
        <f>SUM(E37:H37)</f>
        <v>212654194.68284771</v>
      </c>
      <c r="E37" s="226">
        <v>78684153.555259317</v>
      </c>
      <c r="F37" s="223"/>
      <c r="G37" s="173">
        <f>G59</f>
        <v>133970041.12758839</v>
      </c>
      <c r="H37" s="223"/>
      <c r="I37" s="176" t="s">
        <v>570</v>
      </c>
    </row>
    <row r="38" spans="1:11" ht="13" x14ac:dyDescent="0.3">
      <c r="A38" s="166">
        <f>A37+1</f>
        <v>25</v>
      </c>
      <c r="C38" s="225">
        <v>921</v>
      </c>
      <c r="D38" s="273">
        <f t="shared" ref="D38:D50" si="4">SUM(E38:H38)</f>
        <v>2351967.084740696</v>
      </c>
      <c r="E38" s="226">
        <v>2351967.084740696</v>
      </c>
      <c r="F38" s="223"/>
      <c r="G38" s="223">
        <v>0</v>
      </c>
      <c r="H38" s="223"/>
      <c r="I38" s="169"/>
    </row>
    <row r="39" spans="1:11" ht="13" x14ac:dyDescent="0.3">
      <c r="A39" s="166">
        <f t="shared" ref="A39:A50" si="5">A38+1</f>
        <v>26</v>
      </c>
      <c r="C39" s="225">
        <v>922</v>
      </c>
      <c r="D39" s="273">
        <f t="shared" si="4"/>
        <v>-77722052.712449998</v>
      </c>
      <c r="E39" s="226">
        <v>-10359095.712450001</v>
      </c>
      <c r="F39" s="223"/>
      <c r="G39" s="66">
        <v>-67362957</v>
      </c>
      <c r="H39" s="223"/>
      <c r="I39" s="169"/>
    </row>
    <row r="40" spans="1:11" ht="13" x14ac:dyDescent="0.3">
      <c r="A40" s="166">
        <f t="shared" si="5"/>
        <v>27</v>
      </c>
      <c r="C40" s="225">
        <v>923</v>
      </c>
      <c r="D40" s="273">
        <f t="shared" si="4"/>
        <v>8194551</v>
      </c>
      <c r="E40" s="226">
        <v>8194551</v>
      </c>
      <c r="F40" s="223"/>
      <c r="G40" s="223">
        <v>0</v>
      </c>
      <c r="H40" s="223"/>
      <c r="I40" s="169"/>
      <c r="J40" s="171"/>
      <c r="K40" s="171"/>
    </row>
    <row r="41" spans="1:11" ht="13.5" thickBot="1" x14ac:dyDescent="0.35">
      <c r="A41" s="166">
        <f t="shared" si="5"/>
        <v>28</v>
      </c>
      <c r="C41" s="225">
        <v>924</v>
      </c>
      <c r="D41" s="273">
        <f t="shared" si="4"/>
        <v>0</v>
      </c>
      <c r="E41" s="226">
        <v>0</v>
      </c>
      <c r="F41" s="223"/>
      <c r="G41" s="223">
        <v>0</v>
      </c>
      <c r="H41" s="223"/>
      <c r="I41" s="169"/>
      <c r="K41" s="173"/>
    </row>
    <row r="42" spans="1:11" ht="13.5" thickBot="1" x14ac:dyDescent="0.35">
      <c r="A42" s="166">
        <f t="shared" si="5"/>
        <v>29</v>
      </c>
      <c r="C42" s="225">
        <v>925</v>
      </c>
      <c r="D42" s="273">
        <f t="shared" si="4"/>
        <v>168752277.52000001</v>
      </c>
      <c r="E42" s="222">
        <v>168752277.52000001</v>
      </c>
      <c r="F42" s="223"/>
      <c r="G42" s="223">
        <v>0</v>
      </c>
      <c r="H42" s="223"/>
      <c r="I42" s="176"/>
      <c r="K42" s="173"/>
    </row>
    <row r="43" spans="1:11" ht="13" x14ac:dyDescent="0.3">
      <c r="A43" s="166">
        <f t="shared" si="5"/>
        <v>30</v>
      </c>
      <c r="C43" s="225">
        <v>926</v>
      </c>
      <c r="D43" s="273">
        <f t="shared" si="4"/>
        <v>3580760.4670550358</v>
      </c>
      <c r="E43" s="226">
        <v>15470760.467055036</v>
      </c>
      <c r="F43" s="223"/>
      <c r="G43" s="223">
        <v>0</v>
      </c>
      <c r="H43" s="173">
        <f>E72</f>
        <v>-11890000</v>
      </c>
      <c r="I43" s="176" t="s">
        <v>459</v>
      </c>
      <c r="K43" s="173"/>
    </row>
    <row r="44" spans="1:11" ht="13" x14ac:dyDescent="0.3">
      <c r="A44" s="166">
        <f t="shared" si="5"/>
        <v>31</v>
      </c>
      <c r="C44" s="225">
        <v>927</v>
      </c>
      <c r="D44" s="273">
        <f t="shared" si="4"/>
        <v>104335318</v>
      </c>
      <c r="E44" s="173">
        <v>0</v>
      </c>
      <c r="F44" s="173">
        <f>E13</f>
        <v>104335318</v>
      </c>
      <c r="G44" s="173">
        <v>0</v>
      </c>
      <c r="H44" s="173">
        <v>0</v>
      </c>
      <c r="I44" s="169" t="s">
        <v>14</v>
      </c>
      <c r="K44" s="173"/>
    </row>
    <row r="45" spans="1:11" ht="13" x14ac:dyDescent="0.3">
      <c r="A45" s="166">
        <f t="shared" si="5"/>
        <v>32</v>
      </c>
      <c r="C45" s="225">
        <v>928</v>
      </c>
      <c r="D45" s="273">
        <f t="shared" si="4"/>
        <v>9979027.6099999994</v>
      </c>
      <c r="E45" s="226">
        <v>9979027.6099999994</v>
      </c>
      <c r="F45" s="223"/>
      <c r="G45" s="223">
        <v>0</v>
      </c>
      <c r="H45" s="223"/>
      <c r="I45" s="169"/>
      <c r="K45" s="173"/>
    </row>
    <row r="46" spans="1:11" ht="13" x14ac:dyDescent="0.3">
      <c r="A46" s="166">
        <f t="shared" si="5"/>
        <v>33</v>
      </c>
      <c r="C46" s="225">
        <v>929</v>
      </c>
      <c r="D46" s="273">
        <f t="shared" si="4"/>
        <v>0</v>
      </c>
      <c r="E46" s="226">
        <v>0</v>
      </c>
      <c r="F46" s="223"/>
      <c r="G46" s="223">
        <v>0</v>
      </c>
      <c r="H46" s="223"/>
      <c r="I46" s="169"/>
      <c r="K46" s="173"/>
    </row>
    <row r="47" spans="1:11" ht="13" x14ac:dyDescent="0.3">
      <c r="A47" s="166">
        <f t="shared" si="5"/>
        <v>34</v>
      </c>
      <c r="C47" s="225">
        <v>930.1</v>
      </c>
      <c r="D47" s="273">
        <f t="shared" si="4"/>
        <v>4498348</v>
      </c>
      <c r="E47" s="226">
        <v>4498348</v>
      </c>
      <c r="F47" s="223"/>
      <c r="G47" s="223">
        <v>0</v>
      </c>
      <c r="H47" s="223"/>
      <c r="I47" s="169"/>
      <c r="K47" s="173"/>
    </row>
    <row r="48" spans="1:11" ht="13" x14ac:dyDescent="0.3">
      <c r="A48" s="166">
        <f t="shared" si="5"/>
        <v>35</v>
      </c>
      <c r="C48" s="225">
        <v>930.2</v>
      </c>
      <c r="D48" s="273">
        <f t="shared" si="4"/>
        <v>5984741</v>
      </c>
      <c r="E48" s="226">
        <v>5984741</v>
      </c>
      <c r="F48" s="223"/>
      <c r="G48" s="223">
        <v>0</v>
      </c>
      <c r="H48" s="223"/>
      <c r="I48" s="169"/>
      <c r="J48" s="182"/>
    </row>
    <row r="49" spans="1:10" ht="13" x14ac:dyDescent="0.3">
      <c r="A49" s="166">
        <f t="shared" si="5"/>
        <v>36</v>
      </c>
      <c r="C49" s="225">
        <v>931</v>
      </c>
      <c r="D49" s="273">
        <f t="shared" si="4"/>
        <v>12016812.699999999</v>
      </c>
      <c r="E49" s="226">
        <v>12016812.699999999</v>
      </c>
      <c r="F49" s="223"/>
      <c r="G49" s="223">
        <v>0</v>
      </c>
      <c r="H49" s="223"/>
      <c r="I49" s="169"/>
      <c r="J49" s="173"/>
    </row>
    <row r="50" spans="1:10" ht="13" x14ac:dyDescent="0.3">
      <c r="A50" s="166">
        <f t="shared" si="5"/>
        <v>37</v>
      </c>
      <c r="C50" s="225">
        <v>935</v>
      </c>
      <c r="D50" s="273">
        <f t="shared" si="4"/>
        <v>811671.73</v>
      </c>
      <c r="E50" s="226">
        <v>811671.73</v>
      </c>
      <c r="F50" s="223"/>
      <c r="G50" s="223">
        <v>0</v>
      </c>
      <c r="H50" s="223"/>
      <c r="I50" s="169"/>
    </row>
    <row r="51" spans="1:10" ht="13" x14ac:dyDescent="0.3">
      <c r="A51" s="166"/>
      <c r="C51" s="225"/>
      <c r="D51" s="273"/>
      <c r="E51" s="226"/>
      <c r="F51" s="223"/>
      <c r="G51" s="223"/>
      <c r="H51" s="223"/>
      <c r="I51" s="169"/>
    </row>
    <row r="52" spans="1:10" ht="13" x14ac:dyDescent="0.3">
      <c r="A52" s="166"/>
      <c r="C52" s="225"/>
      <c r="D52" s="273"/>
      <c r="E52" s="182"/>
      <c r="F52" s="173"/>
      <c r="G52" s="173"/>
      <c r="H52" s="173"/>
      <c r="I52" s="169"/>
    </row>
    <row r="53" spans="1:10" ht="13" x14ac:dyDescent="0.3">
      <c r="B53" s="163" t="s">
        <v>571</v>
      </c>
    </row>
    <row r="54" spans="1:10" ht="13" x14ac:dyDescent="0.3">
      <c r="B54" s="163"/>
      <c r="C54" s="174" t="s">
        <v>572</v>
      </c>
      <c r="G54" s="166"/>
      <c r="H54" s="166"/>
    </row>
    <row r="55" spans="1:10" ht="13" x14ac:dyDescent="0.3">
      <c r="B55" s="163"/>
      <c r="C55" s="50" t="s">
        <v>573</v>
      </c>
      <c r="D55" s="50"/>
      <c r="E55" s="50"/>
      <c r="G55" s="166"/>
      <c r="H55" s="166"/>
    </row>
    <row r="56" spans="1:10" ht="13" x14ac:dyDescent="0.3">
      <c r="B56" s="163"/>
      <c r="G56" s="171" t="s">
        <v>96</v>
      </c>
      <c r="H56" s="171" t="s">
        <v>98</v>
      </c>
    </row>
    <row r="57" spans="1:10" ht="13" x14ac:dyDescent="0.3">
      <c r="A57" s="166"/>
      <c r="B57" s="166" t="s">
        <v>191</v>
      </c>
      <c r="F57" s="183" t="s">
        <v>574</v>
      </c>
      <c r="G57" s="226">
        <v>148050456</v>
      </c>
      <c r="H57" s="176" t="s">
        <v>304</v>
      </c>
    </row>
    <row r="58" spans="1:10" ht="13" x14ac:dyDescent="0.3">
      <c r="A58" s="166"/>
      <c r="B58" s="166" t="s">
        <v>194</v>
      </c>
      <c r="C58" s="174"/>
      <c r="F58" s="183" t="s">
        <v>575</v>
      </c>
      <c r="G58" s="177">
        <f>E62</f>
        <v>14080414.872411605</v>
      </c>
      <c r="H58" s="176" t="str">
        <f>"Note 2, "&amp;B62&amp;""</f>
        <v>Note 2, d</v>
      </c>
    </row>
    <row r="59" spans="1:10" ht="13" x14ac:dyDescent="0.3">
      <c r="A59" s="166"/>
      <c r="B59" s="166" t="s">
        <v>197</v>
      </c>
      <c r="F59" s="183" t="s">
        <v>576</v>
      </c>
      <c r="G59" s="173">
        <f>G57-G58</f>
        <v>133970041.12758839</v>
      </c>
    </row>
    <row r="60" spans="1:10" ht="13" x14ac:dyDescent="0.3">
      <c r="A60" s="166"/>
      <c r="C60" s="50" t="s">
        <v>577</v>
      </c>
      <c r="D60" s="50"/>
      <c r="E60" s="50"/>
      <c r="G60" s="173"/>
    </row>
    <row r="61" spans="1:10" ht="13" x14ac:dyDescent="0.3">
      <c r="A61" s="166"/>
      <c r="D61" s="170" t="s">
        <v>578</v>
      </c>
      <c r="E61" s="171" t="s">
        <v>96</v>
      </c>
      <c r="F61" s="171" t="s">
        <v>98</v>
      </c>
      <c r="G61" s="173"/>
    </row>
    <row r="62" spans="1:10" ht="13" x14ac:dyDescent="0.3">
      <c r="A62" s="166"/>
      <c r="B62" s="166" t="s">
        <v>199</v>
      </c>
      <c r="D62" s="164" t="s">
        <v>579</v>
      </c>
      <c r="E62" s="66">
        <v>14080414.872411605</v>
      </c>
      <c r="F62" s="176" t="s">
        <v>580</v>
      </c>
      <c r="G62" s="173"/>
    </row>
    <row r="63" spans="1:10" ht="13" x14ac:dyDescent="0.3">
      <c r="A63" s="166"/>
      <c r="B63" s="166" t="s">
        <v>203</v>
      </c>
      <c r="D63" s="174" t="s">
        <v>581</v>
      </c>
      <c r="E63" s="66">
        <v>6519087.5034648124</v>
      </c>
      <c r="F63" s="176" t="s">
        <v>580</v>
      </c>
      <c r="G63" s="173"/>
      <c r="I63" s="102"/>
    </row>
    <row r="64" spans="1:10" ht="13" x14ac:dyDescent="0.3">
      <c r="A64" s="166"/>
      <c r="B64" s="166" t="s">
        <v>206</v>
      </c>
      <c r="D64" s="174" t="s">
        <v>582</v>
      </c>
      <c r="E64" s="103">
        <v>22710657.624123573</v>
      </c>
      <c r="F64" s="176" t="s">
        <v>580</v>
      </c>
      <c r="G64" s="173"/>
      <c r="I64" s="173"/>
    </row>
    <row r="65" spans="1:7" ht="13" x14ac:dyDescent="0.3">
      <c r="A65" s="166"/>
      <c r="B65" s="166" t="s">
        <v>209</v>
      </c>
      <c r="D65" s="183" t="s">
        <v>84</v>
      </c>
      <c r="E65" s="173">
        <f>SUM(E62:E64)</f>
        <v>43310159.999999993</v>
      </c>
      <c r="F65" s="176" t="str">
        <f>"Sum of "&amp;B62&amp;" to "&amp;B64&amp;""</f>
        <v>Sum of d to f</v>
      </c>
      <c r="G65" s="173"/>
    </row>
    <row r="67" spans="1:7" ht="13" x14ac:dyDescent="0.3">
      <c r="B67" s="163" t="s">
        <v>583</v>
      </c>
    </row>
    <row r="68" spans="1:7" ht="13" x14ac:dyDescent="0.3">
      <c r="E68" s="171" t="s">
        <v>96</v>
      </c>
      <c r="F68" s="170" t="s">
        <v>584</v>
      </c>
    </row>
    <row r="69" spans="1:7" ht="13" x14ac:dyDescent="0.3">
      <c r="A69" s="166"/>
      <c r="B69" s="166" t="s">
        <v>191</v>
      </c>
      <c r="D69" s="183" t="s">
        <v>585</v>
      </c>
      <c r="E69" s="182">
        <v>6329000</v>
      </c>
      <c r="F69" s="176" t="s">
        <v>586</v>
      </c>
      <c r="G69" s="274"/>
    </row>
    <row r="70" spans="1:7" ht="13" x14ac:dyDescent="0.3">
      <c r="A70" s="166"/>
      <c r="B70" s="166" t="s">
        <v>194</v>
      </c>
      <c r="D70" s="183" t="s">
        <v>587</v>
      </c>
      <c r="E70" s="275">
        <v>18219000</v>
      </c>
      <c r="F70" s="176" t="s">
        <v>588</v>
      </c>
    </row>
    <row r="71" spans="1:7" ht="13" x14ac:dyDescent="0.3">
      <c r="A71" s="166"/>
      <c r="B71" s="166" t="s">
        <v>197</v>
      </c>
      <c r="D71" s="183" t="s">
        <v>589</v>
      </c>
      <c r="E71" s="269">
        <v>6329000</v>
      </c>
      <c r="F71" s="176" t="s">
        <v>304</v>
      </c>
    </row>
    <row r="72" spans="1:7" ht="13" x14ac:dyDescent="0.3">
      <c r="A72" s="166"/>
      <c r="B72" s="166" t="s">
        <v>199</v>
      </c>
      <c r="D72" s="183" t="s">
        <v>590</v>
      </c>
      <c r="E72" s="173">
        <f>E71-E70</f>
        <v>-11890000</v>
      </c>
      <c r="F72" s="176" t="str">
        <f>""&amp;B71&amp;" - "&amp;B70&amp;""</f>
        <v>c - b</v>
      </c>
    </row>
    <row r="73" spans="1:7" ht="13" x14ac:dyDescent="0.3">
      <c r="A73" s="166"/>
      <c r="B73" s="163" t="s">
        <v>591</v>
      </c>
      <c r="D73" s="183"/>
      <c r="E73" s="173"/>
      <c r="F73" s="176"/>
    </row>
    <row r="74" spans="1:7" ht="13" x14ac:dyDescent="0.3">
      <c r="A74" s="166"/>
      <c r="B74" s="163"/>
      <c r="C74" s="164" t="str">
        <f>"Amount in Line "&amp;A44&amp;", column 2 equals amount in Line "&amp;A13&amp;", column 1 because all Franchise Requirements Expenses are excluded"</f>
        <v>Amount in Line 31, column 2 equals amount in Line 8, column 1 because all Franchise Requirements Expenses are excluded</v>
      </c>
      <c r="D74" s="183"/>
      <c r="E74" s="173"/>
      <c r="F74" s="176"/>
    </row>
    <row r="75" spans="1:7" ht="13" x14ac:dyDescent="0.3">
      <c r="A75" s="166"/>
      <c r="B75" s="163"/>
      <c r="C75" s="174" t="s">
        <v>592</v>
      </c>
      <c r="D75" s="183"/>
      <c r="E75" s="173"/>
      <c r="F75" s="176"/>
    </row>
    <row r="77" spans="1:7" ht="13" x14ac:dyDescent="0.3">
      <c r="B77" s="163" t="s">
        <v>179</v>
      </c>
    </row>
    <row r="78" spans="1:7" x14ac:dyDescent="0.25">
      <c r="C78" s="174" t="str">
        <f>"1) Enter amounts of A&amp;G expenses from FERC Form 1 in Lines "&amp;A6&amp;" to "&amp;A19&amp;"."</f>
        <v>1) Enter amounts of A&amp;G expenses from FERC Form 1 in Lines 1 to 14.</v>
      </c>
    </row>
    <row r="79" spans="1:7" x14ac:dyDescent="0.25">
      <c r="C79" s="174" t="s">
        <v>593</v>
      </c>
      <c r="G79" s="164" t="str">
        <f>"Column 3, Line "&amp;A37&amp;""</f>
        <v>Column 3, Line 24</v>
      </c>
    </row>
    <row r="80" spans="1:7" x14ac:dyDescent="0.25">
      <c r="C80" s="176" t="str">
        <f>"is calculated in Note 2.  The PBOPs exclusion in Column 4, Line "&amp;A43&amp;" is calculated in Note 3."</f>
        <v>is calculated in Note 2.  The PBOPs exclusion in Column 4, Line 30 is calculated in Note 3.</v>
      </c>
      <c r="G80" s="174"/>
    </row>
    <row r="81" spans="3:7" x14ac:dyDescent="0.25">
      <c r="C81" s="176" t="s">
        <v>594</v>
      </c>
    </row>
    <row r="82" spans="3:7" x14ac:dyDescent="0.25">
      <c r="C82" s="176" t="s">
        <v>595</v>
      </c>
      <c r="D82" s="183"/>
      <c r="E82" s="173"/>
      <c r="F82" s="176"/>
    </row>
    <row r="83" spans="3:7" x14ac:dyDescent="0.25">
      <c r="C83" s="176" t="s">
        <v>596</v>
      </c>
      <c r="D83" s="183"/>
      <c r="E83" s="173"/>
      <c r="F83" s="176"/>
    </row>
    <row r="84" spans="3:7" x14ac:dyDescent="0.25">
      <c r="C84" s="176" t="s">
        <v>597</v>
      </c>
    </row>
    <row r="85" spans="3:7" x14ac:dyDescent="0.25">
      <c r="C85" s="176" t="s">
        <v>598</v>
      </c>
    </row>
    <row r="86" spans="3:7" x14ac:dyDescent="0.25">
      <c r="C86" s="176" t="s">
        <v>599</v>
      </c>
    </row>
    <row r="87" spans="3:7" x14ac:dyDescent="0.25">
      <c r="C87" s="176" t="s">
        <v>600</v>
      </c>
    </row>
    <row r="88" spans="3:7" x14ac:dyDescent="0.25">
      <c r="C88" s="176" t="s">
        <v>601</v>
      </c>
    </row>
    <row r="89" spans="3:7" x14ac:dyDescent="0.25">
      <c r="C89" s="176" t="s">
        <v>602</v>
      </c>
      <c r="D89" s="174"/>
      <c r="E89" s="276"/>
      <c r="F89" s="276"/>
      <c r="G89" s="276"/>
    </row>
    <row r="90" spans="3:7" x14ac:dyDescent="0.25">
      <c r="C90" s="277" t="s">
        <v>603</v>
      </c>
      <c r="D90" s="174"/>
      <c r="E90" s="276"/>
      <c r="F90" s="276"/>
      <c r="G90" s="276"/>
    </row>
    <row r="91" spans="3:7" x14ac:dyDescent="0.25">
      <c r="C91" s="277" t="s">
        <v>604</v>
      </c>
      <c r="D91" s="174"/>
      <c r="E91" s="276"/>
      <c r="F91" s="276"/>
      <c r="G91" s="276"/>
    </row>
    <row r="92" spans="3:7" x14ac:dyDescent="0.25">
      <c r="C92" s="277" t="s">
        <v>605</v>
      </c>
      <c r="D92" s="174"/>
      <c r="E92" s="276"/>
      <c r="F92" s="276"/>
      <c r="G92" s="276"/>
    </row>
    <row r="93" spans="3:7" x14ac:dyDescent="0.25">
      <c r="C93" s="176" t="s">
        <v>606</v>
      </c>
      <c r="D93" s="174"/>
      <c r="E93" s="276"/>
      <c r="F93" s="276"/>
      <c r="G93" s="276"/>
    </row>
    <row r="94" spans="3:7" x14ac:dyDescent="0.25">
      <c r="C94" s="277" t="s">
        <v>607</v>
      </c>
      <c r="D94" s="174"/>
      <c r="E94" s="276"/>
      <c r="F94" s="276"/>
      <c r="G94" s="276"/>
    </row>
    <row r="95" spans="3:7" x14ac:dyDescent="0.25">
      <c r="C95" s="277" t="s">
        <v>608</v>
      </c>
      <c r="D95" s="174"/>
      <c r="E95" s="276"/>
      <c r="F95" s="276"/>
      <c r="G95" s="276"/>
    </row>
    <row r="96" spans="3:7" x14ac:dyDescent="0.25">
      <c r="C96" s="277" t="s">
        <v>609</v>
      </c>
      <c r="D96" s="174"/>
      <c r="E96" s="276"/>
      <c r="F96" s="276"/>
      <c r="G96" s="276"/>
    </row>
    <row r="97" spans="3:10" x14ac:dyDescent="0.25">
      <c r="C97" s="277" t="s">
        <v>610</v>
      </c>
      <c r="D97" s="174"/>
      <c r="E97" s="276"/>
      <c r="F97" s="276"/>
      <c r="G97" s="276"/>
    </row>
    <row r="98" spans="3:10" ht="13" x14ac:dyDescent="0.3">
      <c r="C98" s="104" t="s">
        <v>611</v>
      </c>
      <c r="D98" s="50"/>
      <c r="E98" s="50"/>
      <c r="F98" s="50"/>
      <c r="G98" s="50"/>
      <c r="H98" s="50"/>
      <c r="I98" s="50"/>
      <c r="J98" s="50"/>
    </row>
    <row r="99" spans="3:10" x14ac:dyDescent="0.25">
      <c r="C99" s="174" t="s">
        <v>612</v>
      </c>
    </row>
    <row r="100" spans="3:10" x14ac:dyDescent="0.25">
      <c r="C100" s="104" t="s">
        <v>613</v>
      </c>
      <c r="D100" s="50"/>
      <c r="E100" s="50"/>
      <c r="F100" s="50"/>
      <c r="G100" s="50"/>
      <c r="H100" s="50"/>
      <c r="I100" s="50"/>
    </row>
    <row r="101" spans="3:10" x14ac:dyDescent="0.25">
      <c r="C101" s="174" t="str">
        <f>"4) Determine the PBOPs exclusion.  The authorized amount of PBOPs expense (line "&amp;B69&amp;") may only be revised"</f>
        <v>4) Determine the PBOPs exclusion.  The authorized amount of PBOPs expense (line a) may only be revised</v>
      </c>
    </row>
    <row r="102" spans="3:10" x14ac:dyDescent="0.25">
      <c r="C102" s="174" t="s">
        <v>614</v>
      </c>
    </row>
    <row r="103" spans="3:10" x14ac:dyDescent="0.25">
      <c r="C103" s="174" t="s">
        <v>615</v>
      </c>
    </row>
    <row r="104" spans="3:10" x14ac:dyDescent="0.25">
      <c r="C104" s="174" t="s">
        <v>616</v>
      </c>
      <c r="I104" s="194" t="s">
        <v>617</v>
      </c>
      <c r="J104" s="194"/>
    </row>
    <row r="105" spans="3:10" x14ac:dyDescent="0.25">
      <c r="C105" s="174" t="s">
        <v>618</v>
      </c>
    </row>
  </sheetData>
  <pageMargins left="0.75" right="0.75" top="1" bottom="1" header="0.5" footer="0.5"/>
  <pageSetup scale="70" orientation="landscape" cellComments="asDisplayed" r:id="rId1"/>
  <headerFooter alignWithMargins="0">
    <oddHeader xml:space="preserve">&amp;CSchedule 20
Administrative and General Expenses
(2019 Wildfire Adj)&amp;RTO2021 Draft Annual Update
Attachment 4
WP-Schedule 3-One Time Adjustment Transition
Page &amp;P of &amp;N
</oddHeader>
    <oddFooter>&amp;R&amp;A</oddFooter>
  </headerFooter>
  <rowBreaks count="2" manualBreakCount="2">
    <brk id="51" max="9" man="1"/>
    <brk id="76" max="16383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89931-F329-4685-8463-FC35D4ED9E2D}">
  <sheetPr>
    <tabColor rgb="FFCCECFF"/>
  </sheetPr>
  <dimension ref="A1:N40"/>
  <sheetViews>
    <sheetView zoomScaleNormal="100" workbookViewId="0"/>
  </sheetViews>
  <sheetFormatPr defaultRowHeight="12.5" x14ac:dyDescent="0.25"/>
  <cols>
    <col min="1" max="1" width="4.54296875" style="164" customWidth="1"/>
    <col min="2" max="2" width="1.54296875" style="164" customWidth="1"/>
    <col min="3" max="3" width="46" style="164" customWidth="1"/>
    <col min="4" max="4" width="1.54296875" style="164" customWidth="1"/>
    <col min="5" max="5" width="34" style="164" customWidth="1"/>
    <col min="6" max="6" width="1.54296875" style="164" customWidth="1"/>
    <col min="7" max="7" width="16.54296875" style="164" customWidth="1"/>
    <col min="8" max="8" width="1.54296875" style="164" customWidth="1"/>
    <col min="9" max="9" width="16.54296875" style="164" customWidth="1"/>
    <col min="10" max="10" width="1.54296875" style="164" customWidth="1"/>
    <col min="11" max="11" width="16.54296875" style="164" customWidth="1"/>
    <col min="12" max="12" width="2.54296875" style="164" customWidth="1"/>
    <col min="13" max="13" width="35.453125" style="164" bestFit="1" customWidth="1"/>
    <col min="14" max="14" width="20.453125" style="164" customWidth="1"/>
    <col min="15" max="256" width="8.7265625" style="164"/>
    <col min="257" max="257" width="4.54296875" style="164" customWidth="1"/>
    <col min="258" max="258" width="1.54296875" style="164" customWidth="1"/>
    <col min="259" max="259" width="46" style="164" customWidth="1"/>
    <col min="260" max="260" width="1.54296875" style="164" customWidth="1"/>
    <col min="261" max="261" width="34" style="164" customWidth="1"/>
    <col min="262" max="262" width="1.54296875" style="164" customWidth="1"/>
    <col min="263" max="263" width="16" style="164" customWidth="1"/>
    <col min="264" max="264" width="1.54296875" style="164" customWidth="1"/>
    <col min="265" max="265" width="14" style="164" customWidth="1"/>
    <col min="266" max="266" width="1.54296875" style="164" customWidth="1"/>
    <col min="267" max="267" width="11.54296875" style="164" customWidth="1"/>
    <col min="268" max="268" width="2.54296875" style="164" customWidth="1"/>
    <col min="269" max="269" width="35.453125" style="164" bestFit="1" customWidth="1"/>
    <col min="270" max="270" width="20.453125" style="164" customWidth="1"/>
    <col min="271" max="512" width="8.7265625" style="164"/>
    <col min="513" max="513" width="4.54296875" style="164" customWidth="1"/>
    <col min="514" max="514" width="1.54296875" style="164" customWidth="1"/>
    <col min="515" max="515" width="46" style="164" customWidth="1"/>
    <col min="516" max="516" width="1.54296875" style="164" customWidth="1"/>
    <col min="517" max="517" width="34" style="164" customWidth="1"/>
    <col min="518" max="518" width="1.54296875" style="164" customWidth="1"/>
    <col min="519" max="519" width="16" style="164" customWidth="1"/>
    <col min="520" max="520" width="1.54296875" style="164" customWidth="1"/>
    <col min="521" max="521" width="14" style="164" customWidth="1"/>
    <col min="522" max="522" width="1.54296875" style="164" customWidth="1"/>
    <col min="523" max="523" width="11.54296875" style="164" customWidth="1"/>
    <col min="524" max="524" width="2.54296875" style="164" customWidth="1"/>
    <col min="525" max="525" width="35.453125" style="164" bestFit="1" customWidth="1"/>
    <col min="526" max="526" width="20.453125" style="164" customWidth="1"/>
    <col min="527" max="768" width="8.7265625" style="164"/>
    <col min="769" max="769" width="4.54296875" style="164" customWidth="1"/>
    <col min="770" max="770" width="1.54296875" style="164" customWidth="1"/>
    <col min="771" max="771" width="46" style="164" customWidth="1"/>
    <col min="772" max="772" width="1.54296875" style="164" customWidth="1"/>
    <col min="773" max="773" width="34" style="164" customWidth="1"/>
    <col min="774" max="774" width="1.54296875" style="164" customWidth="1"/>
    <col min="775" max="775" width="16" style="164" customWidth="1"/>
    <col min="776" max="776" width="1.54296875" style="164" customWidth="1"/>
    <col min="777" max="777" width="14" style="164" customWidth="1"/>
    <col min="778" max="778" width="1.54296875" style="164" customWidth="1"/>
    <col min="779" max="779" width="11.54296875" style="164" customWidth="1"/>
    <col min="780" max="780" width="2.54296875" style="164" customWidth="1"/>
    <col min="781" max="781" width="35.453125" style="164" bestFit="1" customWidth="1"/>
    <col min="782" max="782" width="20.453125" style="164" customWidth="1"/>
    <col min="783" max="1024" width="8.7265625" style="164"/>
    <col min="1025" max="1025" width="4.54296875" style="164" customWidth="1"/>
    <col min="1026" max="1026" width="1.54296875" style="164" customWidth="1"/>
    <col min="1027" max="1027" width="46" style="164" customWidth="1"/>
    <col min="1028" max="1028" width="1.54296875" style="164" customWidth="1"/>
    <col min="1029" max="1029" width="34" style="164" customWidth="1"/>
    <col min="1030" max="1030" width="1.54296875" style="164" customWidth="1"/>
    <col min="1031" max="1031" width="16" style="164" customWidth="1"/>
    <col min="1032" max="1032" width="1.54296875" style="164" customWidth="1"/>
    <col min="1033" max="1033" width="14" style="164" customWidth="1"/>
    <col min="1034" max="1034" width="1.54296875" style="164" customWidth="1"/>
    <col min="1035" max="1035" width="11.54296875" style="164" customWidth="1"/>
    <col min="1036" max="1036" width="2.54296875" style="164" customWidth="1"/>
    <col min="1037" max="1037" width="35.453125" style="164" bestFit="1" customWidth="1"/>
    <col min="1038" max="1038" width="20.453125" style="164" customWidth="1"/>
    <col min="1039" max="1280" width="8.7265625" style="164"/>
    <col min="1281" max="1281" width="4.54296875" style="164" customWidth="1"/>
    <col min="1282" max="1282" width="1.54296875" style="164" customWidth="1"/>
    <col min="1283" max="1283" width="46" style="164" customWidth="1"/>
    <col min="1284" max="1284" width="1.54296875" style="164" customWidth="1"/>
    <col min="1285" max="1285" width="34" style="164" customWidth="1"/>
    <col min="1286" max="1286" width="1.54296875" style="164" customWidth="1"/>
    <col min="1287" max="1287" width="16" style="164" customWidth="1"/>
    <col min="1288" max="1288" width="1.54296875" style="164" customWidth="1"/>
    <col min="1289" max="1289" width="14" style="164" customWidth="1"/>
    <col min="1290" max="1290" width="1.54296875" style="164" customWidth="1"/>
    <col min="1291" max="1291" width="11.54296875" style="164" customWidth="1"/>
    <col min="1292" max="1292" width="2.54296875" style="164" customWidth="1"/>
    <col min="1293" max="1293" width="35.453125" style="164" bestFit="1" customWidth="1"/>
    <col min="1294" max="1294" width="20.453125" style="164" customWidth="1"/>
    <col min="1295" max="1536" width="8.7265625" style="164"/>
    <col min="1537" max="1537" width="4.54296875" style="164" customWidth="1"/>
    <col min="1538" max="1538" width="1.54296875" style="164" customWidth="1"/>
    <col min="1539" max="1539" width="46" style="164" customWidth="1"/>
    <col min="1540" max="1540" width="1.54296875" style="164" customWidth="1"/>
    <col min="1541" max="1541" width="34" style="164" customWidth="1"/>
    <col min="1542" max="1542" width="1.54296875" style="164" customWidth="1"/>
    <col min="1543" max="1543" width="16" style="164" customWidth="1"/>
    <col min="1544" max="1544" width="1.54296875" style="164" customWidth="1"/>
    <col min="1545" max="1545" width="14" style="164" customWidth="1"/>
    <col min="1546" max="1546" width="1.54296875" style="164" customWidth="1"/>
    <col min="1547" max="1547" width="11.54296875" style="164" customWidth="1"/>
    <col min="1548" max="1548" width="2.54296875" style="164" customWidth="1"/>
    <col min="1549" max="1549" width="35.453125" style="164" bestFit="1" customWidth="1"/>
    <col min="1550" max="1550" width="20.453125" style="164" customWidth="1"/>
    <col min="1551" max="1792" width="8.7265625" style="164"/>
    <col min="1793" max="1793" width="4.54296875" style="164" customWidth="1"/>
    <col min="1794" max="1794" width="1.54296875" style="164" customWidth="1"/>
    <col min="1795" max="1795" width="46" style="164" customWidth="1"/>
    <col min="1796" max="1796" width="1.54296875" style="164" customWidth="1"/>
    <col min="1797" max="1797" width="34" style="164" customWidth="1"/>
    <col min="1798" max="1798" width="1.54296875" style="164" customWidth="1"/>
    <col min="1799" max="1799" width="16" style="164" customWidth="1"/>
    <col min="1800" max="1800" width="1.54296875" style="164" customWidth="1"/>
    <col min="1801" max="1801" width="14" style="164" customWidth="1"/>
    <col min="1802" max="1802" width="1.54296875" style="164" customWidth="1"/>
    <col min="1803" max="1803" width="11.54296875" style="164" customWidth="1"/>
    <col min="1804" max="1804" width="2.54296875" style="164" customWidth="1"/>
    <col min="1805" max="1805" width="35.453125" style="164" bestFit="1" customWidth="1"/>
    <col min="1806" max="1806" width="20.453125" style="164" customWidth="1"/>
    <col min="1807" max="2048" width="8.7265625" style="164"/>
    <col min="2049" max="2049" width="4.54296875" style="164" customWidth="1"/>
    <col min="2050" max="2050" width="1.54296875" style="164" customWidth="1"/>
    <col min="2051" max="2051" width="46" style="164" customWidth="1"/>
    <col min="2052" max="2052" width="1.54296875" style="164" customWidth="1"/>
    <col min="2053" max="2053" width="34" style="164" customWidth="1"/>
    <col min="2054" max="2054" width="1.54296875" style="164" customWidth="1"/>
    <col min="2055" max="2055" width="16" style="164" customWidth="1"/>
    <col min="2056" max="2056" width="1.54296875" style="164" customWidth="1"/>
    <col min="2057" max="2057" width="14" style="164" customWidth="1"/>
    <col min="2058" max="2058" width="1.54296875" style="164" customWidth="1"/>
    <col min="2059" max="2059" width="11.54296875" style="164" customWidth="1"/>
    <col min="2060" max="2060" width="2.54296875" style="164" customWidth="1"/>
    <col min="2061" max="2061" width="35.453125" style="164" bestFit="1" customWidth="1"/>
    <col min="2062" max="2062" width="20.453125" style="164" customWidth="1"/>
    <col min="2063" max="2304" width="8.7265625" style="164"/>
    <col min="2305" max="2305" width="4.54296875" style="164" customWidth="1"/>
    <col min="2306" max="2306" width="1.54296875" style="164" customWidth="1"/>
    <col min="2307" max="2307" width="46" style="164" customWidth="1"/>
    <col min="2308" max="2308" width="1.54296875" style="164" customWidth="1"/>
    <col min="2309" max="2309" width="34" style="164" customWidth="1"/>
    <col min="2310" max="2310" width="1.54296875" style="164" customWidth="1"/>
    <col min="2311" max="2311" width="16" style="164" customWidth="1"/>
    <col min="2312" max="2312" width="1.54296875" style="164" customWidth="1"/>
    <col min="2313" max="2313" width="14" style="164" customWidth="1"/>
    <col min="2314" max="2314" width="1.54296875" style="164" customWidth="1"/>
    <col min="2315" max="2315" width="11.54296875" style="164" customWidth="1"/>
    <col min="2316" max="2316" width="2.54296875" style="164" customWidth="1"/>
    <col min="2317" max="2317" width="35.453125" style="164" bestFit="1" customWidth="1"/>
    <col min="2318" max="2318" width="20.453125" style="164" customWidth="1"/>
    <col min="2319" max="2560" width="8.7265625" style="164"/>
    <col min="2561" max="2561" width="4.54296875" style="164" customWidth="1"/>
    <col min="2562" max="2562" width="1.54296875" style="164" customWidth="1"/>
    <col min="2563" max="2563" width="46" style="164" customWidth="1"/>
    <col min="2564" max="2564" width="1.54296875" style="164" customWidth="1"/>
    <col min="2565" max="2565" width="34" style="164" customWidth="1"/>
    <col min="2566" max="2566" width="1.54296875" style="164" customWidth="1"/>
    <col min="2567" max="2567" width="16" style="164" customWidth="1"/>
    <col min="2568" max="2568" width="1.54296875" style="164" customWidth="1"/>
    <col min="2569" max="2569" width="14" style="164" customWidth="1"/>
    <col min="2570" max="2570" width="1.54296875" style="164" customWidth="1"/>
    <col min="2571" max="2571" width="11.54296875" style="164" customWidth="1"/>
    <col min="2572" max="2572" width="2.54296875" style="164" customWidth="1"/>
    <col min="2573" max="2573" width="35.453125" style="164" bestFit="1" customWidth="1"/>
    <col min="2574" max="2574" width="20.453125" style="164" customWidth="1"/>
    <col min="2575" max="2816" width="8.7265625" style="164"/>
    <col min="2817" max="2817" width="4.54296875" style="164" customWidth="1"/>
    <col min="2818" max="2818" width="1.54296875" style="164" customWidth="1"/>
    <col min="2819" max="2819" width="46" style="164" customWidth="1"/>
    <col min="2820" max="2820" width="1.54296875" style="164" customWidth="1"/>
    <col min="2821" max="2821" width="34" style="164" customWidth="1"/>
    <col min="2822" max="2822" width="1.54296875" style="164" customWidth="1"/>
    <col min="2823" max="2823" width="16" style="164" customWidth="1"/>
    <col min="2824" max="2824" width="1.54296875" style="164" customWidth="1"/>
    <col min="2825" max="2825" width="14" style="164" customWidth="1"/>
    <col min="2826" max="2826" width="1.54296875" style="164" customWidth="1"/>
    <col min="2827" max="2827" width="11.54296875" style="164" customWidth="1"/>
    <col min="2828" max="2828" width="2.54296875" style="164" customWidth="1"/>
    <col min="2829" max="2829" width="35.453125" style="164" bestFit="1" customWidth="1"/>
    <col min="2830" max="2830" width="20.453125" style="164" customWidth="1"/>
    <col min="2831" max="3072" width="8.7265625" style="164"/>
    <col min="3073" max="3073" width="4.54296875" style="164" customWidth="1"/>
    <col min="3074" max="3074" width="1.54296875" style="164" customWidth="1"/>
    <col min="3075" max="3075" width="46" style="164" customWidth="1"/>
    <col min="3076" max="3076" width="1.54296875" style="164" customWidth="1"/>
    <col min="3077" max="3077" width="34" style="164" customWidth="1"/>
    <col min="3078" max="3078" width="1.54296875" style="164" customWidth="1"/>
    <col min="3079" max="3079" width="16" style="164" customWidth="1"/>
    <col min="3080" max="3080" width="1.54296875" style="164" customWidth="1"/>
    <col min="3081" max="3081" width="14" style="164" customWidth="1"/>
    <col min="3082" max="3082" width="1.54296875" style="164" customWidth="1"/>
    <col min="3083" max="3083" width="11.54296875" style="164" customWidth="1"/>
    <col min="3084" max="3084" width="2.54296875" style="164" customWidth="1"/>
    <col min="3085" max="3085" width="35.453125" style="164" bestFit="1" customWidth="1"/>
    <col min="3086" max="3086" width="20.453125" style="164" customWidth="1"/>
    <col min="3087" max="3328" width="8.7265625" style="164"/>
    <col min="3329" max="3329" width="4.54296875" style="164" customWidth="1"/>
    <col min="3330" max="3330" width="1.54296875" style="164" customWidth="1"/>
    <col min="3331" max="3331" width="46" style="164" customWidth="1"/>
    <col min="3332" max="3332" width="1.54296875" style="164" customWidth="1"/>
    <col min="3333" max="3333" width="34" style="164" customWidth="1"/>
    <col min="3334" max="3334" width="1.54296875" style="164" customWidth="1"/>
    <col min="3335" max="3335" width="16" style="164" customWidth="1"/>
    <col min="3336" max="3336" width="1.54296875" style="164" customWidth="1"/>
    <col min="3337" max="3337" width="14" style="164" customWidth="1"/>
    <col min="3338" max="3338" width="1.54296875" style="164" customWidth="1"/>
    <col min="3339" max="3339" width="11.54296875" style="164" customWidth="1"/>
    <col min="3340" max="3340" width="2.54296875" style="164" customWidth="1"/>
    <col min="3341" max="3341" width="35.453125" style="164" bestFit="1" customWidth="1"/>
    <col min="3342" max="3342" width="20.453125" style="164" customWidth="1"/>
    <col min="3343" max="3584" width="8.7265625" style="164"/>
    <col min="3585" max="3585" width="4.54296875" style="164" customWidth="1"/>
    <col min="3586" max="3586" width="1.54296875" style="164" customWidth="1"/>
    <col min="3587" max="3587" width="46" style="164" customWidth="1"/>
    <col min="3588" max="3588" width="1.54296875" style="164" customWidth="1"/>
    <col min="3589" max="3589" width="34" style="164" customWidth="1"/>
    <col min="3590" max="3590" width="1.54296875" style="164" customWidth="1"/>
    <col min="3591" max="3591" width="16" style="164" customWidth="1"/>
    <col min="3592" max="3592" width="1.54296875" style="164" customWidth="1"/>
    <col min="3593" max="3593" width="14" style="164" customWidth="1"/>
    <col min="3594" max="3594" width="1.54296875" style="164" customWidth="1"/>
    <col min="3595" max="3595" width="11.54296875" style="164" customWidth="1"/>
    <col min="3596" max="3596" width="2.54296875" style="164" customWidth="1"/>
    <col min="3597" max="3597" width="35.453125" style="164" bestFit="1" customWidth="1"/>
    <col min="3598" max="3598" width="20.453125" style="164" customWidth="1"/>
    <col min="3599" max="3840" width="8.7265625" style="164"/>
    <col min="3841" max="3841" width="4.54296875" style="164" customWidth="1"/>
    <col min="3842" max="3842" width="1.54296875" style="164" customWidth="1"/>
    <col min="3843" max="3843" width="46" style="164" customWidth="1"/>
    <col min="3844" max="3844" width="1.54296875" style="164" customWidth="1"/>
    <col min="3845" max="3845" width="34" style="164" customWidth="1"/>
    <col min="3846" max="3846" width="1.54296875" style="164" customWidth="1"/>
    <col min="3847" max="3847" width="16" style="164" customWidth="1"/>
    <col min="3848" max="3848" width="1.54296875" style="164" customWidth="1"/>
    <col min="3849" max="3849" width="14" style="164" customWidth="1"/>
    <col min="3850" max="3850" width="1.54296875" style="164" customWidth="1"/>
    <col min="3851" max="3851" width="11.54296875" style="164" customWidth="1"/>
    <col min="3852" max="3852" width="2.54296875" style="164" customWidth="1"/>
    <col min="3853" max="3853" width="35.453125" style="164" bestFit="1" customWidth="1"/>
    <col min="3854" max="3854" width="20.453125" style="164" customWidth="1"/>
    <col min="3855" max="4096" width="8.7265625" style="164"/>
    <col min="4097" max="4097" width="4.54296875" style="164" customWidth="1"/>
    <col min="4098" max="4098" width="1.54296875" style="164" customWidth="1"/>
    <col min="4099" max="4099" width="46" style="164" customWidth="1"/>
    <col min="4100" max="4100" width="1.54296875" style="164" customWidth="1"/>
    <col min="4101" max="4101" width="34" style="164" customWidth="1"/>
    <col min="4102" max="4102" width="1.54296875" style="164" customWidth="1"/>
    <col min="4103" max="4103" width="16" style="164" customWidth="1"/>
    <col min="4104" max="4104" width="1.54296875" style="164" customWidth="1"/>
    <col min="4105" max="4105" width="14" style="164" customWidth="1"/>
    <col min="4106" max="4106" width="1.54296875" style="164" customWidth="1"/>
    <col min="4107" max="4107" width="11.54296875" style="164" customWidth="1"/>
    <col min="4108" max="4108" width="2.54296875" style="164" customWidth="1"/>
    <col min="4109" max="4109" width="35.453125" style="164" bestFit="1" customWidth="1"/>
    <col min="4110" max="4110" width="20.453125" style="164" customWidth="1"/>
    <col min="4111" max="4352" width="8.7265625" style="164"/>
    <col min="4353" max="4353" width="4.54296875" style="164" customWidth="1"/>
    <col min="4354" max="4354" width="1.54296875" style="164" customWidth="1"/>
    <col min="4355" max="4355" width="46" style="164" customWidth="1"/>
    <col min="4356" max="4356" width="1.54296875" style="164" customWidth="1"/>
    <col min="4357" max="4357" width="34" style="164" customWidth="1"/>
    <col min="4358" max="4358" width="1.54296875" style="164" customWidth="1"/>
    <col min="4359" max="4359" width="16" style="164" customWidth="1"/>
    <col min="4360" max="4360" width="1.54296875" style="164" customWidth="1"/>
    <col min="4361" max="4361" width="14" style="164" customWidth="1"/>
    <col min="4362" max="4362" width="1.54296875" style="164" customWidth="1"/>
    <col min="4363" max="4363" width="11.54296875" style="164" customWidth="1"/>
    <col min="4364" max="4364" width="2.54296875" style="164" customWidth="1"/>
    <col min="4365" max="4365" width="35.453125" style="164" bestFit="1" customWidth="1"/>
    <col min="4366" max="4366" width="20.453125" style="164" customWidth="1"/>
    <col min="4367" max="4608" width="8.7265625" style="164"/>
    <col min="4609" max="4609" width="4.54296875" style="164" customWidth="1"/>
    <col min="4610" max="4610" width="1.54296875" style="164" customWidth="1"/>
    <col min="4611" max="4611" width="46" style="164" customWidth="1"/>
    <col min="4612" max="4612" width="1.54296875" style="164" customWidth="1"/>
    <col min="4613" max="4613" width="34" style="164" customWidth="1"/>
    <col min="4614" max="4614" width="1.54296875" style="164" customWidth="1"/>
    <col min="4615" max="4615" width="16" style="164" customWidth="1"/>
    <col min="4616" max="4616" width="1.54296875" style="164" customWidth="1"/>
    <col min="4617" max="4617" width="14" style="164" customWidth="1"/>
    <col min="4618" max="4618" width="1.54296875" style="164" customWidth="1"/>
    <col min="4619" max="4619" width="11.54296875" style="164" customWidth="1"/>
    <col min="4620" max="4620" width="2.54296875" style="164" customWidth="1"/>
    <col min="4621" max="4621" width="35.453125" style="164" bestFit="1" customWidth="1"/>
    <col min="4622" max="4622" width="20.453125" style="164" customWidth="1"/>
    <col min="4623" max="4864" width="8.7265625" style="164"/>
    <col min="4865" max="4865" width="4.54296875" style="164" customWidth="1"/>
    <col min="4866" max="4866" width="1.54296875" style="164" customWidth="1"/>
    <col min="4867" max="4867" width="46" style="164" customWidth="1"/>
    <col min="4868" max="4868" width="1.54296875" style="164" customWidth="1"/>
    <col min="4869" max="4869" width="34" style="164" customWidth="1"/>
    <col min="4870" max="4870" width="1.54296875" style="164" customWidth="1"/>
    <col min="4871" max="4871" width="16" style="164" customWidth="1"/>
    <col min="4872" max="4872" width="1.54296875" style="164" customWidth="1"/>
    <col min="4873" max="4873" width="14" style="164" customWidth="1"/>
    <col min="4874" max="4874" width="1.54296875" style="164" customWidth="1"/>
    <col min="4875" max="4875" width="11.54296875" style="164" customWidth="1"/>
    <col min="4876" max="4876" width="2.54296875" style="164" customWidth="1"/>
    <col min="4877" max="4877" width="35.453125" style="164" bestFit="1" customWidth="1"/>
    <col min="4878" max="4878" width="20.453125" style="164" customWidth="1"/>
    <col min="4879" max="5120" width="8.7265625" style="164"/>
    <col min="5121" max="5121" width="4.54296875" style="164" customWidth="1"/>
    <col min="5122" max="5122" width="1.54296875" style="164" customWidth="1"/>
    <col min="5123" max="5123" width="46" style="164" customWidth="1"/>
    <col min="5124" max="5124" width="1.54296875" style="164" customWidth="1"/>
    <col min="5125" max="5125" width="34" style="164" customWidth="1"/>
    <col min="5126" max="5126" width="1.54296875" style="164" customWidth="1"/>
    <col min="5127" max="5127" width="16" style="164" customWidth="1"/>
    <col min="5128" max="5128" width="1.54296875" style="164" customWidth="1"/>
    <col min="5129" max="5129" width="14" style="164" customWidth="1"/>
    <col min="5130" max="5130" width="1.54296875" style="164" customWidth="1"/>
    <col min="5131" max="5131" width="11.54296875" style="164" customWidth="1"/>
    <col min="5132" max="5132" width="2.54296875" style="164" customWidth="1"/>
    <col min="5133" max="5133" width="35.453125" style="164" bestFit="1" customWidth="1"/>
    <col min="5134" max="5134" width="20.453125" style="164" customWidth="1"/>
    <col min="5135" max="5376" width="8.7265625" style="164"/>
    <col min="5377" max="5377" width="4.54296875" style="164" customWidth="1"/>
    <col min="5378" max="5378" width="1.54296875" style="164" customWidth="1"/>
    <col min="5379" max="5379" width="46" style="164" customWidth="1"/>
    <col min="5380" max="5380" width="1.54296875" style="164" customWidth="1"/>
    <col min="5381" max="5381" width="34" style="164" customWidth="1"/>
    <col min="5382" max="5382" width="1.54296875" style="164" customWidth="1"/>
    <col min="5383" max="5383" width="16" style="164" customWidth="1"/>
    <col min="5384" max="5384" width="1.54296875" style="164" customWidth="1"/>
    <col min="5385" max="5385" width="14" style="164" customWidth="1"/>
    <col min="5386" max="5386" width="1.54296875" style="164" customWidth="1"/>
    <col min="5387" max="5387" width="11.54296875" style="164" customWidth="1"/>
    <col min="5388" max="5388" width="2.54296875" style="164" customWidth="1"/>
    <col min="5389" max="5389" width="35.453125" style="164" bestFit="1" customWidth="1"/>
    <col min="5390" max="5390" width="20.453125" style="164" customWidth="1"/>
    <col min="5391" max="5632" width="8.7265625" style="164"/>
    <col min="5633" max="5633" width="4.54296875" style="164" customWidth="1"/>
    <col min="5634" max="5634" width="1.54296875" style="164" customWidth="1"/>
    <col min="5635" max="5635" width="46" style="164" customWidth="1"/>
    <col min="5636" max="5636" width="1.54296875" style="164" customWidth="1"/>
    <col min="5637" max="5637" width="34" style="164" customWidth="1"/>
    <col min="5638" max="5638" width="1.54296875" style="164" customWidth="1"/>
    <col min="5639" max="5639" width="16" style="164" customWidth="1"/>
    <col min="5640" max="5640" width="1.54296875" style="164" customWidth="1"/>
    <col min="5641" max="5641" width="14" style="164" customWidth="1"/>
    <col min="5642" max="5642" width="1.54296875" style="164" customWidth="1"/>
    <col min="5643" max="5643" width="11.54296875" style="164" customWidth="1"/>
    <col min="5644" max="5644" width="2.54296875" style="164" customWidth="1"/>
    <col min="5645" max="5645" width="35.453125" style="164" bestFit="1" customWidth="1"/>
    <col min="5646" max="5646" width="20.453125" style="164" customWidth="1"/>
    <col min="5647" max="5888" width="8.7265625" style="164"/>
    <col min="5889" max="5889" width="4.54296875" style="164" customWidth="1"/>
    <col min="5890" max="5890" width="1.54296875" style="164" customWidth="1"/>
    <col min="5891" max="5891" width="46" style="164" customWidth="1"/>
    <col min="5892" max="5892" width="1.54296875" style="164" customWidth="1"/>
    <col min="5893" max="5893" width="34" style="164" customWidth="1"/>
    <col min="5894" max="5894" width="1.54296875" style="164" customWidth="1"/>
    <col min="5895" max="5895" width="16" style="164" customWidth="1"/>
    <col min="5896" max="5896" width="1.54296875" style="164" customWidth="1"/>
    <col min="5897" max="5897" width="14" style="164" customWidth="1"/>
    <col min="5898" max="5898" width="1.54296875" style="164" customWidth="1"/>
    <col min="5899" max="5899" width="11.54296875" style="164" customWidth="1"/>
    <col min="5900" max="5900" width="2.54296875" style="164" customWidth="1"/>
    <col min="5901" max="5901" width="35.453125" style="164" bestFit="1" customWidth="1"/>
    <col min="5902" max="5902" width="20.453125" style="164" customWidth="1"/>
    <col min="5903" max="6144" width="8.7265625" style="164"/>
    <col min="6145" max="6145" width="4.54296875" style="164" customWidth="1"/>
    <col min="6146" max="6146" width="1.54296875" style="164" customWidth="1"/>
    <col min="6147" max="6147" width="46" style="164" customWidth="1"/>
    <col min="6148" max="6148" width="1.54296875" style="164" customWidth="1"/>
    <col min="6149" max="6149" width="34" style="164" customWidth="1"/>
    <col min="6150" max="6150" width="1.54296875" style="164" customWidth="1"/>
    <col min="6151" max="6151" width="16" style="164" customWidth="1"/>
    <col min="6152" max="6152" width="1.54296875" style="164" customWidth="1"/>
    <col min="6153" max="6153" width="14" style="164" customWidth="1"/>
    <col min="6154" max="6154" width="1.54296875" style="164" customWidth="1"/>
    <col min="6155" max="6155" width="11.54296875" style="164" customWidth="1"/>
    <col min="6156" max="6156" width="2.54296875" style="164" customWidth="1"/>
    <col min="6157" max="6157" width="35.453125" style="164" bestFit="1" customWidth="1"/>
    <col min="6158" max="6158" width="20.453125" style="164" customWidth="1"/>
    <col min="6159" max="6400" width="8.7265625" style="164"/>
    <col min="6401" max="6401" width="4.54296875" style="164" customWidth="1"/>
    <col min="6402" max="6402" width="1.54296875" style="164" customWidth="1"/>
    <col min="6403" max="6403" width="46" style="164" customWidth="1"/>
    <col min="6404" max="6404" width="1.54296875" style="164" customWidth="1"/>
    <col min="6405" max="6405" width="34" style="164" customWidth="1"/>
    <col min="6406" max="6406" width="1.54296875" style="164" customWidth="1"/>
    <col min="6407" max="6407" width="16" style="164" customWidth="1"/>
    <col min="6408" max="6408" width="1.54296875" style="164" customWidth="1"/>
    <col min="6409" max="6409" width="14" style="164" customWidth="1"/>
    <col min="6410" max="6410" width="1.54296875" style="164" customWidth="1"/>
    <col min="6411" max="6411" width="11.54296875" style="164" customWidth="1"/>
    <col min="6412" max="6412" width="2.54296875" style="164" customWidth="1"/>
    <col min="6413" max="6413" width="35.453125" style="164" bestFit="1" customWidth="1"/>
    <col min="6414" max="6414" width="20.453125" style="164" customWidth="1"/>
    <col min="6415" max="6656" width="8.7265625" style="164"/>
    <col min="6657" max="6657" width="4.54296875" style="164" customWidth="1"/>
    <col min="6658" max="6658" width="1.54296875" style="164" customWidth="1"/>
    <col min="6659" max="6659" width="46" style="164" customWidth="1"/>
    <col min="6660" max="6660" width="1.54296875" style="164" customWidth="1"/>
    <col min="6661" max="6661" width="34" style="164" customWidth="1"/>
    <col min="6662" max="6662" width="1.54296875" style="164" customWidth="1"/>
    <col min="6663" max="6663" width="16" style="164" customWidth="1"/>
    <col min="6664" max="6664" width="1.54296875" style="164" customWidth="1"/>
    <col min="6665" max="6665" width="14" style="164" customWidth="1"/>
    <col min="6666" max="6666" width="1.54296875" style="164" customWidth="1"/>
    <col min="6667" max="6667" width="11.54296875" style="164" customWidth="1"/>
    <col min="6668" max="6668" width="2.54296875" style="164" customWidth="1"/>
    <col min="6669" max="6669" width="35.453125" style="164" bestFit="1" customWidth="1"/>
    <col min="6670" max="6670" width="20.453125" style="164" customWidth="1"/>
    <col min="6671" max="6912" width="8.7265625" style="164"/>
    <col min="6913" max="6913" width="4.54296875" style="164" customWidth="1"/>
    <col min="6914" max="6914" width="1.54296875" style="164" customWidth="1"/>
    <col min="6915" max="6915" width="46" style="164" customWidth="1"/>
    <col min="6916" max="6916" width="1.54296875" style="164" customWidth="1"/>
    <col min="6917" max="6917" width="34" style="164" customWidth="1"/>
    <col min="6918" max="6918" width="1.54296875" style="164" customWidth="1"/>
    <col min="6919" max="6919" width="16" style="164" customWidth="1"/>
    <col min="6920" max="6920" width="1.54296875" style="164" customWidth="1"/>
    <col min="6921" max="6921" width="14" style="164" customWidth="1"/>
    <col min="6922" max="6922" width="1.54296875" style="164" customWidth="1"/>
    <col min="6923" max="6923" width="11.54296875" style="164" customWidth="1"/>
    <col min="6924" max="6924" width="2.54296875" style="164" customWidth="1"/>
    <col min="6925" max="6925" width="35.453125" style="164" bestFit="1" customWidth="1"/>
    <col min="6926" max="6926" width="20.453125" style="164" customWidth="1"/>
    <col min="6927" max="7168" width="8.7265625" style="164"/>
    <col min="7169" max="7169" width="4.54296875" style="164" customWidth="1"/>
    <col min="7170" max="7170" width="1.54296875" style="164" customWidth="1"/>
    <col min="7171" max="7171" width="46" style="164" customWidth="1"/>
    <col min="7172" max="7172" width="1.54296875" style="164" customWidth="1"/>
    <col min="7173" max="7173" width="34" style="164" customWidth="1"/>
    <col min="7174" max="7174" width="1.54296875" style="164" customWidth="1"/>
    <col min="7175" max="7175" width="16" style="164" customWidth="1"/>
    <col min="7176" max="7176" width="1.54296875" style="164" customWidth="1"/>
    <col min="7177" max="7177" width="14" style="164" customWidth="1"/>
    <col min="7178" max="7178" width="1.54296875" style="164" customWidth="1"/>
    <col min="7179" max="7179" width="11.54296875" style="164" customWidth="1"/>
    <col min="7180" max="7180" width="2.54296875" style="164" customWidth="1"/>
    <col min="7181" max="7181" width="35.453125" style="164" bestFit="1" customWidth="1"/>
    <col min="7182" max="7182" width="20.453125" style="164" customWidth="1"/>
    <col min="7183" max="7424" width="8.7265625" style="164"/>
    <col min="7425" max="7425" width="4.54296875" style="164" customWidth="1"/>
    <col min="7426" max="7426" width="1.54296875" style="164" customWidth="1"/>
    <col min="7427" max="7427" width="46" style="164" customWidth="1"/>
    <col min="7428" max="7428" width="1.54296875" style="164" customWidth="1"/>
    <col min="7429" max="7429" width="34" style="164" customWidth="1"/>
    <col min="7430" max="7430" width="1.54296875" style="164" customWidth="1"/>
    <col min="7431" max="7431" width="16" style="164" customWidth="1"/>
    <col min="7432" max="7432" width="1.54296875" style="164" customWidth="1"/>
    <col min="7433" max="7433" width="14" style="164" customWidth="1"/>
    <col min="7434" max="7434" width="1.54296875" style="164" customWidth="1"/>
    <col min="7435" max="7435" width="11.54296875" style="164" customWidth="1"/>
    <col min="7436" max="7436" width="2.54296875" style="164" customWidth="1"/>
    <col min="7437" max="7437" width="35.453125" style="164" bestFit="1" customWidth="1"/>
    <col min="7438" max="7438" width="20.453125" style="164" customWidth="1"/>
    <col min="7439" max="7680" width="8.7265625" style="164"/>
    <col min="7681" max="7681" width="4.54296875" style="164" customWidth="1"/>
    <col min="7682" max="7682" width="1.54296875" style="164" customWidth="1"/>
    <col min="7683" max="7683" width="46" style="164" customWidth="1"/>
    <col min="7684" max="7684" width="1.54296875" style="164" customWidth="1"/>
    <col min="7685" max="7685" width="34" style="164" customWidth="1"/>
    <col min="7686" max="7686" width="1.54296875" style="164" customWidth="1"/>
    <col min="7687" max="7687" width="16" style="164" customWidth="1"/>
    <col min="7688" max="7688" width="1.54296875" style="164" customWidth="1"/>
    <col min="7689" max="7689" width="14" style="164" customWidth="1"/>
    <col min="7690" max="7690" width="1.54296875" style="164" customWidth="1"/>
    <col min="7691" max="7691" width="11.54296875" style="164" customWidth="1"/>
    <col min="7692" max="7692" width="2.54296875" style="164" customWidth="1"/>
    <col min="7693" max="7693" width="35.453125" style="164" bestFit="1" customWidth="1"/>
    <col min="7694" max="7694" width="20.453125" style="164" customWidth="1"/>
    <col min="7695" max="7936" width="8.7265625" style="164"/>
    <col min="7937" max="7937" width="4.54296875" style="164" customWidth="1"/>
    <col min="7938" max="7938" width="1.54296875" style="164" customWidth="1"/>
    <col min="7939" max="7939" width="46" style="164" customWidth="1"/>
    <col min="7940" max="7940" width="1.54296875" style="164" customWidth="1"/>
    <col min="7941" max="7941" width="34" style="164" customWidth="1"/>
    <col min="7942" max="7942" width="1.54296875" style="164" customWidth="1"/>
    <col min="7943" max="7943" width="16" style="164" customWidth="1"/>
    <col min="7944" max="7944" width="1.54296875" style="164" customWidth="1"/>
    <col min="7945" max="7945" width="14" style="164" customWidth="1"/>
    <col min="7946" max="7946" width="1.54296875" style="164" customWidth="1"/>
    <col min="7947" max="7947" width="11.54296875" style="164" customWidth="1"/>
    <col min="7948" max="7948" width="2.54296875" style="164" customWidth="1"/>
    <col min="7949" max="7949" width="35.453125" style="164" bestFit="1" customWidth="1"/>
    <col min="7950" max="7950" width="20.453125" style="164" customWidth="1"/>
    <col min="7951" max="8192" width="8.7265625" style="164"/>
    <col min="8193" max="8193" width="4.54296875" style="164" customWidth="1"/>
    <col min="8194" max="8194" width="1.54296875" style="164" customWidth="1"/>
    <col min="8195" max="8195" width="46" style="164" customWidth="1"/>
    <col min="8196" max="8196" width="1.54296875" style="164" customWidth="1"/>
    <col min="8197" max="8197" width="34" style="164" customWidth="1"/>
    <col min="8198" max="8198" width="1.54296875" style="164" customWidth="1"/>
    <col min="8199" max="8199" width="16" style="164" customWidth="1"/>
    <col min="8200" max="8200" width="1.54296875" style="164" customWidth="1"/>
    <col min="8201" max="8201" width="14" style="164" customWidth="1"/>
    <col min="8202" max="8202" width="1.54296875" style="164" customWidth="1"/>
    <col min="8203" max="8203" width="11.54296875" style="164" customWidth="1"/>
    <col min="8204" max="8204" width="2.54296875" style="164" customWidth="1"/>
    <col min="8205" max="8205" width="35.453125" style="164" bestFit="1" customWidth="1"/>
    <col min="8206" max="8206" width="20.453125" style="164" customWidth="1"/>
    <col min="8207" max="8448" width="8.7265625" style="164"/>
    <col min="8449" max="8449" width="4.54296875" style="164" customWidth="1"/>
    <col min="8450" max="8450" width="1.54296875" style="164" customWidth="1"/>
    <col min="8451" max="8451" width="46" style="164" customWidth="1"/>
    <col min="8452" max="8452" width="1.54296875" style="164" customWidth="1"/>
    <col min="8453" max="8453" width="34" style="164" customWidth="1"/>
    <col min="8454" max="8454" width="1.54296875" style="164" customWidth="1"/>
    <col min="8455" max="8455" width="16" style="164" customWidth="1"/>
    <col min="8456" max="8456" width="1.54296875" style="164" customWidth="1"/>
    <col min="8457" max="8457" width="14" style="164" customWidth="1"/>
    <col min="8458" max="8458" width="1.54296875" style="164" customWidth="1"/>
    <col min="8459" max="8459" width="11.54296875" style="164" customWidth="1"/>
    <col min="8460" max="8460" width="2.54296875" style="164" customWidth="1"/>
    <col min="8461" max="8461" width="35.453125" style="164" bestFit="1" customWidth="1"/>
    <col min="8462" max="8462" width="20.453125" style="164" customWidth="1"/>
    <col min="8463" max="8704" width="8.7265625" style="164"/>
    <col min="8705" max="8705" width="4.54296875" style="164" customWidth="1"/>
    <col min="8706" max="8706" width="1.54296875" style="164" customWidth="1"/>
    <col min="8707" max="8707" width="46" style="164" customWidth="1"/>
    <col min="8708" max="8708" width="1.54296875" style="164" customWidth="1"/>
    <col min="8709" max="8709" width="34" style="164" customWidth="1"/>
    <col min="8710" max="8710" width="1.54296875" style="164" customWidth="1"/>
    <col min="8711" max="8711" width="16" style="164" customWidth="1"/>
    <col min="8712" max="8712" width="1.54296875" style="164" customWidth="1"/>
    <col min="8713" max="8713" width="14" style="164" customWidth="1"/>
    <col min="8714" max="8714" width="1.54296875" style="164" customWidth="1"/>
    <col min="8715" max="8715" width="11.54296875" style="164" customWidth="1"/>
    <col min="8716" max="8716" width="2.54296875" style="164" customWidth="1"/>
    <col min="8717" max="8717" width="35.453125" style="164" bestFit="1" customWidth="1"/>
    <col min="8718" max="8718" width="20.453125" style="164" customWidth="1"/>
    <col min="8719" max="8960" width="8.7265625" style="164"/>
    <col min="8961" max="8961" width="4.54296875" style="164" customWidth="1"/>
    <col min="8962" max="8962" width="1.54296875" style="164" customWidth="1"/>
    <col min="8963" max="8963" width="46" style="164" customWidth="1"/>
    <col min="8964" max="8964" width="1.54296875" style="164" customWidth="1"/>
    <col min="8965" max="8965" width="34" style="164" customWidth="1"/>
    <col min="8966" max="8966" width="1.54296875" style="164" customWidth="1"/>
    <col min="8967" max="8967" width="16" style="164" customWidth="1"/>
    <col min="8968" max="8968" width="1.54296875" style="164" customWidth="1"/>
    <col min="8969" max="8969" width="14" style="164" customWidth="1"/>
    <col min="8970" max="8970" width="1.54296875" style="164" customWidth="1"/>
    <col min="8971" max="8971" width="11.54296875" style="164" customWidth="1"/>
    <col min="8972" max="8972" width="2.54296875" style="164" customWidth="1"/>
    <col min="8973" max="8973" width="35.453125" style="164" bestFit="1" customWidth="1"/>
    <col min="8974" max="8974" width="20.453125" style="164" customWidth="1"/>
    <col min="8975" max="9216" width="8.7265625" style="164"/>
    <col min="9217" max="9217" width="4.54296875" style="164" customWidth="1"/>
    <col min="9218" max="9218" width="1.54296875" style="164" customWidth="1"/>
    <col min="9219" max="9219" width="46" style="164" customWidth="1"/>
    <col min="9220" max="9220" width="1.54296875" style="164" customWidth="1"/>
    <col min="9221" max="9221" width="34" style="164" customWidth="1"/>
    <col min="9222" max="9222" width="1.54296875" style="164" customWidth="1"/>
    <col min="9223" max="9223" width="16" style="164" customWidth="1"/>
    <col min="9224" max="9224" width="1.54296875" style="164" customWidth="1"/>
    <col min="9225" max="9225" width="14" style="164" customWidth="1"/>
    <col min="9226" max="9226" width="1.54296875" style="164" customWidth="1"/>
    <col min="9227" max="9227" width="11.54296875" style="164" customWidth="1"/>
    <col min="9228" max="9228" width="2.54296875" style="164" customWidth="1"/>
    <col min="9229" max="9229" width="35.453125" style="164" bestFit="1" customWidth="1"/>
    <col min="9230" max="9230" width="20.453125" style="164" customWidth="1"/>
    <col min="9231" max="9472" width="8.7265625" style="164"/>
    <col min="9473" max="9473" width="4.54296875" style="164" customWidth="1"/>
    <col min="9474" max="9474" width="1.54296875" style="164" customWidth="1"/>
    <col min="9475" max="9475" width="46" style="164" customWidth="1"/>
    <col min="9476" max="9476" width="1.54296875" style="164" customWidth="1"/>
    <col min="9477" max="9477" width="34" style="164" customWidth="1"/>
    <col min="9478" max="9478" width="1.54296875" style="164" customWidth="1"/>
    <col min="9479" max="9479" width="16" style="164" customWidth="1"/>
    <col min="9480" max="9480" width="1.54296875" style="164" customWidth="1"/>
    <col min="9481" max="9481" width="14" style="164" customWidth="1"/>
    <col min="9482" max="9482" width="1.54296875" style="164" customWidth="1"/>
    <col min="9483" max="9483" width="11.54296875" style="164" customWidth="1"/>
    <col min="9484" max="9484" width="2.54296875" style="164" customWidth="1"/>
    <col min="9485" max="9485" width="35.453125" style="164" bestFit="1" customWidth="1"/>
    <col min="9486" max="9486" width="20.453125" style="164" customWidth="1"/>
    <col min="9487" max="9728" width="8.7265625" style="164"/>
    <col min="9729" max="9729" width="4.54296875" style="164" customWidth="1"/>
    <col min="9730" max="9730" width="1.54296875" style="164" customWidth="1"/>
    <col min="9731" max="9731" width="46" style="164" customWidth="1"/>
    <col min="9732" max="9732" width="1.54296875" style="164" customWidth="1"/>
    <col min="9733" max="9733" width="34" style="164" customWidth="1"/>
    <col min="9734" max="9734" width="1.54296875" style="164" customWidth="1"/>
    <col min="9735" max="9735" width="16" style="164" customWidth="1"/>
    <col min="9736" max="9736" width="1.54296875" style="164" customWidth="1"/>
    <col min="9737" max="9737" width="14" style="164" customWidth="1"/>
    <col min="9738" max="9738" width="1.54296875" style="164" customWidth="1"/>
    <col min="9739" max="9739" width="11.54296875" style="164" customWidth="1"/>
    <col min="9740" max="9740" width="2.54296875" style="164" customWidth="1"/>
    <col min="9741" max="9741" width="35.453125" style="164" bestFit="1" customWidth="1"/>
    <col min="9742" max="9742" width="20.453125" style="164" customWidth="1"/>
    <col min="9743" max="9984" width="8.7265625" style="164"/>
    <col min="9985" max="9985" width="4.54296875" style="164" customWidth="1"/>
    <col min="9986" max="9986" width="1.54296875" style="164" customWidth="1"/>
    <col min="9987" max="9987" width="46" style="164" customWidth="1"/>
    <col min="9988" max="9988" width="1.54296875" style="164" customWidth="1"/>
    <col min="9989" max="9989" width="34" style="164" customWidth="1"/>
    <col min="9990" max="9990" width="1.54296875" style="164" customWidth="1"/>
    <col min="9991" max="9991" width="16" style="164" customWidth="1"/>
    <col min="9992" max="9992" width="1.54296875" style="164" customWidth="1"/>
    <col min="9993" max="9993" width="14" style="164" customWidth="1"/>
    <col min="9994" max="9994" width="1.54296875" style="164" customWidth="1"/>
    <col min="9995" max="9995" width="11.54296875" style="164" customWidth="1"/>
    <col min="9996" max="9996" width="2.54296875" style="164" customWidth="1"/>
    <col min="9997" max="9997" width="35.453125" style="164" bestFit="1" customWidth="1"/>
    <col min="9998" max="9998" width="20.453125" style="164" customWidth="1"/>
    <col min="9999" max="10240" width="8.7265625" style="164"/>
    <col min="10241" max="10241" width="4.54296875" style="164" customWidth="1"/>
    <col min="10242" max="10242" width="1.54296875" style="164" customWidth="1"/>
    <col min="10243" max="10243" width="46" style="164" customWidth="1"/>
    <col min="10244" max="10244" width="1.54296875" style="164" customWidth="1"/>
    <col min="10245" max="10245" width="34" style="164" customWidth="1"/>
    <col min="10246" max="10246" width="1.54296875" style="164" customWidth="1"/>
    <col min="10247" max="10247" width="16" style="164" customWidth="1"/>
    <col min="10248" max="10248" width="1.54296875" style="164" customWidth="1"/>
    <col min="10249" max="10249" width="14" style="164" customWidth="1"/>
    <col min="10250" max="10250" width="1.54296875" style="164" customWidth="1"/>
    <col min="10251" max="10251" width="11.54296875" style="164" customWidth="1"/>
    <col min="10252" max="10252" width="2.54296875" style="164" customWidth="1"/>
    <col min="10253" max="10253" width="35.453125" style="164" bestFit="1" customWidth="1"/>
    <col min="10254" max="10254" width="20.453125" style="164" customWidth="1"/>
    <col min="10255" max="10496" width="8.7265625" style="164"/>
    <col min="10497" max="10497" width="4.54296875" style="164" customWidth="1"/>
    <col min="10498" max="10498" width="1.54296875" style="164" customWidth="1"/>
    <col min="10499" max="10499" width="46" style="164" customWidth="1"/>
    <col min="10500" max="10500" width="1.54296875" style="164" customWidth="1"/>
    <col min="10501" max="10501" width="34" style="164" customWidth="1"/>
    <col min="10502" max="10502" width="1.54296875" style="164" customWidth="1"/>
    <col min="10503" max="10503" width="16" style="164" customWidth="1"/>
    <col min="10504" max="10504" width="1.54296875" style="164" customWidth="1"/>
    <col min="10505" max="10505" width="14" style="164" customWidth="1"/>
    <col min="10506" max="10506" width="1.54296875" style="164" customWidth="1"/>
    <col min="10507" max="10507" width="11.54296875" style="164" customWidth="1"/>
    <col min="10508" max="10508" width="2.54296875" style="164" customWidth="1"/>
    <col min="10509" max="10509" width="35.453125" style="164" bestFit="1" customWidth="1"/>
    <col min="10510" max="10510" width="20.453125" style="164" customWidth="1"/>
    <col min="10511" max="10752" width="8.7265625" style="164"/>
    <col min="10753" max="10753" width="4.54296875" style="164" customWidth="1"/>
    <col min="10754" max="10754" width="1.54296875" style="164" customWidth="1"/>
    <col min="10755" max="10755" width="46" style="164" customWidth="1"/>
    <col min="10756" max="10756" width="1.54296875" style="164" customWidth="1"/>
    <col min="10757" max="10757" width="34" style="164" customWidth="1"/>
    <col min="10758" max="10758" width="1.54296875" style="164" customWidth="1"/>
    <col min="10759" max="10759" width="16" style="164" customWidth="1"/>
    <col min="10760" max="10760" width="1.54296875" style="164" customWidth="1"/>
    <col min="10761" max="10761" width="14" style="164" customWidth="1"/>
    <col min="10762" max="10762" width="1.54296875" style="164" customWidth="1"/>
    <col min="10763" max="10763" width="11.54296875" style="164" customWidth="1"/>
    <col min="10764" max="10764" width="2.54296875" style="164" customWidth="1"/>
    <col min="10765" max="10765" width="35.453125" style="164" bestFit="1" customWidth="1"/>
    <col min="10766" max="10766" width="20.453125" style="164" customWidth="1"/>
    <col min="10767" max="11008" width="8.7265625" style="164"/>
    <col min="11009" max="11009" width="4.54296875" style="164" customWidth="1"/>
    <col min="11010" max="11010" width="1.54296875" style="164" customWidth="1"/>
    <col min="11011" max="11011" width="46" style="164" customWidth="1"/>
    <col min="11012" max="11012" width="1.54296875" style="164" customWidth="1"/>
    <col min="11013" max="11013" width="34" style="164" customWidth="1"/>
    <col min="11014" max="11014" width="1.54296875" style="164" customWidth="1"/>
    <col min="11015" max="11015" width="16" style="164" customWidth="1"/>
    <col min="11016" max="11016" width="1.54296875" style="164" customWidth="1"/>
    <col min="11017" max="11017" width="14" style="164" customWidth="1"/>
    <col min="11018" max="11018" width="1.54296875" style="164" customWidth="1"/>
    <col min="11019" max="11019" width="11.54296875" style="164" customWidth="1"/>
    <col min="11020" max="11020" width="2.54296875" style="164" customWidth="1"/>
    <col min="11021" max="11021" width="35.453125" style="164" bestFit="1" customWidth="1"/>
    <col min="11022" max="11022" width="20.453125" style="164" customWidth="1"/>
    <col min="11023" max="11264" width="8.7265625" style="164"/>
    <col min="11265" max="11265" width="4.54296875" style="164" customWidth="1"/>
    <col min="11266" max="11266" width="1.54296875" style="164" customWidth="1"/>
    <col min="11267" max="11267" width="46" style="164" customWidth="1"/>
    <col min="11268" max="11268" width="1.54296875" style="164" customWidth="1"/>
    <col min="11269" max="11269" width="34" style="164" customWidth="1"/>
    <col min="11270" max="11270" width="1.54296875" style="164" customWidth="1"/>
    <col min="11271" max="11271" width="16" style="164" customWidth="1"/>
    <col min="11272" max="11272" width="1.54296875" style="164" customWidth="1"/>
    <col min="11273" max="11273" width="14" style="164" customWidth="1"/>
    <col min="11274" max="11274" width="1.54296875" style="164" customWidth="1"/>
    <col min="11275" max="11275" width="11.54296875" style="164" customWidth="1"/>
    <col min="11276" max="11276" width="2.54296875" style="164" customWidth="1"/>
    <col min="11277" max="11277" width="35.453125" style="164" bestFit="1" customWidth="1"/>
    <col min="11278" max="11278" width="20.453125" style="164" customWidth="1"/>
    <col min="11279" max="11520" width="8.7265625" style="164"/>
    <col min="11521" max="11521" width="4.54296875" style="164" customWidth="1"/>
    <col min="11522" max="11522" width="1.54296875" style="164" customWidth="1"/>
    <col min="11523" max="11523" width="46" style="164" customWidth="1"/>
    <col min="11524" max="11524" width="1.54296875" style="164" customWidth="1"/>
    <col min="11525" max="11525" width="34" style="164" customWidth="1"/>
    <col min="11526" max="11526" width="1.54296875" style="164" customWidth="1"/>
    <col min="11527" max="11527" width="16" style="164" customWidth="1"/>
    <col min="11528" max="11528" width="1.54296875" style="164" customWidth="1"/>
    <col min="11529" max="11529" width="14" style="164" customWidth="1"/>
    <col min="11530" max="11530" width="1.54296875" style="164" customWidth="1"/>
    <col min="11531" max="11531" width="11.54296875" style="164" customWidth="1"/>
    <col min="11532" max="11532" width="2.54296875" style="164" customWidth="1"/>
    <col min="11533" max="11533" width="35.453125" style="164" bestFit="1" customWidth="1"/>
    <col min="11534" max="11534" width="20.453125" style="164" customWidth="1"/>
    <col min="11535" max="11776" width="8.7265625" style="164"/>
    <col min="11777" max="11777" width="4.54296875" style="164" customWidth="1"/>
    <col min="11778" max="11778" width="1.54296875" style="164" customWidth="1"/>
    <col min="11779" max="11779" width="46" style="164" customWidth="1"/>
    <col min="11780" max="11780" width="1.54296875" style="164" customWidth="1"/>
    <col min="11781" max="11781" width="34" style="164" customWidth="1"/>
    <col min="11782" max="11782" width="1.54296875" style="164" customWidth="1"/>
    <col min="11783" max="11783" width="16" style="164" customWidth="1"/>
    <col min="11784" max="11784" width="1.54296875" style="164" customWidth="1"/>
    <col min="11785" max="11785" width="14" style="164" customWidth="1"/>
    <col min="11786" max="11786" width="1.54296875" style="164" customWidth="1"/>
    <col min="11787" max="11787" width="11.54296875" style="164" customWidth="1"/>
    <col min="11788" max="11788" width="2.54296875" style="164" customWidth="1"/>
    <col min="11789" max="11789" width="35.453125" style="164" bestFit="1" customWidth="1"/>
    <col min="11790" max="11790" width="20.453125" style="164" customWidth="1"/>
    <col min="11791" max="12032" width="8.7265625" style="164"/>
    <col min="12033" max="12033" width="4.54296875" style="164" customWidth="1"/>
    <col min="12034" max="12034" width="1.54296875" style="164" customWidth="1"/>
    <col min="12035" max="12035" width="46" style="164" customWidth="1"/>
    <col min="12036" max="12036" width="1.54296875" style="164" customWidth="1"/>
    <col min="12037" max="12037" width="34" style="164" customWidth="1"/>
    <col min="12038" max="12038" width="1.54296875" style="164" customWidth="1"/>
    <col min="12039" max="12039" width="16" style="164" customWidth="1"/>
    <col min="12040" max="12040" width="1.54296875" style="164" customWidth="1"/>
    <col min="12041" max="12041" width="14" style="164" customWidth="1"/>
    <col min="12042" max="12042" width="1.54296875" style="164" customWidth="1"/>
    <col min="12043" max="12043" width="11.54296875" style="164" customWidth="1"/>
    <col min="12044" max="12044" width="2.54296875" style="164" customWidth="1"/>
    <col min="12045" max="12045" width="35.453125" style="164" bestFit="1" customWidth="1"/>
    <col min="12046" max="12046" width="20.453125" style="164" customWidth="1"/>
    <col min="12047" max="12288" width="8.7265625" style="164"/>
    <col min="12289" max="12289" width="4.54296875" style="164" customWidth="1"/>
    <col min="12290" max="12290" width="1.54296875" style="164" customWidth="1"/>
    <col min="12291" max="12291" width="46" style="164" customWidth="1"/>
    <col min="12292" max="12292" width="1.54296875" style="164" customWidth="1"/>
    <col min="12293" max="12293" width="34" style="164" customWidth="1"/>
    <col min="12294" max="12294" width="1.54296875" style="164" customWidth="1"/>
    <col min="12295" max="12295" width="16" style="164" customWidth="1"/>
    <col min="12296" max="12296" width="1.54296875" style="164" customWidth="1"/>
    <col min="12297" max="12297" width="14" style="164" customWidth="1"/>
    <col min="12298" max="12298" width="1.54296875" style="164" customWidth="1"/>
    <col min="12299" max="12299" width="11.54296875" style="164" customWidth="1"/>
    <col min="12300" max="12300" width="2.54296875" style="164" customWidth="1"/>
    <col min="12301" max="12301" width="35.453125" style="164" bestFit="1" customWidth="1"/>
    <col min="12302" max="12302" width="20.453125" style="164" customWidth="1"/>
    <col min="12303" max="12544" width="8.7265625" style="164"/>
    <col min="12545" max="12545" width="4.54296875" style="164" customWidth="1"/>
    <col min="12546" max="12546" width="1.54296875" style="164" customWidth="1"/>
    <col min="12547" max="12547" width="46" style="164" customWidth="1"/>
    <col min="12548" max="12548" width="1.54296875" style="164" customWidth="1"/>
    <col min="12549" max="12549" width="34" style="164" customWidth="1"/>
    <col min="12550" max="12550" width="1.54296875" style="164" customWidth="1"/>
    <col min="12551" max="12551" width="16" style="164" customWidth="1"/>
    <col min="12552" max="12552" width="1.54296875" style="164" customWidth="1"/>
    <col min="12553" max="12553" width="14" style="164" customWidth="1"/>
    <col min="12554" max="12554" width="1.54296875" style="164" customWidth="1"/>
    <col min="12555" max="12555" width="11.54296875" style="164" customWidth="1"/>
    <col min="12556" max="12556" width="2.54296875" style="164" customWidth="1"/>
    <col min="12557" max="12557" width="35.453125" style="164" bestFit="1" customWidth="1"/>
    <col min="12558" max="12558" width="20.453125" style="164" customWidth="1"/>
    <col min="12559" max="12800" width="8.7265625" style="164"/>
    <col min="12801" max="12801" width="4.54296875" style="164" customWidth="1"/>
    <col min="12802" max="12802" width="1.54296875" style="164" customWidth="1"/>
    <col min="12803" max="12803" width="46" style="164" customWidth="1"/>
    <col min="12804" max="12804" width="1.54296875" style="164" customWidth="1"/>
    <col min="12805" max="12805" width="34" style="164" customWidth="1"/>
    <col min="12806" max="12806" width="1.54296875" style="164" customWidth="1"/>
    <col min="12807" max="12807" width="16" style="164" customWidth="1"/>
    <col min="12808" max="12808" width="1.54296875" style="164" customWidth="1"/>
    <col min="12809" max="12809" width="14" style="164" customWidth="1"/>
    <col min="12810" max="12810" width="1.54296875" style="164" customWidth="1"/>
    <col min="12811" max="12811" width="11.54296875" style="164" customWidth="1"/>
    <col min="12812" max="12812" width="2.54296875" style="164" customWidth="1"/>
    <col min="12813" max="12813" width="35.453125" style="164" bestFit="1" customWidth="1"/>
    <col min="12814" max="12814" width="20.453125" style="164" customWidth="1"/>
    <col min="12815" max="13056" width="8.7265625" style="164"/>
    <col min="13057" max="13057" width="4.54296875" style="164" customWidth="1"/>
    <col min="13058" max="13058" width="1.54296875" style="164" customWidth="1"/>
    <col min="13059" max="13059" width="46" style="164" customWidth="1"/>
    <col min="13060" max="13060" width="1.54296875" style="164" customWidth="1"/>
    <col min="13061" max="13061" width="34" style="164" customWidth="1"/>
    <col min="13062" max="13062" width="1.54296875" style="164" customWidth="1"/>
    <col min="13063" max="13063" width="16" style="164" customWidth="1"/>
    <col min="13064" max="13064" width="1.54296875" style="164" customWidth="1"/>
    <col min="13065" max="13065" width="14" style="164" customWidth="1"/>
    <col min="13066" max="13066" width="1.54296875" style="164" customWidth="1"/>
    <col min="13067" max="13067" width="11.54296875" style="164" customWidth="1"/>
    <col min="13068" max="13068" width="2.54296875" style="164" customWidth="1"/>
    <col min="13069" max="13069" width="35.453125" style="164" bestFit="1" customWidth="1"/>
    <col min="13070" max="13070" width="20.453125" style="164" customWidth="1"/>
    <col min="13071" max="13312" width="8.7265625" style="164"/>
    <col min="13313" max="13313" width="4.54296875" style="164" customWidth="1"/>
    <col min="13314" max="13314" width="1.54296875" style="164" customWidth="1"/>
    <col min="13315" max="13315" width="46" style="164" customWidth="1"/>
    <col min="13316" max="13316" width="1.54296875" style="164" customWidth="1"/>
    <col min="13317" max="13317" width="34" style="164" customWidth="1"/>
    <col min="13318" max="13318" width="1.54296875" style="164" customWidth="1"/>
    <col min="13319" max="13319" width="16" style="164" customWidth="1"/>
    <col min="13320" max="13320" width="1.54296875" style="164" customWidth="1"/>
    <col min="13321" max="13321" width="14" style="164" customWidth="1"/>
    <col min="13322" max="13322" width="1.54296875" style="164" customWidth="1"/>
    <col min="13323" max="13323" width="11.54296875" style="164" customWidth="1"/>
    <col min="13324" max="13324" width="2.54296875" style="164" customWidth="1"/>
    <col min="13325" max="13325" width="35.453125" style="164" bestFit="1" customWidth="1"/>
    <col min="13326" max="13326" width="20.453125" style="164" customWidth="1"/>
    <col min="13327" max="13568" width="8.7265625" style="164"/>
    <col min="13569" max="13569" width="4.54296875" style="164" customWidth="1"/>
    <col min="13570" max="13570" width="1.54296875" style="164" customWidth="1"/>
    <col min="13571" max="13571" width="46" style="164" customWidth="1"/>
    <col min="13572" max="13572" width="1.54296875" style="164" customWidth="1"/>
    <col min="13573" max="13573" width="34" style="164" customWidth="1"/>
    <col min="13574" max="13574" width="1.54296875" style="164" customWidth="1"/>
    <col min="13575" max="13575" width="16" style="164" customWidth="1"/>
    <col min="13576" max="13576" width="1.54296875" style="164" customWidth="1"/>
    <col min="13577" max="13577" width="14" style="164" customWidth="1"/>
    <col min="13578" max="13578" width="1.54296875" style="164" customWidth="1"/>
    <col min="13579" max="13579" width="11.54296875" style="164" customWidth="1"/>
    <col min="13580" max="13580" width="2.54296875" style="164" customWidth="1"/>
    <col min="13581" max="13581" width="35.453125" style="164" bestFit="1" customWidth="1"/>
    <col min="13582" max="13582" width="20.453125" style="164" customWidth="1"/>
    <col min="13583" max="13824" width="8.7265625" style="164"/>
    <col min="13825" max="13825" width="4.54296875" style="164" customWidth="1"/>
    <col min="13826" max="13826" width="1.54296875" style="164" customWidth="1"/>
    <col min="13827" max="13827" width="46" style="164" customWidth="1"/>
    <col min="13828" max="13828" width="1.54296875" style="164" customWidth="1"/>
    <col min="13829" max="13829" width="34" style="164" customWidth="1"/>
    <col min="13830" max="13830" width="1.54296875" style="164" customWidth="1"/>
    <col min="13831" max="13831" width="16" style="164" customWidth="1"/>
    <col min="13832" max="13832" width="1.54296875" style="164" customWidth="1"/>
    <col min="13833" max="13833" width="14" style="164" customWidth="1"/>
    <col min="13834" max="13834" width="1.54296875" style="164" customWidth="1"/>
    <col min="13835" max="13835" width="11.54296875" style="164" customWidth="1"/>
    <col min="13836" max="13836" width="2.54296875" style="164" customWidth="1"/>
    <col min="13837" max="13837" width="35.453125" style="164" bestFit="1" customWidth="1"/>
    <col min="13838" max="13838" width="20.453125" style="164" customWidth="1"/>
    <col min="13839" max="14080" width="8.7265625" style="164"/>
    <col min="14081" max="14081" width="4.54296875" style="164" customWidth="1"/>
    <col min="14082" max="14082" width="1.54296875" style="164" customWidth="1"/>
    <col min="14083" max="14083" width="46" style="164" customWidth="1"/>
    <col min="14084" max="14084" width="1.54296875" style="164" customWidth="1"/>
    <col min="14085" max="14085" width="34" style="164" customWidth="1"/>
    <col min="14086" max="14086" width="1.54296875" style="164" customWidth="1"/>
    <col min="14087" max="14087" width="16" style="164" customWidth="1"/>
    <col min="14088" max="14088" width="1.54296875" style="164" customWidth="1"/>
    <col min="14089" max="14089" width="14" style="164" customWidth="1"/>
    <col min="14090" max="14090" width="1.54296875" style="164" customWidth="1"/>
    <col min="14091" max="14091" width="11.54296875" style="164" customWidth="1"/>
    <col min="14092" max="14092" width="2.54296875" style="164" customWidth="1"/>
    <col min="14093" max="14093" width="35.453125" style="164" bestFit="1" customWidth="1"/>
    <col min="14094" max="14094" width="20.453125" style="164" customWidth="1"/>
    <col min="14095" max="14336" width="8.7265625" style="164"/>
    <col min="14337" max="14337" width="4.54296875" style="164" customWidth="1"/>
    <col min="14338" max="14338" width="1.54296875" style="164" customWidth="1"/>
    <col min="14339" max="14339" width="46" style="164" customWidth="1"/>
    <col min="14340" max="14340" width="1.54296875" style="164" customWidth="1"/>
    <col min="14341" max="14341" width="34" style="164" customWidth="1"/>
    <col min="14342" max="14342" width="1.54296875" style="164" customWidth="1"/>
    <col min="14343" max="14343" width="16" style="164" customWidth="1"/>
    <col min="14344" max="14344" width="1.54296875" style="164" customWidth="1"/>
    <col min="14345" max="14345" width="14" style="164" customWidth="1"/>
    <col min="14346" max="14346" width="1.54296875" style="164" customWidth="1"/>
    <col min="14347" max="14347" width="11.54296875" style="164" customWidth="1"/>
    <col min="14348" max="14348" width="2.54296875" style="164" customWidth="1"/>
    <col min="14349" max="14349" width="35.453125" style="164" bestFit="1" customWidth="1"/>
    <col min="14350" max="14350" width="20.453125" style="164" customWidth="1"/>
    <col min="14351" max="14592" width="8.7265625" style="164"/>
    <col min="14593" max="14593" width="4.54296875" style="164" customWidth="1"/>
    <col min="14594" max="14594" width="1.54296875" style="164" customWidth="1"/>
    <col min="14595" max="14595" width="46" style="164" customWidth="1"/>
    <col min="14596" max="14596" width="1.54296875" style="164" customWidth="1"/>
    <col min="14597" max="14597" width="34" style="164" customWidth="1"/>
    <col min="14598" max="14598" width="1.54296875" style="164" customWidth="1"/>
    <col min="14599" max="14599" width="16" style="164" customWidth="1"/>
    <col min="14600" max="14600" width="1.54296875" style="164" customWidth="1"/>
    <col min="14601" max="14601" width="14" style="164" customWidth="1"/>
    <col min="14602" max="14602" width="1.54296875" style="164" customWidth="1"/>
    <col min="14603" max="14603" width="11.54296875" style="164" customWidth="1"/>
    <col min="14604" max="14604" width="2.54296875" style="164" customWidth="1"/>
    <col min="14605" max="14605" width="35.453125" style="164" bestFit="1" customWidth="1"/>
    <col min="14606" max="14606" width="20.453125" style="164" customWidth="1"/>
    <col min="14607" max="14848" width="8.7265625" style="164"/>
    <col min="14849" max="14849" width="4.54296875" style="164" customWidth="1"/>
    <col min="14850" max="14850" width="1.54296875" style="164" customWidth="1"/>
    <col min="14851" max="14851" width="46" style="164" customWidth="1"/>
    <col min="14852" max="14852" width="1.54296875" style="164" customWidth="1"/>
    <col min="14853" max="14853" width="34" style="164" customWidth="1"/>
    <col min="14854" max="14854" width="1.54296875" style="164" customWidth="1"/>
    <col min="14855" max="14855" width="16" style="164" customWidth="1"/>
    <col min="14856" max="14856" width="1.54296875" style="164" customWidth="1"/>
    <col min="14857" max="14857" width="14" style="164" customWidth="1"/>
    <col min="14858" max="14858" width="1.54296875" style="164" customWidth="1"/>
    <col min="14859" max="14859" width="11.54296875" style="164" customWidth="1"/>
    <col min="14860" max="14860" width="2.54296875" style="164" customWidth="1"/>
    <col min="14861" max="14861" width="35.453125" style="164" bestFit="1" customWidth="1"/>
    <col min="14862" max="14862" width="20.453125" style="164" customWidth="1"/>
    <col min="14863" max="15104" width="8.7265625" style="164"/>
    <col min="15105" max="15105" width="4.54296875" style="164" customWidth="1"/>
    <col min="15106" max="15106" width="1.54296875" style="164" customWidth="1"/>
    <col min="15107" max="15107" width="46" style="164" customWidth="1"/>
    <col min="15108" max="15108" width="1.54296875" style="164" customWidth="1"/>
    <col min="15109" max="15109" width="34" style="164" customWidth="1"/>
    <col min="15110" max="15110" width="1.54296875" style="164" customWidth="1"/>
    <col min="15111" max="15111" width="16" style="164" customWidth="1"/>
    <col min="15112" max="15112" width="1.54296875" style="164" customWidth="1"/>
    <col min="15113" max="15113" width="14" style="164" customWidth="1"/>
    <col min="15114" max="15114" width="1.54296875" style="164" customWidth="1"/>
    <col min="15115" max="15115" width="11.54296875" style="164" customWidth="1"/>
    <col min="15116" max="15116" width="2.54296875" style="164" customWidth="1"/>
    <col min="15117" max="15117" width="35.453125" style="164" bestFit="1" customWidth="1"/>
    <col min="15118" max="15118" width="20.453125" style="164" customWidth="1"/>
    <col min="15119" max="15360" width="8.7265625" style="164"/>
    <col min="15361" max="15361" width="4.54296875" style="164" customWidth="1"/>
    <col min="15362" max="15362" width="1.54296875" style="164" customWidth="1"/>
    <col min="15363" max="15363" width="46" style="164" customWidth="1"/>
    <col min="15364" max="15364" width="1.54296875" style="164" customWidth="1"/>
    <col min="15365" max="15365" width="34" style="164" customWidth="1"/>
    <col min="15366" max="15366" width="1.54296875" style="164" customWidth="1"/>
    <col min="15367" max="15367" width="16" style="164" customWidth="1"/>
    <col min="15368" max="15368" width="1.54296875" style="164" customWidth="1"/>
    <col min="15369" max="15369" width="14" style="164" customWidth="1"/>
    <col min="15370" max="15370" width="1.54296875" style="164" customWidth="1"/>
    <col min="15371" max="15371" width="11.54296875" style="164" customWidth="1"/>
    <col min="15372" max="15372" width="2.54296875" style="164" customWidth="1"/>
    <col min="15373" max="15373" width="35.453125" style="164" bestFit="1" customWidth="1"/>
    <col min="15374" max="15374" width="20.453125" style="164" customWidth="1"/>
    <col min="15375" max="15616" width="8.7265625" style="164"/>
    <col min="15617" max="15617" width="4.54296875" style="164" customWidth="1"/>
    <col min="15618" max="15618" width="1.54296875" style="164" customWidth="1"/>
    <col min="15619" max="15619" width="46" style="164" customWidth="1"/>
    <col min="15620" max="15620" width="1.54296875" style="164" customWidth="1"/>
    <col min="15621" max="15621" width="34" style="164" customWidth="1"/>
    <col min="15622" max="15622" width="1.54296875" style="164" customWidth="1"/>
    <col min="15623" max="15623" width="16" style="164" customWidth="1"/>
    <col min="15624" max="15624" width="1.54296875" style="164" customWidth="1"/>
    <col min="15625" max="15625" width="14" style="164" customWidth="1"/>
    <col min="15626" max="15626" width="1.54296875" style="164" customWidth="1"/>
    <col min="15627" max="15627" width="11.54296875" style="164" customWidth="1"/>
    <col min="15628" max="15628" width="2.54296875" style="164" customWidth="1"/>
    <col min="15629" max="15629" width="35.453125" style="164" bestFit="1" customWidth="1"/>
    <col min="15630" max="15630" width="20.453125" style="164" customWidth="1"/>
    <col min="15631" max="15872" width="8.7265625" style="164"/>
    <col min="15873" max="15873" width="4.54296875" style="164" customWidth="1"/>
    <col min="15874" max="15874" width="1.54296875" style="164" customWidth="1"/>
    <col min="15875" max="15875" width="46" style="164" customWidth="1"/>
    <col min="15876" max="15876" width="1.54296875" style="164" customWidth="1"/>
    <col min="15877" max="15877" width="34" style="164" customWidth="1"/>
    <col min="15878" max="15878" width="1.54296875" style="164" customWidth="1"/>
    <col min="15879" max="15879" width="16" style="164" customWidth="1"/>
    <col min="15880" max="15880" width="1.54296875" style="164" customWidth="1"/>
    <col min="15881" max="15881" width="14" style="164" customWidth="1"/>
    <col min="15882" max="15882" width="1.54296875" style="164" customWidth="1"/>
    <col min="15883" max="15883" width="11.54296875" style="164" customWidth="1"/>
    <col min="15884" max="15884" width="2.54296875" style="164" customWidth="1"/>
    <col min="15885" max="15885" width="35.453125" style="164" bestFit="1" customWidth="1"/>
    <col min="15886" max="15886" width="20.453125" style="164" customWidth="1"/>
    <col min="15887" max="16128" width="8.7265625" style="164"/>
    <col min="16129" max="16129" width="4.54296875" style="164" customWidth="1"/>
    <col min="16130" max="16130" width="1.54296875" style="164" customWidth="1"/>
    <col min="16131" max="16131" width="46" style="164" customWidth="1"/>
    <col min="16132" max="16132" width="1.54296875" style="164" customWidth="1"/>
    <col min="16133" max="16133" width="34" style="164" customWidth="1"/>
    <col min="16134" max="16134" width="1.54296875" style="164" customWidth="1"/>
    <col min="16135" max="16135" width="16" style="164" customWidth="1"/>
    <col min="16136" max="16136" width="1.54296875" style="164" customWidth="1"/>
    <col min="16137" max="16137" width="14" style="164" customWidth="1"/>
    <col min="16138" max="16138" width="1.54296875" style="164" customWidth="1"/>
    <col min="16139" max="16139" width="11.54296875" style="164" customWidth="1"/>
    <col min="16140" max="16140" width="2.54296875" style="164" customWidth="1"/>
    <col min="16141" max="16141" width="35.453125" style="164" bestFit="1" customWidth="1"/>
    <col min="16142" max="16142" width="20.453125" style="164" customWidth="1"/>
    <col min="16143" max="16384" width="8.7265625" style="164"/>
  </cols>
  <sheetData>
    <row r="1" spans="1:14" ht="13" x14ac:dyDescent="0.3">
      <c r="A1" s="105" t="s">
        <v>619</v>
      </c>
      <c r="B1" s="105"/>
      <c r="C1" s="48"/>
      <c r="D1" s="48"/>
      <c r="G1" s="48"/>
      <c r="H1" s="48"/>
      <c r="I1" s="48"/>
      <c r="J1" s="48"/>
      <c r="K1" s="48"/>
      <c r="L1" s="48"/>
      <c r="M1" s="48"/>
    </row>
    <row r="2" spans="1:14" x14ac:dyDescent="0.25">
      <c r="C2" s="174"/>
    </row>
    <row r="3" spans="1:14" ht="13" x14ac:dyDescent="0.3">
      <c r="A3" s="106" t="s">
        <v>22</v>
      </c>
      <c r="B3" s="106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4" ht="13" x14ac:dyDescent="0.3">
      <c r="A4" s="107">
        <v>1</v>
      </c>
      <c r="B4" s="107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</row>
    <row r="5" spans="1:14" ht="13" x14ac:dyDescent="0.3">
      <c r="A5" s="107">
        <v>2</v>
      </c>
      <c r="B5" s="107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</row>
    <row r="6" spans="1:14" ht="13" x14ac:dyDescent="0.3">
      <c r="A6" s="107">
        <v>3</v>
      </c>
      <c r="B6" s="107"/>
      <c r="C6" s="48"/>
      <c r="D6" s="48"/>
      <c r="E6" s="48"/>
      <c r="F6" s="48"/>
      <c r="G6" s="48"/>
      <c r="H6" s="48"/>
      <c r="I6" s="48"/>
      <c r="J6" s="48"/>
      <c r="K6" s="107" t="s">
        <v>482</v>
      </c>
      <c r="L6" s="48"/>
      <c r="M6" s="48"/>
    </row>
    <row r="7" spans="1:14" ht="13" x14ac:dyDescent="0.3">
      <c r="A7" s="107">
        <v>4</v>
      </c>
      <c r="B7" s="107"/>
      <c r="C7" s="48"/>
      <c r="D7" s="48"/>
      <c r="E7" s="108" t="s">
        <v>620</v>
      </c>
      <c r="F7" s="107"/>
      <c r="G7" s="48"/>
      <c r="H7" s="48"/>
      <c r="I7" s="48"/>
      <c r="J7" s="48"/>
      <c r="K7" s="108" t="s">
        <v>96</v>
      </c>
      <c r="L7" s="48"/>
      <c r="M7" s="109"/>
    </row>
    <row r="8" spans="1:14" ht="13" x14ac:dyDescent="0.3">
      <c r="A8" s="107">
        <v>5</v>
      </c>
      <c r="B8" s="107"/>
      <c r="C8" s="48"/>
      <c r="D8" s="48"/>
      <c r="E8" s="48"/>
      <c r="F8" s="48"/>
      <c r="G8" s="48"/>
      <c r="H8" s="48"/>
      <c r="I8" s="48"/>
      <c r="J8" s="48"/>
      <c r="K8" s="110"/>
      <c r="L8" s="48"/>
      <c r="M8" s="48"/>
    </row>
    <row r="9" spans="1:14" ht="13" x14ac:dyDescent="0.3">
      <c r="A9" s="107">
        <v>6</v>
      </c>
      <c r="B9" s="107"/>
      <c r="C9" s="105" t="s">
        <v>621</v>
      </c>
      <c r="D9" s="48"/>
      <c r="E9" s="48" t="s">
        <v>622</v>
      </c>
      <c r="F9" s="48"/>
      <c r="G9" s="48"/>
      <c r="H9" s="48"/>
      <c r="I9" s="48"/>
      <c r="J9" s="48"/>
      <c r="K9" s="110">
        <f>I20</f>
        <v>-197804839.17250916</v>
      </c>
      <c r="L9" s="48"/>
      <c r="M9" s="48"/>
      <c r="N9" s="278"/>
    </row>
    <row r="10" spans="1:14" ht="13.5" thickBot="1" x14ac:dyDescent="0.35">
      <c r="A10" s="107">
        <v>7</v>
      </c>
      <c r="B10" s="107"/>
      <c r="C10" s="105" t="s">
        <v>623</v>
      </c>
      <c r="D10" s="106"/>
      <c r="E10" s="48" t="s">
        <v>624</v>
      </c>
      <c r="F10" s="48"/>
      <c r="G10" s="48"/>
      <c r="H10" s="48"/>
      <c r="I10" s="48"/>
      <c r="J10" s="48"/>
      <c r="K10" s="111">
        <f>+K20</f>
        <v>-192296783.42467985</v>
      </c>
      <c r="L10" s="48"/>
      <c r="M10" s="48"/>
    </row>
    <row r="11" spans="1:14" ht="13.5" thickTop="1" x14ac:dyDescent="0.3">
      <c r="A11" s="107">
        <v>8</v>
      </c>
      <c r="B11" s="107"/>
      <c r="C11" s="48"/>
      <c r="D11" s="48"/>
      <c r="E11" s="48"/>
      <c r="F11" s="48"/>
      <c r="G11" s="48"/>
      <c r="H11" s="48"/>
      <c r="I11" s="48"/>
      <c r="J11" s="48"/>
      <c r="K11" s="110"/>
      <c r="L11" s="48"/>
      <c r="M11" s="48"/>
    </row>
    <row r="12" spans="1:14" ht="13" x14ac:dyDescent="0.3">
      <c r="A12" s="107">
        <v>9</v>
      </c>
      <c r="B12" s="107"/>
      <c r="C12" s="48"/>
      <c r="D12" s="48"/>
      <c r="E12" s="48"/>
      <c r="F12" s="48"/>
      <c r="G12" s="112" t="s">
        <v>12</v>
      </c>
      <c r="H12" s="112"/>
      <c r="I12" s="112" t="s">
        <v>347</v>
      </c>
      <c r="J12" s="112"/>
      <c r="K12" s="112" t="s">
        <v>365</v>
      </c>
      <c r="L12" s="48"/>
      <c r="M12" s="48"/>
    </row>
    <row r="13" spans="1:14" ht="13" x14ac:dyDescent="0.3">
      <c r="A13" s="107">
        <v>10</v>
      </c>
      <c r="B13" s="107"/>
      <c r="C13" s="48"/>
      <c r="D13" s="48"/>
      <c r="E13" s="48"/>
      <c r="F13" s="48"/>
      <c r="G13" s="107" t="s">
        <v>482</v>
      </c>
      <c r="H13" s="107"/>
      <c r="I13" s="107" t="s">
        <v>482</v>
      </c>
      <c r="J13" s="107"/>
      <c r="K13" s="107" t="s">
        <v>482</v>
      </c>
      <c r="L13" s="48"/>
      <c r="M13" s="48"/>
    </row>
    <row r="14" spans="1:14" ht="14.5" x14ac:dyDescent="0.35">
      <c r="A14" s="107">
        <v>11</v>
      </c>
      <c r="B14" s="107"/>
      <c r="C14" s="107"/>
      <c r="D14" s="107"/>
      <c r="E14" s="107"/>
      <c r="F14" s="107"/>
      <c r="G14" s="107" t="s">
        <v>359</v>
      </c>
      <c r="H14" s="107"/>
      <c r="I14" s="107" t="s">
        <v>625</v>
      </c>
      <c r="J14" s="107"/>
      <c r="K14" s="279" t="s">
        <v>361</v>
      </c>
      <c r="L14" s="48"/>
      <c r="M14" s="48"/>
    </row>
    <row r="15" spans="1:14" ht="13" x14ac:dyDescent="0.3">
      <c r="A15" s="107">
        <v>12</v>
      </c>
      <c r="B15" s="107"/>
      <c r="C15" s="107" t="s">
        <v>626</v>
      </c>
      <c r="D15" s="107"/>
      <c r="E15" s="107"/>
      <c r="F15" s="107"/>
      <c r="G15" s="107" t="s">
        <v>627</v>
      </c>
      <c r="H15" s="107"/>
      <c r="I15" s="107" t="s">
        <v>627</v>
      </c>
      <c r="J15" s="107"/>
      <c r="K15" s="107" t="s">
        <v>627</v>
      </c>
      <c r="L15" s="48"/>
      <c r="M15" s="48"/>
    </row>
    <row r="16" spans="1:14" ht="13" x14ac:dyDescent="0.3">
      <c r="A16" s="107">
        <v>13</v>
      </c>
      <c r="B16" s="107"/>
      <c r="C16" s="113" t="s">
        <v>134</v>
      </c>
      <c r="D16" s="113"/>
      <c r="E16" s="113"/>
      <c r="F16" s="113"/>
      <c r="G16" s="108" t="s">
        <v>628</v>
      </c>
      <c r="H16" s="107"/>
      <c r="I16" s="108" t="s">
        <v>628</v>
      </c>
      <c r="J16" s="107"/>
      <c r="K16" s="108" t="s">
        <v>628</v>
      </c>
      <c r="L16" s="48"/>
      <c r="M16" s="48"/>
    </row>
    <row r="17" spans="1:14" ht="13" x14ac:dyDescent="0.3">
      <c r="A17" s="107">
        <v>14</v>
      </c>
      <c r="B17" s="107"/>
      <c r="C17" s="48" t="s">
        <v>629</v>
      </c>
      <c r="D17" s="48"/>
      <c r="E17" s="174" t="s">
        <v>630</v>
      </c>
      <c r="F17" s="174"/>
      <c r="G17" s="110">
        <f>+G27</f>
        <v>-182100338.83756387</v>
      </c>
      <c r="H17" s="110"/>
      <c r="I17" s="110">
        <f>+I27</f>
        <v>-193135739.82315111</v>
      </c>
      <c r="J17" s="110"/>
      <c r="K17" s="110">
        <f>(+G17+I17)/2</f>
        <v>-187618039.33035749</v>
      </c>
      <c r="L17" s="48"/>
      <c r="M17" s="48"/>
      <c r="N17" s="48"/>
    </row>
    <row r="18" spans="1:14" ht="13" x14ac:dyDescent="0.3">
      <c r="A18" s="107">
        <v>15</v>
      </c>
      <c r="B18" s="107"/>
      <c r="C18" s="48" t="s">
        <v>631</v>
      </c>
      <c r="D18" s="48"/>
      <c r="E18" s="48" t="s">
        <v>632</v>
      </c>
      <c r="F18" s="48"/>
      <c r="G18" s="110">
        <f>+G32</f>
        <v>-4076322.2301626741</v>
      </c>
      <c r="H18" s="110"/>
      <c r="I18" s="110">
        <f>+I32</f>
        <v>-4054664.6736122891</v>
      </c>
      <c r="J18" s="110"/>
      <c r="K18" s="110">
        <f>(+G18+I18)/2</f>
        <v>-4065493.4518874818</v>
      </c>
      <c r="L18" s="48"/>
      <c r="M18" s="48"/>
      <c r="N18" s="48"/>
    </row>
    <row r="19" spans="1:14" ht="13" x14ac:dyDescent="0.3">
      <c r="A19" s="107">
        <v>16</v>
      </c>
      <c r="B19" s="107"/>
      <c r="C19" s="48" t="s">
        <v>633</v>
      </c>
      <c r="D19" s="48"/>
      <c r="E19" s="48" t="s">
        <v>634</v>
      </c>
      <c r="F19" s="48"/>
      <c r="G19" s="114">
        <f>+G39</f>
        <v>-612066.60912399122</v>
      </c>
      <c r="H19" s="115"/>
      <c r="I19" s="114">
        <f>+I39</f>
        <v>-614434.67574576102</v>
      </c>
      <c r="J19" s="115"/>
      <c r="K19" s="110">
        <f>(+G19+I19)/2</f>
        <v>-613250.64243487618</v>
      </c>
      <c r="L19" s="48"/>
      <c r="M19" s="48"/>
    </row>
    <row r="20" spans="1:14" ht="13.5" thickBot="1" x14ac:dyDescent="0.35">
      <c r="A20" s="107">
        <v>17</v>
      </c>
      <c r="B20" s="107"/>
      <c r="C20" s="48" t="s">
        <v>635</v>
      </c>
      <c r="D20" s="48"/>
      <c r="E20" s="48" t="s">
        <v>636</v>
      </c>
      <c r="F20" s="48"/>
      <c r="G20" s="116">
        <f>+G17+G18+G19</f>
        <v>-186788727.67685056</v>
      </c>
      <c r="H20" s="110"/>
      <c r="I20" s="116">
        <f>+I17+I18+I19</f>
        <v>-197804839.17250916</v>
      </c>
      <c r="J20" s="110"/>
      <c r="K20" s="116">
        <f>+K17+K18+K19</f>
        <v>-192296783.42467985</v>
      </c>
      <c r="L20" s="48"/>
      <c r="M20" s="48"/>
      <c r="N20" s="174" t="s">
        <v>237</v>
      </c>
    </row>
    <row r="21" spans="1:14" ht="13.5" thickTop="1" x14ac:dyDescent="0.3">
      <c r="A21" s="107">
        <v>18</v>
      </c>
      <c r="B21" s="10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</row>
    <row r="22" spans="1:14" ht="13" x14ac:dyDescent="0.3">
      <c r="A22" s="107">
        <v>19</v>
      </c>
      <c r="B22" s="107"/>
      <c r="C22" s="106" t="s">
        <v>637</v>
      </c>
      <c r="D22" s="106"/>
      <c r="E22" s="106"/>
      <c r="F22" s="106"/>
      <c r="G22" s="48"/>
      <c r="H22" s="48"/>
      <c r="I22" s="48"/>
      <c r="J22" s="48"/>
      <c r="K22" s="48"/>
      <c r="L22" s="48"/>
      <c r="M22" s="48"/>
    </row>
    <row r="23" spans="1:14" ht="13" x14ac:dyDescent="0.3">
      <c r="A23" s="107">
        <v>20</v>
      </c>
      <c r="B23" s="107"/>
      <c r="K23" s="201" t="s">
        <v>361</v>
      </c>
    </row>
    <row r="24" spans="1:14" ht="13.5" thickBot="1" x14ac:dyDescent="0.35">
      <c r="A24" s="107">
        <v>21</v>
      </c>
      <c r="B24" s="107"/>
      <c r="C24" s="106" t="s">
        <v>530</v>
      </c>
      <c r="D24" s="106"/>
      <c r="E24" s="106"/>
      <c r="F24" s="106"/>
      <c r="G24" s="280" t="s">
        <v>359</v>
      </c>
      <c r="H24" s="225"/>
      <c r="I24" s="280" t="s">
        <v>625</v>
      </c>
      <c r="J24" s="225"/>
      <c r="K24" s="281" t="s">
        <v>638</v>
      </c>
      <c r="M24" s="256" t="s">
        <v>237</v>
      </c>
    </row>
    <row r="25" spans="1:14" ht="13.5" thickBot="1" x14ac:dyDescent="0.35">
      <c r="A25" s="107">
        <v>22</v>
      </c>
      <c r="B25" s="107"/>
      <c r="C25" s="164" t="s">
        <v>639</v>
      </c>
      <c r="E25" s="48" t="s">
        <v>640</v>
      </c>
      <c r="F25" s="48"/>
      <c r="G25" s="117">
        <v>-2771957878.7399998</v>
      </c>
      <c r="H25" s="118"/>
      <c r="I25" s="119">
        <v>-2939940359.73</v>
      </c>
      <c r="J25" s="120"/>
      <c r="M25" s="278"/>
      <c r="N25" s="50"/>
    </row>
    <row r="26" spans="1:14" ht="14.5" x14ac:dyDescent="0.35">
      <c r="A26" s="107">
        <v>23</v>
      </c>
      <c r="B26" s="107"/>
      <c r="C26" s="164" t="s">
        <v>641</v>
      </c>
      <c r="E26" s="121" t="s">
        <v>642</v>
      </c>
      <c r="F26" s="121"/>
      <c r="G26" s="122">
        <v>6.5693761162178274E-2</v>
      </c>
      <c r="H26" s="123"/>
      <c r="I26" s="122">
        <v>6.5693761162178274E-2</v>
      </c>
      <c r="J26" s="123"/>
      <c r="M26" s="278"/>
    </row>
    <row r="27" spans="1:14" ht="15" thickBot="1" x14ac:dyDescent="0.4">
      <c r="A27" s="107">
        <v>24</v>
      </c>
      <c r="B27" s="107"/>
      <c r="C27" s="164" t="s">
        <v>643</v>
      </c>
      <c r="E27" s="252" t="s">
        <v>644</v>
      </c>
      <c r="F27" s="221"/>
      <c r="G27" s="124">
        <f>+G25*G26</f>
        <v>-182100338.83756387</v>
      </c>
      <c r="H27" s="125"/>
      <c r="I27" s="124">
        <f>+I25*I26</f>
        <v>-193135739.82315111</v>
      </c>
      <c r="J27" s="125"/>
      <c r="K27" s="282">
        <f>(G27+I27)/2</f>
        <v>-187618039.33035749</v>
      </c>
      <c r="M27" s="278"/>
    </row>
    <row r="28" spans="1:14" ht="13.5" thickTop="1" x14ac:dyDescent="0.3">
      <c r="A28" s="107">
        <v>25</v>
      </c>
      <c r="B28" s="107"/>
      <c r="M28" s="278"/>
    </row>
    <row r="29" spans="1:14" ht="13" x14ac:dyDescent="0.3">
      <c r="A29" s="107">
        <v>26</v>
      </c>
      <c r="B29" s="107"/>
      <c r="C29" s="170" t="s">
        <v>645</v>
      </c>
      <c r="D29" s="170"/>
      <c r="E29" s="170"/>
      <c r="F29" s="170"/>
      <c r="M29" s="283" t="s">
        <v>237</v>
      </c>
    </row>
    <row r="30" spans="1:14" ht="13" x14ac:dyDescent="0.3">
      <c r="A30" s="107">
        <v>27</v>
      </c>
      <c r="B30" s="107"/>
      <c r="C30" s="174" t="s">
        <v>646</v>
      </c>
      <c r="D30" s="174"/>
      <c r="E30" s="48" t="s">
        <v>640</v>
      </c>
      <c r="F30" s="48"/>
      <c r="G30" s="117">
        <v>-62050370.659999996</v>
      </c>
      <c r="H30" s="118"/>
      <c r="I30" s="117">
        <v>-61720696.18</v>
      </c>
      <c r="J30" s="120"/>
      <c r="M30" s="278"/>
    </row>
    <row r="31" spans="1:14" ht="14.5" x14ac:dyDescent="0.35">
      <c r="A31" s="107">
        <v>28</v>
      </c>
      <c r="B31" s="107"/>
      <c r="C31" s="164" t="s">
        <v>641</v>
      </c>
      <c r="E31" s="121" t="s">
        <v>642</v>
      </c>
      <c r="F31" s="121"/>
      <c r="G31" s="122">
        <v>6.5693761162178274E-2</v>
      </c>
      <c r="H31" s="123"/>
      <c r="I31" s="122">
        <v>6.5693761162178274E-2</v>
      </c>
      <c r="J31" s="123"/>
      <c r="M31" s="278"/>
    </row>
    <row r="32" spans="1:14" ht="15" thickBot="1" x14ac:dyDescent="0.4">
      <c r="A32" s="107">
        <v>29</v>
      </c>
      <c r="B32" s="107"/>
      <c r="C32" s="164" t="s">
        <v>643</v>
      </c>
      <c r="E32" s="252" t="s">
        <v>647</v>
      </c>
      <c r="F32" s="221"/>
      <c r="G32" s="124">
        <f>+G30*G31</f>
        <v>-4076322.2301626741</v>
      </c>
      <c r="H32" s="125"/>
      <c r="I32" s="124">
        <f>+I30*I31</f>
        <v>-4054664.6736122891</v>
      </c>
      <c r="J32" s="125"/>
      <c r="K32" s="282">
        <f>(G32+I32)/2</f>
        <v>-4065493.4518874818</v>
      </c>
      <c r="M32" s="278"/>
    </row>
    <row r="33" spans="1:11" ht="13.5" thickTop="1" x14ac:dyDescent="0.3">
      <c r="A33" s="107">
        <f t="shared" ref="A33:A39" si="0">1+A32</f>
        <v>30</v>
      </c>
    </row>
    <row r="34" spans="1:11" ht="13" x14ac:dyDescent="0.3">
      <c r="A34" s="107">
        <f t="shared" si="0"/>
        <v>31</v>
      </c>
      <c r="C34" s="170" t="s">
        <v>648</v>
      </c>
    </row>
    <row r="35" spans="1:11" ht="13" x14ac:dyDescent="0.3">
      <c r="A35" s="107">
        <f t="shared" si="0"/>
        <v>32</v>
      </c>
      <c r="C35" s="174" t="s">
        <v>648</v>
      </c>
      <c r="E35" s="48" t="s">
        <v>640</v>
      </c>
      <c r="F35" s="48"/>
      <c r="G35" s="223">
        <v>-18633934.130000003</v>
      </c>
      <c r="H35" s="118"/>
      <c r="I35" s="223">
        <v>-18706028.240000002</v>
      </c>
      <c r="J35" s="120"/>
    </row>
    <row r="36" spans="1:11" ht="13" x14ac:dyDescent="0.3">
      <c r="A36" s="107">
        <f t="shared" si="0"/>
        <v>33</v>
      </c>
      <c r="C36" s="174" t="s">
        <v>649</v>
      </c>
      <c r="E36" s="284" t="s">
        <v>650</v>
      </c>
      <c r="G36" s="285">
        <v>0.5</v>
      </c>
      <c r="I36" s="285">
        <v>0.5</v>
      </c>
    </row>
    <row r="37" spans="1:11" ht="13" x14ac:dyDescent="0.3">
      <c r="A37" s="107">
        <f t="shared" si="0"/>
        <v>34</v>
      </c>
      <c r="C37" s="174" t="s">
        <v>651</v>
      </c>
      <c r="E37" s="174" t="s">
        <v>652</v>
      </c>
      <c r="G37" s="173">
        <f>+G35*G36</f>
        <v>-9316967.0650000013</v>
      </c>
      <c r="H37" s="173"/>
      <c r="I37" s="173">
        <f>+I35*I36</f>
        <v>-9353014.120000001</v>
      </c>
    </row>
    <row r="38" spans="1:11" ht="14.5" x14ac:dyDescent="0.35">
      <c r="A38" s="107">
        <f t="shared" si="0"/>
        <v>35</v>
      </c>
      <c r="C38" s="164" t="s">
        <v>641</v>
      </c>
      <c r="E38" s="121" t="s">
        <v>642</v>
      </c>
      <c r="F38" s="121"/>
      <c r="G38" s="122">
        <v>6.5693761162178274E-2</v>
      </c>
      <c r="H38" s="123"/>
      <c r="I38" s="122">
        <v>6.5693761162178274E-2</v>
      </c>
      <c r="J38" s="123"/>
    </row>
    <row r="39" spans="1:11" ht="15" thickBot="1" x14ac:dyDescent="0.4">
      <c r="A39" s="107">
        <f t="shared" si="0"/>
        <v>36</v>
      </c>
      <c r="C39" s="164" t="s">
        <v>643</v>
      </c>
      <c r="E39" s="252" t="s">
        <v>653</v>
      </c>
      <c r="F39" s="221"/>
      <c r="G39" s="124">
        <f>+G37*G38</f>
        <v>-612066.60912399122</v>
      </c>
      <c r="H39" s="125"/>
      <c r="I39" s="124">
        <f>+I37*I38</f>
        <v>-614434.67574576102</v>
      </c>
      <c r="J39" s="125"/>
      <c r="K39" s="282">
        <f>(G39+I39)/2</f>
        <v>-613250.64243487618</v>
      </c>
    </row>
    <row r="40" spans="1:11" ht="13" thickTop="1" x14ac:dyDescent="0.25"/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scale="85" orientation="landscape" cellComments="asDisplayed" r:id="rId1"/>
  <headerFooter>
    <oddHeader xml:space="preserve">&amp;CSchedule 34
Unfunded Reserves
(2019 Wildfire Adj)&amp;RTO2021 Draft Annual Update
Attachment 4
WP-Schedule 3-One Time Adjustment Transition
Page &amp;P of &amp;N
</oddHeader>
    <oddFooter>&amp;R34-UnfundedReserves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1AB85D-909C-40FA-B6C4-826B3DC18211}">
  <sheetPr>
    <tabColor rgb="FFCCFFCC"/>
  </sheetPr>
  <dimension ref="B3:L14"/>
  <sheetViews>
    <sheetView zoomScaleNormal="100" workbookViewId="0">
      <selection activeCell="B1" sqref="B1"/>
    </sheetView>
  </sheetViews>
  <sheetFormatPr defaultRowHeight="14.5" x14ac:dyDescent="0.35"/>
  <cols>
    <col min="1" max="1" width="2.1796875" customWidth="1"/>
    <col min="3" max="3" width="11.54296875" customWidth="1"/>
    <col min="4" max="4" width="13.1796875" customWidth="1"/>
    <col min="5" max="5" width="15.81640625" customWidth="1"/>
    <col min="6" max="6" width="10.453125" customWidth="1"/>
    <col min="7" max="7" width="15.54296875" customWidth="1"/>
    <col min="8" max="8" width="16.54296875" customWidth="1"/>
    <col min="9" max="9" width="15.81640625" customWidth="1"/>
    <col min="10" max="10" width="16.1796875" customWidth="1"/>
    <col min="12" max="12" width="8.7265625" customWidth="1"/>
  </cols>
  <sheetData>
    <row r="3" spans="2:12" x14ac:dyDescent="0.35">
      <c r="B3" s="310" t="s">
        <v>654</v>
      </c>
      <c r="C3" s="310"/>
      <c r="D3" s="310"/>
      <c r="E3" s="310"/>
      <c r="F3" s="310"/>
      <c r="G3" s="310"/>
      <c r="H3" s="310"/>
      <c r="I3" s="310"/>
      <c r="J3" s="310"/>
    </row>
    <row r="4" spans="2:12" x14ac:dyDescent="0.35">
      <c r="B4" s="310"/>
      <c r="C4" s="310"/>
      <c r="D4" s="310"/>
      <c r="E4" s="310"/>
      <c r="F4" s="310"/>
      <c r="G4" s="310"/>
      <c r="H4" s="310"/>
      <c r="I4" s="310"/>
      <c r="J4" s="310"/>
    </row>
    <row r="5" spans="2:12" ht="29" x14ac:dyDescent="0.35">
      <c r="B5" s="311" t="s">
        <v>95</v>
      </c>
      <c r="C5" s="311"/>
      <c r="D5" s="311"/>
      <c r="E5" s="160" t="s">
        <v>96</v>
      </c>
      <c r="F5" s="153" t="s">
        <v>97</v>
      </c>
      <c r="G5" s="153" t="s">
        <v>91</v>
      </c>
      <c r="H5" s="312" t="s">
        <v>98</v>
      </c>
      <c r="I5" s="312"/>
      <c r="J5" s="312"/>
    </row>
    <row r="6" spans="2:12" ht="48" customHeight="1" x14ac:dyDescent="0.35">
      <c r="B6" s="291" t="s">
        <v>99</v>
      </c>
      <c r="C6" s="292"/>
      <c r="D6" s="293"/>
      <c r="E6" s="140">
        <f>'TO2018EDIT Sch4-TUTRR'!E73</f>
        <v>1048548568.6824008</v>
      </c>
      <c r="F6" s="141">
        <f>315/365</f>
        <v>0.86301369863013699</v>
      </c>
      <c r="G6" s="142">
        <f>E6*F6</f>
        <v>904911778.45193493</v>
      </c>
      <c r="H6" s="301" t="s">
        <v>655</v>
      </c>
      <c r="I6" s="301"/>
      <c r="J6" s="301"/>
      <c r="L6" s="157"/>
    </row>
    <row r="7" spans="2:12" ht="33.65" customHeight="1" x14ac:dyDescent="0.35">
      <c r="B7" s="302" t="s">
        <v>656</v>
      </c>
      <c r="C7" s="292"/>
      <c r="D7" s="293"/>
      <c r="E7" s="144">
        <f>'TO2018EDIT Sch4-TUTRR'!J71</f>
        <v>1029299389.04686</v>
      </c>
      <c r="F7" s="141">
        <f>315/365</f>
        <v>0.86301369863013699</v>
      </c>
      <c r="G7" s="142">
        <f>E7*F7</f>
        <v>888299472.73907089</v>
      </c>
      <c r="H7" s="301" t="s">
        <v>100</v>
      </c>
      <c r="I7" s="301"/>
      <c r="J7" s="301"/>
      <c r="L7" s="157"/>
    </row>
    <row r="8" spans="2:12" ht="33.65" customHeight="1" x14ac:dyDescent="0.35">
      <c r="B8" s="303" t="s">
        <v>657</v>
      </c>
      <c r="C8" s="304"/>
      <c r="D8" s="304"/>
      <c r="E8" s="304"/>
      <c r="F8" s="305"/>
      <c r="G8" s="155">
        <f>G6-G7</f>
        <v>16612305.712864041</v>
      </c>
      <c r="H8" s="306"/>
      <c r="I8" s="307"/>
      <c r="J8" s="308"/>
      <c r="L8" s="157"/>
    </row>
    <row r="9" spans="2:12" ht="33.65" customHeight="1" x14ac:dyDescent="0.35">
      <c r="B9" s="309" t="s">
        <v>684</v>
      </c>
      <c r="C9" s="309"/>
      <c r="D9" s="309"/>
      <c r="E9" s="140">
        <f>'TO2021EDIT Sch4-TUTRR'!E73</f>
        <v>1064287712.9169666</v>
      </c>
      <c r="F9" s="141">
        <f>50/365</f>
        <v>0.13698630136986301</v>
      </c>
      <c r="G9" s="142">
        <f>E9*F9</f>
        <v>145792837.38588583</v>
      </c>
      <c r="H9" s="301" t="s">
        <v>658</v>
      </c>
      <c r="I9" s="301"/>
      <c r="J9" s="301"/>
      <c r="L9" s="157"/>
    </row>
    <row r="10" spans="2:12" ht="33.65" customHeight="1" x14ac:dyDescent="0.35">
      <c r="B10" s="309" t="s">
        <v>659</v>
      </c>
      <c r="C10" s="309"/>
      <c r="D10" s="309"/>
      <c r="E10" s="143">
        <f>'TO2021EDIT Sch4-TUTRR'!J71</f>
        <v>1045038533.2814256</v>
      </c>
      <c r="F10" s="141">
        <f>50/365</f>
        <v>0.13698630136986301</v>
      </c>
      <c r="G10" s="142">
        <f>E10*F10</f>
        <v>143155963.46320897</v>
      </c>
      <c r="H10" s="313" t="s">
        <v>660</v>
      </c>
      <c r="I10" s="294"/>
      <c r="J10" s="294"/>
      <c r="L10" s="157"/>
    </row>
    <row r="11" spans="2:12" ht="33.65" customHeight="1" x14ac:dyDescent="0.35">
      <c r="B11" s="314" t="s">
        <v>661</v>
      </c>
      <c r="C11" s="314"/>
      <c r="D11" s="314"/>
      <c r="E11" s="314"/>
      <c r="F11" s="314"/>
      <c r="G11" s="156">
        <f>G9-G10</f>
        <v>2636873.9226768613</v>
      </c>
      <c r="H11" s="306"/>
      <c r="I11" s="307"/>
      <c r="J11" s="308"/>
    </row>
    <row r="12" spans="2:12" x14ac:dyDescent="0.35">
      <c r="B12" s="303" t="s">
        <v>662</v>
      </c>
      <c r="C12" s="304"/>
      <c r="D12" s="304"/>
      <c r="E12" s="304"/>
      <c r="F12" s="305"/>
      <c r="G12" s="154">
        <f>G8+G11</f>
        <v>19249179.635540903</v>
      </c>
      <c r="H12" s="315"/>
      <c r="I12" s="315"/>
      <c r="J12" s="315"/>
    </row>
    <row r="14" spans="2:12" x14ac:dyDescent="0.35">
      <c r="E14" s="7"/>
    </row>
  </sheetData>
  <mergeCells count="17">
    <mergeCell ref="H10:J10"/>
    <mergeCell ref="B11:F11"/>
    <mergeCell ref="H11:J11"/>
    <mergeCell ref="B12:F12"/>
    <mergeCell ref="H12:J12"/>
    <mergeCell ref="B10:D10"/>
    <mergeCell ref="B3:J4"/>
    <mergeCell ref="B5:D5"/>
    <mergeCell ref="H5:J5"/>
    <mergeCell ref="B6:D6"/>
    <mergeCell ref="H6:J6"/>
    <mergeCell ref="B7:D7"/>
    <mergeCell ref="H7:J7"/>
    <mergeCell ref="B8:F8"/>
    <mergeCell ref="H8:J8"/>
    <mergeCell ref="B9:D9"/>
    <mergeCell ref="H9:J9"/>
  </mergeCells>
  <phoneticPr fontId="37" type="noConversion"/>
  <pageMargins left="0.7" right="0.7" top="0.75" bottom="0.75" header="0.3" footer="0.3"/>
  <pageSetup scale="71" orientation="portrait" r:id="rId1"/>
  <headerFooter>
    <oddHeader xml:space="preserve">&amp;RTO2021 Draft Annual Update
Attachment 4
WP-Schedule 3-One Time Adjustment Transition
Page &amp;P of &amp;N
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0D251-9842-4D92-B114-9CBA8E116B3F}">
  <sheetPr>
    <tabColor rgb="FFCCFFCC"/>
  </sheetPr>
  <dimension ref="A1:N172"/>
  <sheetViews>
    <sheetView zoomScale="90" zoomScaleNormal="90" zoomScalePageLayoutView="80" workbookViewId="0"/>
  </sheetViews>
  <sheetFormatPr defaultRowHeight="12.5" x14ac:dyDescent="0.25"/>
  <cols>
    <col min="1" max="2" width="4.54296875" style="164" customWidth="1"/>
    <col min="3" max="3" width="18.54296875" style="164" customWidth="1"/>
    <col min="4" max="4" width="10.453125" style="164" bestFit="1" customWidth="1"/>
    <col min="5" max="7" width="15.54296875" style="164" customWidth="1"/>
    <col min="8" max="8" width="24.54296875" style="164" customWidth="1"/>
    <col min="9" max="9" width="4.54296875" style="164" customWidth="1"/>
    <col min="10" max="10" width="15.54296875" style="164" customWidth="1"/>
    <col min="11" max="11" width="2.54296875" style="164" customWidth="1"/>
    <col min="12" max="12" width="14.453125" style="164" customWidth="1"/>
    <col min="13" max="13" width="4.453125" style="164" customWidth="1"/>
    <col min="14" max="14" width="15.453125" style="164" customWidth="1"/>
    <col min="15" max="16384" width="8.7265625" style="164"/>
  </cols>
  <sheetData>
    <row r="1" spans="1:14" ht="13" x14ac:dyDescent="0.3">
      <c r="A1" s="163" t="s">
        <v>104</v>
      </c>
    </row>
    <row r="3" spans="1:14" ht="13" x14ac:dyDescent="0.3">
      <c r="B3" s="165" t="s">
        <v>105</v>
      </c>
      <c r="L3" s="166"/>
    </row>
    <row r="4" spans="1:14" ht="13" x14ac:dyDescent="0.3">
      <c r="B4" s="167"/>
      <c r="F4" s="166" t="s">
        <v>106</v>
      </c>
      <c r="G4" s="166"/>
      <c r="H4" s="166" t="s">
        <v>107</v>
      </c>
      <c r="L4" s="166"/>
      <c r="N4" s="166"/>
    </row>
    <row r="5" spans="1:14" ht="13" x14ac:dyDescent="0.3">
      <c r="A5" s="168" t="s">
        <v>108</v>
      </c>
      <c r="B5" s="169"/>
      <c r="C5" s="170" t="s">
        <v>109</v>
      </c>
      <c r="F5" s="171" t="s">
        <v>110</v>
      </c>
      <c r="G5" s="171" t="s">
        <v>111</v>
      </c>
      <c r="H5" s="171" t="s">
        <v>112</v>
      </c>
      <c r="J5" s="171" t="s">
        <v>96</v>
      </c>
      <c r="L5" s="171"/>
      <c r="N5" s="171"/>
    </row>
    <row r="6" spans="1:14" ht="13" x14ac:dyDescent="0.3">
      <c r="A6" s="166">
        <v>1</v>
      </c>
      <c r="C6" s="172" t="s">
        <v>113</v>
      </c>
      <c r="F6" s="164" t="s">
        <v>114</v>
      </c>
      <c r="H6" s="172" t="s">
        <v>688</v>
      </c>
      <c r="J6" s="173">
        <v>8939630709.3337479</v>
      </c>
      <c r="L6" s="171"/>
      <c r="N6" s="173"/>
    </row>
    <row r="7" spans="1:14" ht="13" x14ac:dyDescent="0.3">
      <c r="A7" s="166">
        <f>A6+1</f>
        <v>2</v>
      </c>
      <c r="C7" s="172" t="s">
        <v>115</v>
      </c>
      <c r="F7" s="164" t="s">
        <v>116</v>
      </c>
      <c r="H7" s="172" t="s">
        <v>689</v>
      </c>
      <c r="J7" s="173">
        <v>289044062.07088608</v>
      </c>
      <c r="L7" s="171"/>
      <c r="N7" s="173"/>
    </row>
    <row r="8" spans="1:14" ht="13" x14ac:dyDescent="0.3">
      <c r="A8" s="166">
        <f>A7+1</f>
        <v>3</v>
      </c>
      <c r="C8" s="172" t="s">
        <v>117</v>
      </c>
      <c r="F8" s="164" t="s">
        <v>116</v>
      </c>
      <c r="H8" s="164" t="s">
        <v>692</v>
      </c>
      <c r="J8" s="173">
        <v>9942155</v>
      </c>
      <c r="L8" s="171"/>
      <c r="N8" s="173"/>
    </row>
    <row r="9" spans="1:14" ht="13" x14ac:dyDescent="0.3">
      <c r="A9" s="166">
        <f>A8+1</f>
        <v>4</v>
      </c>
      <c r="C9" s="172" t="s">
        <v>118</v>
      </c>
      <c r="F9" s="164" t="s">
        <v>116</v>
      </c>
      <c r="H9" s="174" t="s">
        <v>695</v>
      </c>
      <c r="J9" s="173">
        <v>0</v>
      </c>
      <c r="L9" s="171"/>
      <c r="N9" s="173"/>
    </row>
    <row r="10" spans="1:14" ht="13" x14ac:dyDescent="0.3">
      <c r="A10" s="166"/>
      <c r="C10" s="172"/>
      <c r="J10" s="173"/>
      <c r="L10" s="171"/>
      <c r="N10" s="173"/>
    </row>
    <row r="11" spans="1:14" ht="13" x14ac:dyDescent="0.3">
      <c r="A11" s="166"/>
      <c r="C11" s="175" t="s">
        <v>119</v>
      </c>
      <c r="J11" s="173"/>
      <c r="L11" s="171"/>
      <c r="N11" s="173"/>
    </row>
    <row r="12" spans="1:14" ht="13" x14ac:dyDescent="0.3">
      <c r="A12" s="166">
        <f>A9+1</f>
        <v>5</v>
      </c>
      <c r="C12" s="176" t="s">
        <v>120</v>
      </c>
      <c r="F12" s="164" t="s">
        <v>114</v>
      </c>
      <c r="H12" s="172" t="s">
        <v>698</v>
      </c>
      <c r="J12" s="173">
        <v>21481204.872946855</v>
      </c>
      <c r="L12" s="171"/>
      <c r="N12" s="173"/>
    </row>
    <row r="13" spans="1:14" ht="13" x14ac:dyDescent="0.3">
      <c r="A13" s="166">
        <f>A12+1</f>
        <v>6</v>
      </c>
      <c r="C13" s="169" t="s">
        <v>121</v>
      </c>
      <c r="F13" s="164" t="s">
        <v>114</v>
      </c>
      <c r="H13" s="172" t="s">
        <v>699</v>
      </c>
      <c r="J13" s="173">
        <v>21290573.843281552</v>
      </c>
      <c r="L13" s="171"/>
      <c r="N13" s="173"/>
    </row>
    <row r="14" spans="1:14" ht="13" x14ac:dyDescent="0.3">
      <c r="A14" s="166">
        <f>A13+1</f>
        <v>7</v>
      </c>
      <c r="C14" s="176" t="s">
        <v>122</v>
      </c>
      <c r="F14" s="174" t="s">
        <v>123</v>
      </c>
      <c r="H14" s="164" t="s">
        <v>702</v>
      </c>
      <c r="J14" s="177">
        <v>24351242.598457407</v>
      </c>
      <c r="L14" s="171"/>
      <c r="N14" s="173"/>
    </row>
    <row r="15" spans="1:14" ht="13" x14ac:dyDescent="0.3">
      <c r="A15" s="166">
        <f>A14+1</f>
        <v>8</v>
      </c>
      <c r="C15" s="176" t="s">
        <v>124</v>
      </c>
      <c r="H15" s="164" t="str">
        <f>"Line "&amp;A12&amp;" + Line "&amp;A13&amp;" + Line "&amp;A14&amp;""</f>
        <v>Line 5 + Line 6 + Line 7</v>
      </c>
      <c r="J15" s="173">
        <f>SUM(J12:J14)</f>
        <v>67123021.314685822</v>
      </c>
      <c r="L15" s="171"/>
      <c r="N15" s="173"/>
    </row>
    <row r="16" spans="1:14" ht="13" x14ac:dyDescent="0.3">
      <c r="A16" s="166"/>
      <c r="C16" s="176"/>
      <c r="J16" s="173"/>
      <c r="L16" s="171"/>
      <c r="N16" s="173"/>
    </row>
    <row r="17" spans="1:14" ht="13" x14ac:dyDescent="0.3">
      <c r="A17" s="166"/>
      <c r="C17" s="178" t="s">
        <v>125</v>
      </c>
      <c r="J17" s="173"/>
      <c r="L17" s="171"/>
      <c r="N17" s="173"/>
    </row>
    <row r="18" spans="1:14" ht="13" x14ac:dyDescent="0.3">
      <c r="A18" s="166">
        <f>A15+1</f>
        <v>9</v>
      </c>
      <c r="C18" s="176" t="s">
        <v>126</v>
      </c>
      <c r="F18" s="164" t="s">
        <v>114</v>
      </c>
      <c r="G18" s="164" t="s">
        <v>127</v>
      </c>
      <c r="H18" s="172" t="s">
        <v>718</v>
      </c>
      <c r="J18" s="173">
        <v>-1839774172.2805853</v>
      </c>
      <c r="L18" s="171"/>
      <c r="N18" s="173"/>
    </row>
    <row r="19" spans="1:14" ht="13" x14ac:dyDescent="0.3">
      <c r="A19" s="166">
        <f>A18+1</f>
        <v>10</v>
      </c>
      <c r="C19" s="176" t="s">
        <v>128</v>
      </c>
      <c r="F19" s="164" t="s">
        <v>116</v>
      </c>
      <c r="G19" s="164" t="s">
        <v>127</v>
      </c>
      <c r="H19" s="172" t="s">
        <v>719</v>
      </c>
      <c r="J19" s="173">
        <v>0</v>
      </c>
      <c r="L19" s="171"/>
      <c r="N19" s="173"/>
    </row>
    <row r="20" spans="1:14" ht="13" x14ac:dyDescent="0.3">
      <c r="A20" s="166">
        <f>A19+1</f>
        <v>11</v>
      </c>
      <c r="C20" s="176" t="s">
        <v>129</v>
      </c>
      <c r="D20" s="47"/>
      <c r="F20" s="164" t="s">
        <v>116</v>
      </c>
      <c r="G20" s="164" t="s">
        <v>127</v>
      </c>
      <c r="H20" s="172" t="s">
        <v>720</v>
      </c>
      <c r="J20" s="177">
        <v>-105831142.34877566</v>
      </c>
      <c r="L20" s="171"/>
      <c r="N20" s="173"/>
    </row>
    <row r="21" spans="1:14" ht="13" x14ac:dyDescent="0.3">
      <c r="A21" s="166">
        <f>A20+1</f>
        <v>12</v>
      </c>
      <c r="C21" s="46" t="s">
        <v>130</v>
      </c>
      <c r="D21" s="47"/>
      <c r="H21" s="164" t="str">
        <f>"Line "&amp;A18&amp;" + Line "&amp;A19&amp;" + Line "&amp;A20&amp;""</f>
        <v>Line 9 + Line 10 + Line 11</v>
      </c>
      <c r="J21" s="173">
        <f>SUM(J18:J20)</f>
        <v>-1945605314.6293609</v>
      </c>
      <c r="L21" s="171"/>
      <c r="N21" s="173"/>
    </row>
    <row r="22" spans="1:14" ht="13" x14ac:dyDescent="0.3">
      <c r="A22" s="166"/>
      <c r="C22" s="174"/>
      <c r="J22" s="173"/>
      <c r="L22" s="171"/>
      <c r="N22" s="173"/>
    </row>
    <row r="23" spans="1:14" ht="13" x14ac:dyDescent="0.3">
      <c r="A23" s="166">
        <f>A21+1</f>
        <v>13</v>
      </c>
      <c r="C23" s="179" t="s">
        <v>131</v>
      </c>
      <c r="F23" s="164" t="s">
        <v>116</v>
      </c>
      <c r="H23" s="172" t="s">
        <v>724</v>
      </c>
      <c r="J23" s="173">
        <v>-1632992371.4042728</v>
      </c>
      <c r="L23" s="171"/>
      <c r="N23" s="173"/>
    </row>
    <row r="24" spans="1:14" ht="13" x14ac:dyDescent="0.3">
      <c r="A24" s="166">
        <f>A23+1</f>
        <v>14</v>
      </c>
      <c r="C24" s="172" t="s">
        <v>132</v>
      </c>
      <c r="F24" s="164" t="s">
        <v>114</v>
      </c>
      <c r="H24" s="172" t="s">
        <v>726</v>
      </c>
      <c r="J24" s="173">
        <v>601481319.8292309</v>
      </c>
      <c r="L24" s="171"/>
      <c r="N24" s="173"/>
    </row>
    <row r="25" spans="1:14" ht="13" x14ac:dyDescent="0.3">
      <c r="A25" s="166">
        <f>A24+1</f>
        <v>15</v>
      </c>
      <c r="C25" s="179" t="s">
        <v>133</v>
      </c>
      <c r="F25" s="164" t="s">
        <v>116</v>
      </c>
      <c r="G25" s="164" t="s">
        <v>127</v>
      </c>
      <c r="H25" s="172" t="s">
        <v>728</v>
      </c>
      <c r="J25" s="173">
        <v>-50661304.942000374</v>
      </c>
      <c r="L25" s="171"/>
      <c r="N25" s="173"/>
    </row>
    <row r="26" spans="1:14" ht="13" x14ac:dyDescent="0.3">
      <c r="A26" s="166">
        <f>A25+1</f>
        <v>16</v>
      </c>
      <c r="C26" s="172" t="s">
        <v>134</v>
      </c>
      <c r="H26" s="174" t="s">
        <v>731</v>
      </c>
      <c r="J26" s="173">
        <v>-192296783.42467985</v>
      </c>
      <c r="L26" s="171"/>
      <c r="N26" s="173"/>
    </row>
    <row r="27" spans="1:14" ht="13" x14ac:dyDescent="0.3">
      <c r="A27" s="166">
        <f>A26+1</f>
        <v>17</v>
      </c>
      <c r="C27" s="179" t="s">
        <v>135</v>
      </c>
      <c r="F27" s="164" t="s">
        <v>116</v>
      </c>
      <c r="H27" s="172" t="s">
        <v>733</v>
      </c>
      <c r="J27" s="173">
        <v>0</v>
      </c>
      <c r="L27" s="171"/>
      <c r="N27" s="173"/>
    </row>
    <row r="28" spans="1:14" ht="13" x14ac:dyDescent="0.3">
      <c r="A28" s="166"/>
      <c r="C28" s="179"/>
      <c r="L28" s="171"/>
      <c r="N28" s="173"/>
    </row>
    <row r="29" spans="1:14" ht="13" x14ac:dyDescent="0.3">
      <c r="A29" s="166">
        <f>A27+1</f>
        <v>18</v>
      </c>
      <c r="C29" s="164" t="s">
        <v>136</v>
      </c>
      <c r="H29" s="164" t="str">
        <f>"L"&amp;A6&amp;"+L"&amp;A7&amp;"+L"&amp;A8&amp;"+L"&amp;A9&amp;"+L"&amp;A15&amp;"+L"&amp;A21&amp;"+"</f>
        <v>L1+L2+L3+L4+L8+L12+</v>
      </c>
      <c r="J29" s="173">
        <f>J6+ J7+J8+J9+J15+J21+J23+J24+J25+J26+J27</f>
        <v>6085665493.1482372</v>
      </c>
      <c r="L29" s="171"/>
      <c r="N29" s="173"/>
    </row>
    <row r="30" spans="1:14" ht="13" x14ac:dyDescent="0.3">
      <c r="A30" s="166"/>
      <c r="H30" s="164" t="str">
        <f>"L"&amp;A23&amp;"+L"&amp;A24&amp;"+L"&amp;A25&amp;"+L"&amp;A26&amp;"+L"&amp;A27&amp;""</f>
        <v>L13+L14+L15+L16+L17</v>
      </c>
      <c r="J30" s="173"/>
      <c r="L30" s="171"/>
      <c r="N30" s="173"/>
    </row>
    <row r="31" spans="1:14" ht="13" x14ac:dyDescent="0.3">
      <c r="A31" s="166"/>
      <c r="B31" s="163" t="s">
        <v>137</v>
      </c>
      <c r="J31" s="173"/>
      <c r="L31" s="171"/>
      <c r="N31" s="173"/>
    </row>
    <row r="32" spans="1:14" ht="13" x14ac:dyDescent="0.3">
      <c r="A32" s="168" t="s">
        <v>108</v>
      </c>
      <c r="C32" s="163"/>
      <c r="J32" s="173"/>
      <c r="L32" s="171"/>
      <c r="N32" s="173"/>
    </row>
    <row r="33" spans="1:14" ht="13" x14ac:dyDescent="0.3">
      <c r="A33" s="166">
        <f>A29+1</f>
        <v>19</v>
      </c>
      <c r="B33" s="174"/>
      <c r="C33" s="174" t="s">
        <v>138</v>
      </c>
      <c r="D33" s="174"/>
      <c r="E33" s="174"/>
      <c r="F33" s="174"/>
      <c r="G33" s="174" t="s">
        <v>139</v>
      </c>
      <c r="H33" s="174" t="str">
        <f>"Instruction 1, Line "&amp;B98&amp;""</f>
        <v>Instruction 1, Line j</v>
      </c>
      <c r="I33" s="174"/>
      <c r="J33" s="180">
        <f>E98</f>
        <v>7.5664931777425337E-2</v>
      </c>
      <c r="L33" s="171"/>
      <c r="M33" s="181"/>
      <c r="N33" s="173"/>
    </row>
    <row r="34" spans="1:14" ht="13" x14ac:dyDescent="0.3">
      <c r="A34" s="166">
        <f>A33+1</f>
        <v>20</v>
      </c>
      <c r="C34" s="174" t="s">
        <v>140</v>
      </c>
      <c r="D34" s="174"/>
      <c r="E34" s="174"/>
      <c r="F34" s="174"/>
      <c r="G34" s="174"/>
      <c r="H34" s="164" t="str">
        <f>"Line "&amp;A29&amp;" * Line "&amp;A33&amp;""</f>
        <v>Line 18 * Line 19</v>
      </c>
      <c r="J34" s="182">
        <f>J29*J33</f>
        <v>460471464.35929286</v>
      </c>
      <c r="L34" s="171"/>
      <c r="N34" s="173"/>
    </row>
    <row r="35" spans="1:14" ht="13" x14ac:dyDescent="0.3">
      <c r="A35" s="166"/>
      <c r="B35" s="169"/>
      <c r="L35" s="171"/>
      <c r="N35" s="173"/>
    </row>
    <row r="36" spans="1:14" ht="13" x14ac:dyDescent="0.3">
      <c r="A36" s="166"/>
      <c r="B36" s="163" t="s">
        <v>141</v>
      </c>
      <c r="L36" s="171"/>
      <c r="N36" s="173"/>
    </row>
    <row r="37" spans="1:14" ht="13" x14ac:dyDescent="0.3">
      <c r="A37" s="166"/>
      <c r="B37" s="169"/>
      <c r="L37" s="171"/>
      <c r="N37" s="173"/>
    </row>
    <row r="38" spans="1:14" ht="13" x14ac:dyDescent="0.3">
      <c r="A38" s="166">
        <f>A34+1</f>
        <v>21</v>
      </c>
      <c r="C38" s="174" t="s">
        <v>142</v>
      </c>
      <c r="J38" s="173">
        <f>(((J29*J42) + J45) *(J43/(1-J43)))+(J44/(1-J43))</f>
        <v>110269540.88324089</v>
      </c>
      <c r="L38" s="171"/>
      <c r="N38" s="173"/>
    </row>
    <row r="39" spans="1:14" ht="13" x14ac:dyDescent="0.3">
      <c r="A39" s="166"/>
      <c r="J39" s="174"/>
      <c r="L39" s="171"/>
      <c r="N39" s="173"/>
    </row>
    <row r="40" spans="1:14" ht="13" x14ac:dyDescent="0.3">
      <c r="A40" s="166"/>
      <c r="D40" s="164" t="s">
        <v>143</v>
      </c>
      <c r="L40" s="171"/>
      <c r="N40" s="173"/>
    </row>
    <row r="41" spans="1:14" ht="13" x14ac:dyDescent="0.3">
      <c r="A41" s="166">
        <f>A38+1</f>
        <v>22</v>
      </c>
      <c r="D41" s="169" t="s">
        <v>144</v>
      </c>
      <c r="H41" s="164" t="str">
        <f>"Line "&amp;A29&amp;""</f>
        <v>Line 18</v>
      </c>
      <c r="J41" s="173">
        <f>J29</f>
        <v>6085665493.1482372</v>
      </c>
      <c r="L41" s="171"/>
      <c r="N41" s="173"/>
    </row>
    <row r="42" spans="1:14" ht="13" x14ac:dyDescent="0.3">
      <c r="A42" s="166">
        <f>A41+1</f>
        <v>23</v>
      </c>
      <c r="D42" s="176" t="s">
        <v>145</v>
      </c>
      <c r="G42" s="174" t="s">
        <v>146</v>
      </c>
      <c r="H42" s="174" t="str">
        <f>"Instruction 1, Line "&amp;B103&amp;""</f>
        <v>Instruction 1, Line k</v>
      </c>
      <c r="J42" s="180">
        <f>E103</f>
        <v>5.381968108883782E-2</v>
      </c>
      <c r="L42" s="171"/>
      <c r="M42" s="181"/>
      <c r="N42" s="173"/>
    </row>
    <row r="43" spans="1:14" ht="13" x14ac:dyDescent="0.3">
      <c r="A43" s="166">
        <f>A42+1</f>
        <v>24</v>
      </c>
      <c r="D43" s="169" t="s">
        <v>147</v>
      </c>
      <c r="H43" s="164" t="s">
        <v>703</v>
      </c>
      <c r="J43" s="181">
        <v>0.27983599999999997</v>
      </c>
      <c r="L43" s="171"/>
      <c r="M43" s="181"/>
      <c r="N43" s="173"/>
    </row>
    <row r="44" spans="1:14" ht="13" x14ac:dyDescent="0.3">
      <c r="A44" s="166">
        <f>A43+1</f>
        <v>25</v>
      </c>
      <c r="D44" s="169" t="s">
        <v>148</v>
      </c>
      <c r="H44" s="164" t="s">
        <v>704</v>
      </c>
      <c r="J44" s="173">
        <v>-13338285</v>
      </c>
      <c r="L44" s="171"/>
      <c r="N44" s="173"/>
    </row>
    <row r="45" spans="1:14" ht="13" x14ac:dyDescent="0.3">
      <c r="A45" s="166">
        <f>A44+1</f>
        <v>26</v>
      </c>
      <c r="D45" s="169" t="s">
        <v>149</v>
      </c>
      <c r="H45" s="164" t="s">
        <v>705</v>
      </c>
      <c r="J45" s="182">
        <v>3917123</v>
      </c>
      <c r="L45" s="171"/>
      <c r="N45" s="173"/>
    </row>
    <row r="46" spans="1:14" ht="13" x14ac:dyDescent="0.3">
      <c r="A46" s="166"/>
      <c r="B46" s="169"/>
      <c r="L46" s="171"/>
      <c r="N46" s="173"/>
    </row>
    <row r="47" spans="1:14" ht="13" x14ac:dyDescent="0.3">
      <c r="A47" s="166"/>
      <c r="B47" s="163" t="s">
        <v>150</v>
      </c>
      <c r="L47" s="171"/>
      <c r="N47" s="173"/>
    </row>
    <row r="48" spans="1:14" ht="13" x14ac:dyDescent="0.3">
      <c r="A48" s="166">
        <f>A45+1</f>
        <v>27</v>
      </c>
      <c r="B48" s="169"/>
      <c r="C48" s="164" t="s">
        <v>151</v>
      </c>
      <c r="H48" s="164" t="s">
        <v>706</v>
      </c>
      <c r="J48" s="173">
        <v>112781173.69267865</v>
      </c>
      <c r="L48" s="171"/>
      <c r="N48" s="173"/>
    </row>
    <row r="49" spans="1:14" ht="13" x14ac:dyDescent="0.3">
      <c r="A49" s="166">
        <f t="shared" ref="A49:A59" si="0">A48+1</f>
        <v>28</v>
      </c>
      <c r="B49" s="169"/>
      <c r="C49" s="174" t="s">
        <v>152</v>
      </c>
      <c r="H49" s="164" t="s">
        <v>707</v>
      </c>
      <c r="J49" s="173">
        <v>82028767.094980612</v>
      </c>
      <c r="L49" s="171"/>
      <c r="N49" s="173"/>
    </row>
    <row r="50" spans="1:14" ht="13" x14ac:dyDescent="0.3">
      <c r="A50" s="166">
        <f>A49+1</f>
        <v>29</v>
      </c>
      <c r="B50" s="169"/>
      <c r="C50" s="164" t="s">
        <v>153</v>
      </c>
      <c r="H50" s="164" t="s">
        <v>708</v>
      </c>
      <c r="J50" s="173">
        <v>4075483.5901751588</v>
      </c>
      <c r="L50" s="171"/>
      <c r="N50" s="173"/>
    </row>
    <row r="51" spans="1:14" ht="13" x14ac:dyDescent="0.3">
      <c r="A51" s="166">
        <f t="shared" si="0"/>
        <v>30</v>
      </c>
      <c r="B51" s="169"/>
      <c r="C51" s="174" t="s">
        <v>154</v>
      </c>
      <c r="H51" s="164" t="s">
        <v>709</v>
      </c>
      <c r="J51" s="173">
        <v>255157633.3971031</v>
      </c>
      <c r="L51" s="171"/>
      <c r="N51" s="173"/>
    </row>
    <row r="52" spans="1:14" ht="13" x14ac:dyDescent="0.3">
      <c r="A52" s="166">
        <f t="shared" si="0"/>
        <v>31</v>
      </c>
      <c r="B52" s="169"/>
      <c r="C52" s="174" t="s">
        <v>155</v>
      </c>
      <c r="H52" s="164" t="s">
        <v>710</v>
      </c>
      <c r="J52" s="173">
        <v>0</v>
      </c>
      <c r="L52" s="171"/>
      <c r="N52" s="173"/>
    </row>
    <row r="53" spans="1:14" ht="13" x14ac:dyDescent="0.3">
      <c r="A53" s="166">
        <f t="shared" si="0"/>
        <v>32</v>
      </c>
      <c r="B53" s="169"/>
      <c r="C53" s="174" t="s">
        <v>156</v>
      </c>
      <c r="H53" s="164" t="s">
        <v>711</v>
      </c>
      <c r="J53" s="173">
        <v>66058181.16746673</v>
      </c>
      <c r="L53" s="171"/>
      <c r="N53" s="173"/>
    </row>
    <row r="54" spans="1:14" ht="13" x14ac:dyDescent="0.3">
      <c r="A54" s="166">
        <f t="shared" si="0"/>
        <v>33</v>
      </c>
      <c r="B54" s="169"/>
      <c r="C54" s="164" t="s">
        <v>157</v>
      </c>
      <c r="G54" s="174"/>
      <c r="H54" s="164" t="s">
        <v>712</v>
      </c>
      <c r="J54" s="173">
        <v>-54094032.244774804</v>
      </c>
      <c r="L54" s="171"/>
      <c r="N54" s="173"/>
    </row>
    <row r="55" spans="1:14" ht="13" x14ac:dyDescent="0.3">
      <c r="A55" s="166">
        <f t="shared" si="0"/>
        <v>34</v>
      </c>
      <c r="B55" s="169"/>
      <c r="C55" s="164" t="s">
        <v>158</v>
      </c>
      <c r="H55" s="164" t="str">
        <f>"Line "&amp;A34&amp;""</f>
        <v>Line 20</v>
      </c>
      <c r="J55" s="173">
        <f>J34</f>
        <v>460471464.35929286</v>
      </c>
      <c r="L55" s="171"/>
      <c r="N55" s="173"/>
    </row>
    <row r="56" spans="1:14" ht="13" x14ac:dyDescent="0.3">
      <c r="A56" s="166">
        <f t="shared" si="0"/>
        <v>35</v>
      </c>
      <c r="B56" s="169"/>
      <c r="C56" s="164" t="s">
        <v>159</v>
      </c>
      <c r="H56" s="164" t="str">
        <f>"Line "&amp;A38&amp;""</f>
        <v>Line 21</v>
      </c>
      <c r="J56" s="182">
        <f>J38</f>
        <v>110269540.88324089</v>
      </c>
      <c r="L56" s="171"/>
      <c r="N56" s="173"/>
    </row>
    <row r="57" spans="1:14" ht="13" x14ac:dyDescent="0.3">
      <c r="A57" s="166">
        <f t="shared" si="0"/>
        <v>36</v>
      </c>
      <c r="B57" s="169"/>
      <c r="C57" s="174" t="s">
        <v>160</v>
      </c>
      <c r="H57" s="164" t="s">
        <v>713</v>
      </c>
      <c r="J57" s="182">
        <v>0</v>
      </c>
      <c r="L57" s="171"/>
      <c r="N57" s="173"/>
    </row>
    <row r="58" spans="1:14" ht="13" x14ac:dyDescent="0.3">
      <c r="A58" s="166">
        <f t="shared" si="0"/>
        <v>37</v>
      </c>
      <c r="B58" s="169"/>
      <c r="C58" s="48" t="s">
        <v>161</v>
      </c>
      <c r="D58" s="48"/>
      <c r="H58" s="164" t="s">
        <v>714</v>
      </c>
      <c r="J58" s="177">
        <v>0</v>
      </c>
      <c r="L58" s="171"/>
      <c r="N58" s="173"/>
    </row>
    <row r="59" spans="1:14" ht="13" x14ac:dyDescent="0.3">
      <c r="A59" s="166">
        <f t="shared" si="0"/>
        <v>38</v>
      </c>
      <c r="B59" s="169"/>
      <c r="C59" s="174" t="s">
        <v>162</v>
      </c>
      <c r="H59" s="164" t="str">
        <f>"Sum Line "&amp;A48&amp;" to Line "&amp;A58&amp;""</f>
        <v>Sum Line 27 to Line 37</v>
      </c>
      <c r="J59" s="173">
        <f>SUM(J48:J58)</f>
        <v>1036748211.9401633</v>
      </c>
      <c r="L59" s="171"/>
      <c r="N59" s="173"/>
    </row>
    <row r="60" spans="1:14" ht="13" x14ac:dyDescent="0.3">
      <c r="A60" s="166"/>
      <c r="B60" s="169"/>
      <c r="J60" s="173"/>
      <c r="L60" s="171"/>
      <c r="N60" s="173"/>
    </row>
    <row r="61" spans="1:14" ht="12.75" customHeight="1" x14ac:dyDescent="0.3">
      <c r="A61" s="166">
        <f>A59+1</f>
        <v>39</v>
      </c>
      <c r="B61" s="169"/>
      <c r="C61" s="174" t="s">
        <v>163</v>
      </c>
      <c r="H61" s="164" t="s">
        <v>736</v>
      </c>
      <c r="J61" s="173">
        <v>25205023.039488278</v>
      </c>
      <c r="L61" s="171"/>
      <c r="N61" s="173"/>
    </row>
    <row r="62" spans="1:14" ht="12.75" customHeight="1" x14ac:dyDescent="0.3">
      <c r="A62" s="166" t="s">
        <v>164</v>
      </c>
      <c r="B62" s="174"/>
      <c r="C62" s="174" t="s">
        <v>165</v>
      </c>
      <c r="D62" s="174"/>
      <c r="E62" s="174"/>
      <c r="F62" s="174"/>
      <c r="G62" s="174"/>
      <c r="H62" s="174" t="s">
        <v>166</v>
      </c>
      <c r="I62" s="174"/>
      <c r="J62" s="182">
        <f>-J61</f>
        <v>-25205023.039488278</v>
      </c>
      <c r="L62" s="171"/>
      <c r="N62" s="173"/>
    </row>
    <row r="63" spans="1:14" ht="13" x14ac:dyDescent="0.3">
      <c r="A63" s="166"/>
      <c r="B63" s="169"/>
      <c r="C63" s="174"/>
      <c r="J63" s="173"/>
      <c r="L63" s="171"/>
      <c r="N63" s="173"/>
    </row>
    <row r="64" spans="1:14" ht="13" x14ac:dyDescent="0.3">
      <c r="A64" s="166">
        <f>A61+1</f>
        <v>40</v>
      </c>
      <c r="B64" s="169"/>
      <c r="C64" s="174" t="s">
        <v>167</v>
      </c>
      <c r="H64" s="174" t="s">
        <v>168</v>
      </c>
      <c r="J64" s="173">
        <f>J59+J61+J62</f>
        <v>1036748211.9401633</v>
      </c>
      <c r="L64" s="171"/>
      <c r="N64" s="173"/>
    </row>
    <row r="65" spans="1:14" ht="13" x14ac:dyDescent="0.3">
      <c r="A65" s="166"/>
      <c r="B65" s="169"/>
      <c r="C65" s="174"/>
      <c r="J65" s="173"/>
    </row>
    <row r="66" spans="1:14" ht="13" x14ac:dyDescent="0.3">
      <c r="A66" s="166"/>
      <c r="B66" s="165" t="s">
        <v>169</v>
      </c>
      <c r="C66" s="174"/>
      <c r="J66" s="173"/>
      <c r="N66" s="166"/>
    </row>
    <row r="67" spans="1:14" ht="13.5" thickBot="1" x14ac:dyDescent="0.35">
      <c r="A67" s="168" t="s">
        <v>108</v>
      </c>
      <c r="B67" s="179"/>
      <c r="G67" s="170" t="s">
        <v>170</v>
      </c>
      <c r="N67" s="171"/>
    </row>
    <row r="68" spans="1:14" ht="13" x14ac:dyDescent="0.3">
      <c r="A68" s="166">
        <f>A64+1</f>
        <v>41</v>
      </c>
      <c r="B68" s="179"/>
      <c r="D68" s="183" t="s">
        <v>171</v>
      </c>
      <c r="E68" s="173">
        <f>J64</f>
        <v>1036748211.9401633</v>
      </c>
      <c r="G68" s="164" t="str">
        <f>"Line "&amp;A64&amp;""</f>
        <v>Line 40</v>
      </c>
      <c r="J68" s="184" t="s">
        <v>172</v>
      </c>
      <c r="L68" s="173"/>
      <c r="N68" s="173"/>
    </row>
    <row r="69" spans="1:14" ht="13" x14ac:dyDescent="0.3">
      <c r="A69" s="166">
        <f>A68+1</f>
        <v>42</v>
      </c>
      <c r="B69" s="179"/>
      <c r="D69" s="183" t="s">
        <v>173</v>
      </c>
      <c r="E69" s="185">
        <v>9.2480778683301894E-3</v>
      </c>
      <c r="G69" s="164" t="s">
        <v>738</v>
      </c>
      <c r="J69" s="186" t="s">
        <v>174</v>
      </c>
      <c r="L69" s="181"/>
      <c r="N69" s="181"/>
    </row>
    <row r="70" spans="1:14" ht="13" x14ac:dyDescent="0.3">
      <c r="A70" s="166">
        <f>A69+1</f>
        <v>43</v>
      </c>
      <c r="B70" s="179"/>
      <c r="D70" s="187" t="s">
        <v>175</v>
      </c>
      <c r="E70" s="173">
        <v>9587928.1938747205</v>
      </c>
      <c r="G70" s="164" t="str">
        <f>"Line "&amp;A68&amp;" * Line "&amp;A69&amp;""</f>
        <v>Line 41 * Line 42</v>
      </c>
      <c r="J70" s="188">
        <f>E73</f>
        <v>1048548568.6824008</v>
      </c>
      <c r="L70" s="173"/>
      <c r="N70" s="173"/>
    </row>
    <row r="71" spans="1:14" ht="13" x14ac:dyDescent="0.3">
      <c r="A71" s="166">
        <f>A70+1</f>
        <v>44</v>
      </c>
      <c r="B71" s="179"/>
      <c r="D71" s="183" t="s">
        <v>176</v>
      </c>
      <c r="E71" s="185">
        <v>2.134007585335019E-3</v>
      </c>
      <c r="G71" s="164" t="s">
        <v>738</v>
      </c>
      <c r="J71" s="189">
        <v>1029299389.04686</v>
      </c>
      <c r="L71" s="161" t="s">
        <v>682</v>
      </c>
      <c r="N71" s="181"/>
    </row>
    <row r="72" spans="1:14" ht="13.5" thickBot="1" x14ac:dyDescent="0.35">
      <c r="A72" s="166">
        <f>A71+1</f>
        <v>45</v>
      </c>
      <c r="B72" s="179"/>
      <c r="D72" s="183" t="s">
        <v>177</v>
      </c>
      <c r="E72" s="173">
        <v>2212428.5483628265</v>
      </c>
      <c r="G72" s="164" t="str">
        <f>"Line "&amp;A70&amp;" * Line "&amp;A71&amp;""</f>
        <v>Line 43 * Line 44</v>
      </c>
      <c r="J72" s="190">
        <f>J70-J71</f>
        <v>19249179.635540843</v>
      </c>
      <c r="L72" s="173"/>
      <c r="N72" s="173"/>
    </row>
    <row r="73" spans="1:14" ht="13" x14ac:dyDescent="0.3">
      <c r="A73" s="166">
        <f>A72+1</f>
        <v>46</v>
      </c>
      <c r="B73" s="179"/>
      <c r="D73" s="183" t="s">
        <v>178</v>
      </c>
      <c r="E73" s="173">
        <f>E68+E70+E72</f>
        <v>1048548568.6824008</v>
      </c>
      <c r="G73" s="164" t="str">
        <f>"L "&amp;A68&amp;" + L "&amp;A70&amp;" + L "&amp;A72&amp;""</f>
        <v>L 41 + L 43 + L 45</v>
      </c>
      <c r="L73" s="173">
        <v>19249179.635540843</v>
      </c>
      <c r="M73" s="164" t="s">
        <v>681</v>
      </c>
      <c r="N73" s="173"/>
    </row>
    <row r="74" spans="1:14" ht="13" x14ac:dyDescent="0.3">
      <c r="B74" s="165" t="s">
        <v>179</v>
      </c>
      <c r="D74" s="187"/>
      <c r="E74" s="173"/>
      <c r="H74" s="50"/>
      <c r="L74" s="173"/>
    </row>
    <row r="75" spans="1:14" ht="13" x14ac:dyDescent="0.3">
      <c r="A75" s="166"/>
      <c r="B75" s="174" t="s">
        <v>180</v>
      </c>
      <c r="C75" s="165"/>
      <c r="D75" s="187"/>
      <c r="E75" s="173"/>
    </row>
    <row r="76" spans="1:14" ht="13" x14ac:dyDescent="0.3">
      <c r="A76" s="166"/>
      <c r="B76" s="174" t="s">
        <v>181</v>
      </c>
      <c r="C76" s="165"/>
      <c r="D76" s="187"/>
      <c r="E76" s="173"/>
    </row>
    <row r="77" spans="1:14" ht="13" x14ac:dyDescent="0.3">
      <c r="A77" s="166"/>
      <c r="B77" s="172" t="s">
        <v>182</v>
      </c>
      <c r="C77" s="174"/>
      <c r="D77" s="187"/>
      <c r="E77" s="173"/>
    </row>
    <row r="78" spans="1:14" ht="13" x14ac:dyDescent="0.3">
      <c r="A78" s="166"/>
      <c r="B78" s="172" t="s">
        <v>183</v>
      </c>
      <c r="D78" s="187"/>
      <c r="E78" s="173"/>
    </row>
    <row r="79" spans="1:14" ht="13" x14ac:dyDescent="0.3">
      <c r="A79" s="166"/>
    </row>
    <row r="80" spans="1:14" ht="13" x14ac:dyDescent="0.3">
      <c r="A80" s="166"/>
      <c r="B80" s="174" t="s">
        <v>184</v>
      </c>
    </row>
    <row r="81" spans="1:12" ht="13" x14ac:dyDescent="0.3">
      <c r="A81" s="166"/>
      <c r="B81" s="174"/>
      <c r="C81" s="174" t="s">
        <v>185</v>
      </c>
    </row>
    <row r="82" spans="1:12" ht="13" x14ac:dyDescent="0.3">
      <c r="A82" s="166"/>
      <c r="B82" s="174"/>
      <c r="J82" s="166" t="s">
        <v>186</v>
      </c>
    </row>
    <row r="83" spans="1:12" ht="13" x14ac:dyDescent="0.3">
      <c r="A83" s="166"/>
      <c r="E83" s="171" t="s">
        <v>187</v>
      </c>
      <c r="F83" s="170" t="s">
        <v>170</v>
      </c>
      <c r="G83" s="171" t="s">
        <v>188</v>
      </c>
      <c r="H83" s="171" t="s">
        <v>189</v>
      </c>
      <c r="J83" s="171" t="s">
        <v>190</v>
      </c>
    </row>
    <row r="84" spans="1:12" ht="13" x14ac:dyDescent="0.3">
      <c r="B84" s="191" t="s">
        <v>191</v>
      </c>
      <c r="C84" s="174" t="s">
        <v>192</v>
      </c>
      <c r="E84" s="192">
        <v>0.10299999999999999</v>
      </c>
      <c r="F84" s="174" t="s">
        <v>193</v>
      </c>
      <c r="G84" s="193">
        <v>43781</v>
      </c>
      <c r="H84" s="193">
        <v>43830</v>
      </c>
      <c r="I84" s="174"/>
      <c r="J84" s="194">
        <v>50</v>
      </c>
      <c r="K84" s="174"/>
      <c r="L84" s="174"/>
    </row>
    <row r="85" spans="1:12" ht="13" x14ac:dyDescent="0.3">
      <c r="B85" s="191" t="s">
        <v>194</v>
      </c>
      <c r="C85" s="174" t="s">
        <v>195</v>
      </c>
      <c r="E85" s="192">
        <v>0.112</v>
      </c>
      <c r="F85" s="174" t="s">
        <v>196</v>
      </c>
      <c r="G85" s="193">
        <v>43466</v>
      </c>
      <c r="H85" s="193">
        <v>43780</v>
      </c>
      <c r="I85" s="174"/>
      <c r="J85" s="194">
        <v>315</v>
      </c>
      <c r="K85" s="174"/>
      <c r="L85" s="174"/>
    </row>
    <row r="86" spans="1:12" ht="13" x14ac:dyDescent="0.3">
      <c r="B86" s="191" t="s">
        <v>197</v>
      </c>
      <c r="C86" s="174"/>
      <c r="E86" s="195"/>
      <c r="F86" s="174"/>
      <c r="G86" s="196"/>
      <c r="H86" s="196"/>
      <c r="I86" s="183" t="s">
        <v>198</v>
      </c>
      <c r="J86" s="174">
        <f>SUM(J84:J85)</f>
        <v>365</v>
      </c>
      <c r="K86" s="174"/>
      <c r="L86" s="174"/>
    </row>
    <row r="87" spans="1:12" ht="13" x14ac:dyDescent="0.3">
      <c r="B87" s="191" t="s">
        <v>199</v>
      </c>
      <c r="C87" s="174" t="s">
        <v>200</v>
      </c>
      <c r="E87" s="197">
        <f>((E84*J84) + (E85* J85)) / J86</f>
        <v>0.11076712328767123</v>
      </c>
      <c r="F87" s="174" t="s">
        <v>201</v>
      </c>
      <c r="H87" s="174"/>
      <c r="I87" s="174"/>
      <c r="J87" s="174"/>
      <c r="K87" s="174"/>
      <c r="L87" s="174"/>
    </row>
    <row r="88" spans="1:12" ht="13" x14ac:dyDescent="0.3">
      <c r="A88" s="166"/>
      <c r="B88" s="174"/>
      <c r="H88" s="174"/>
      <c r="I88" s="174"/>
      <c r="J88" s="174"/>
      <c r="K88" s="174"/>
      <c r="L88" s="174"/>
    </row>
    <row r="89" spans="1:12" ht="13" x14ac:dyDescent="0.3">
      <c r="A89" s="166"/>
      <c r="B89" s="174" t="s">
        <v>202</v>
      </c>
      <c r="H89" s="174"/>
      <c r="I89" s="174"/>
      <c r="J89" s="174"/>
      <c r="K89" s="174"/>
      <c r="L89" s="174"/>
    </row>
    <row r="90" spans="1:12" ht="13" x14ac:dyDescent="0.3">
      <c r="A90" s="166"/>
      <c r="B90" s="174"/>
      <c r="E90" s="170" t="s">
        <v>170</v>
      </c>
      <c r="H90" s="174"/>
      <c r="I90" s="174"/>
      <c r="J90" s="174"/>
      <c r="K90" s="174"/>
      <c r="L90" s="174"/>
    </row>
    <row r="91" spans="1:12" ht="13" x14ac:dyDescent="0.3">
      <c r="B91" s="191" t="s">
        <v>203</v>
      </c>
      <c r="C91" s="174" t="s">
        <v>204</v>
      </c>
      <c r="E91" s="198" t="s">
        <v>205</v>
      </c>
      <c r="F91" s="199"/>
      <c r="G91" s="199"/>
      <c r="H91" s="194"/>
      <c r="I91" s="194"/>
      <c r="J91" s="194"/>
      <c r="K91" s="174"/>
      <c r="L91" s="174"/>
    </row>
    <row r="92" spans="1:12" ht="13" x14ac:dyDescent="0.3">
      <c r="B92" s="191" t="s">
        <v>206</v>
      </c>
      <c r="C92" s="174" t="s">
        <v>207</v>
      </c>
      <c r="E92" s="198" t="s">
        <v>208</v>
      </c>
      <c r="F92" s="199"/>
      <c r="G92" s="199"/>
      <c r="H92" s="194"/>
      <c r="I92" s="194"/>
      <c r="J92" s="194"/>
      <c r="K92" s="174"/>
      <c r="L92" s="174"/>
    </row>
    <row r="93" spans="1:12" x14ac:dyDescent="0.25">
      <c r="C93" s="174"/>
      <c r="E93" s="196"/>
      <c r="I93" s="174"/>
      <c r="J93" s="174"/>
      <c r="K93" s="174"/>
      <c r="L93" s="174"/>
    </row>
    <row r="94" spans="1:12" ht="13" x14ac:dyDescent="0.3">
      <c r="E94" s="171" t="s">
        <v>187</v>
      </c>
      <c r="F94" s="170" t="s">
        <v>170</v>
      </c>
      <c r="H94" s="174"/>
      <c r="I94" s="174"/>
    </row>
    <row r="95" spans="1:12" ht="13" x14ac:dyDescent="0.3">
      <c r="B95" s="191" t="s">
        <v>209</v>
      </c>
      <c r="C95" s="174" t="s">
        <v>210</v>
      </c>
      <c r="D95" s="174"/>
      <c r="E95" s="181">
        <v>2.1845250688587517E-2</v>
      </c>
      <c r="F95" s="164" t="s">
        <v>715</v>
      </c>
      <c r="H95" s="174"/>
      <c r="I95" s="174"/>
    </row>
    <row r="96" spans="1:12" ht="13" x14ac:dyDescent="0.3">
      <c r="B96" s="191" t="s">
        <v>211</v>
      </c>
      <c r="C96" s="174" t="s">
        <v>212</v>
      </c>
      <c r="E96" s="181">
        <v>4.1782699103032513E-3</v>
      </c>
      <c r="F96" s="164" t="s">
        <v>716</v>
      </c>
      <c r="H96" s="174"/>
      <c r="I96" s="174"/>
    </row>
    <row r="97" spans="1:10" ht="13" x14ac:dyDescent="0.3">
      <c r="B97" s="191" t="s">
        <v>213</v>
      </c>
      <c r="C97" s="174" t="s">
        <v>214</v>
      </c>
      <c r="E97" s="200">
        <v>4.9641411178534565E-2</v>
      </c>
      <c r="F97" s="164" t="s">
        <v>717</v>
      </c>
      <c r="G97" s="174"/>
      <c r="H97" s="174"/>
    </row>
    <row r="98" spans="1:10" ht="13" x14ac:dyDescent="0.3">
      <c r="B98" s="166" t="s">
        <v>215</v>
      </c>
      <c r="C98" s="176" t="s">
        <v>138</v>
      </c>
      <c r="E98" s="180">
        <f>SUM(E95:E97)</f>
        <v>7.5664931777425337E-2</v>
      </c>
      <c r="F98" s="173" t="str">
        <f>"Sum of Lines "&amp;B95&amp;" to "&amp;B97&amp;""</f>
        <v>Sum of Lines g to i</v>
      </c>
      <c r="G98" s="201"/>
      <c r="J98" s="202"/>
    </row>
    <row r="99" spans="1:10" ht="13" x14ac:dyDescent="0.3">
      <c r="A99" s="166"/>
      <c r="C99" s="45"/>
      <c r="D99" s="51"/>
      <c r="E99" s="173"/>
      <c r="F99" s="173"/>
      <c r="G99" s="201"/>
      <c r="H99" s="173"/>
      <c r="J99" s="202"/>
    </row>
    <row r="100" spans="1:10" ht="13" x14ac:dyDescent="0.3">
      <c r="A100" s="166"/>
      <c r="B100" s="174" t="s">
        <v>216</v>
      </c>
    </row>
    <row r="101" spans="1:10" ht="13" x14ac:dyDescent="0.3">
      <c r="A101" s="166"/>
    </row>
    <row r="102" spans="1:10" ht="13" x14ac:dyDescent="0.3">
      <c r="A102" s="166"/>
      <c r="E102" s="171" t="s">
        <v>187</v>
      </c>
      <c r="F102" s="170" t="s">
        <v>170</v>
      </c>
    </row>
    <row r="103" spans="1:10" ht="13" x14ac:dyDescent="0.3">
      <c r="B103" s="191" t="s">
        <v>217</v>
      </c>
      <c r="E103" s="181">
        <f>E96+E97</f>
        <v>5.381968108883782E-2</v>
      </c>
      <c r="F103" s="173" t="str">
        <f>"Sum of Lines "&amp;B96&amp;" to "&amp;B97&amp;""</f>
        <v>Sum of Lines h to i</v>
      </c>
    </row>
    <row r="104" spans="1:10" ht="13" x14ac:dyDescent="0.3">
      <c r="A104" s="166"/>
      <c r="E104" s="181"/>
      <c r="F104" s="173"/>
    </row>
    <row r="105" spans="1:10" ht="13" x14ac:dyDescent="0.3">
      <c r="A105" s="166"/>
      <c r="B105" s="174" t="s">
        <v>87</v>
      </c>
      <c r="E105" s="201"/>
      <c r="F105" s="201"/>
      <c r="G105" s="201"/>
      <c r="H105" s="173"/>
    </row>
    <row r="106" spans="1:10" ht="13" x14ac:dyDescent="0.3">
      <c r="A106" s="166"/>
      <c r="B106" s="174" t="s">
        <v>218</v>
      </c>
    </row>
    <row r="107" spans="1:10" ht="13" x14ac:dyDescent="0.3">
      <c r="A107" s="166"/>
      <c r="B107" s="174" t="s">
        <v>219</v>
      </c>
      <c r="D107" s="166"/>
      <c r="E107" s="166"/>
      <c r="F107" s="166"/>
      <c r="G107" s="166"/>
      <c r="H107" s="166"/>
    </row>
    <row r="108" spans="1:10" ht="13" x14ac:dyDescent="0.3">
      <c r="A108" s="166"/>
      <c r="B108" s="172"/>
      <c r="D108" s="166"/>
      <c r="E108" s="166"/>
      <c r="F108" s="166"/>
      <c r="G108" s="166"/>
      <c r="H108" s="166"/>
    </row>
    <row r="109" spans="1:10" ht="13" x14ac:dyDescent="0.3">
      <c r="A109" s="166"/>
      <c r="C109" s="44"/>
      <c r="D109" s="44"/>
      <c r="E109" s="171"/>
      <c r="F109" s="171"/>
      <c r="G109" s="171"/>
      <c r="H109" s="171"/>
    </row>
    <row r="110" spans="1:10" ht="13" x14ac:dyDescent="0.3">
      <c r="A110" s="166"/>
    </row>
    <row r="111" spans="1:10" ht="13" x14ac:dyDescent="0.3">
      <c r="A111" s="166"/>
    </row>
    <row r="112" spans="1:10" ht="13" x14ac:dyDescent="0.3">
      <c r="A112" s="166"/>
    </row>
    <row r="113" spans="1:10" ht="13" x14ac:dyDescent="0.3">
      <c r="A113" s="166"/>
      <c r="C113" s="45"/>
      <c r="E113" s="173"/>
      <c r="F113" s="173"/>
      <c r="H113" s="173"/>
      <c r="J113" s="202"/>
    </row>
    <row r="114" spans="1:10" ht="13" x14ac:dyDescent="0.3">
      <c r="A114" s="166"/>
      <c r="C114" s="45"/>
      <c r="E114" s="173"/>
      <c r="F114" s="173"/>
      <c r="H114" s="173"/>
      <c r="J114" s="202"/>
    </row>
    <row r="115" spans="1:10" ht="13" x14ac:dyDescent="0.3">
      <c r="A115" s="168"/>
      <c r="C115" s="45"/>
      <c r="E115" s="173"/>
      <c r="F115" s="173"/>
      <c r="H115" s="173"/>
      <c r="J115" s="202"/>
    </row>
    <row r="116" spans="1:10" ht="13" x14ac:dyDescent="0.3">
      <c r="A116" s="166"/>
      <c r="D116" s="49"/>
      <c r="E116" s="173"/>
      <c r="F116" s="173"/>
      <c r="G116" s="174"/>
      <c r="H116" s="173"/>
      <c r="J116" s="202"/>
    </row>
    <row r="117" spans="1:10" ht="13" x14ac:dyDescent="0.3">
      <c r="A117" s="166"/>
      <c r="C117" s="45"/>
      <c r="D117" s="183"/>
      <c r="E117" s="177"/>
      <c r="F117" s="173"/>
      <c r="G117" s="174"/>
      <c r="H117" s="173"/>
      <c r="J117" s="202"/>
    </row>
    <row r="118" spans="1:10" ht="13" x14ac:dyDescent="0.3">
      <c r="A118" s="166"/>
      <c r="C118" s="45"/>
      <c r="D118" s="183"/>
      <c r="E118" s="173"/>
      <c r="F118" s="173"/>
      <c r="G118" s="174"/>
      <c r="H118" s="173"/>
      <c r="J118" s="202"/>
    </row>
    <row r="119" spans="1:10" ht="13" x14ac:dyDescent="0.3">
      <c r="A119" s="166"/>
    </row>
    <row r="120" spans="1:10" ht="13" x14ac:dyDescent="0.3">
      <c r="A120" s="166"/>
      <c r="B120" s="163"/>
    </row>
    <row r="121" spans="1:10" ht="13" x14ac:dyDescent="0.3">
      <c r="A121" s="166"/>
    </row>
    <row r="122" spans="1:10" ht="13" x14ac:dyDescent="0.3">
      <c r="A122" s="166"/>
    </row>
    <row r="123" spans="1:10" ht="13" x14ac:dyDescent="0.3">
      <c r="A123" s="166"/>
      <c r="F123" s="166"/>
    </row>
    <row r="124" spans="1:10" ht="13" x14ac:dyDescent="0.3">
      <c r="A124" s="166"/>
      <c r="F124" s="166"/>
    </row>
    <row r="125" spans="1:10" ht="13" x14ac:dyDescent="0.3">
      <c r="A125" s="166"/>
      <c r="D125" s="166"/>
      <c r="E125" s="166"/>
      <c r="F125" s="166"/>
      <c r="H125" s="166"/>
    </row>
    <row r="126" spans="1:10" ht="13" x14ac:dyDescent="0.3">
      <c r="A126" s="166"/>
      <c r="D126" s="166"/>
      <c r="E126" s="166"/>
      <c r="F126" s="166"/>
      <c r="G126" s="166"/>
      <c r="H126" s="191"/>
    </row>
    <row r="127" spans="1:10" ht="13" x14ac:dyDescent="0.3">
      <c r="A127" s="168"/>
      <c r="C127" s="44"/>
      <c r="D127" s="44"/>
      <c r="E127" s="171"/>
      <c r="F127" s="203"/>
      <c r="G127" s="171"/>
      <c r="H127" s="191"/>
    </row>
    <row r="128" spans="1:10" ht="13" x14ac:dyDescent="0.3">
      <c r="A128" s="166"/>
      <c r="C128" s="45"/>
      <c r="D128" s="51"/>
      <c r="E128" s="173"/>
      <c r="F128" s="173"/>
      <c r="G128" s="197"/>
      <c r="H128" s="173"/>
    </row>
    <row r="129" spans="1:8" ht="13" x14ac:dyDescent="0.3">
      <c r="A129" s="166"/>
      <c r="C129" s="45"/>
      <c r="D129" s="51"/>
      <c r="E129" s="173"/>
      <c r="F129" s="173"/>
      <c r="G129" s="197"/>
      <c r="H129" s="173"/>
    </row>
    <row r="130" spans="1:8" ht="13" x14ac:dyDescent="0.3">
      <c r="A130" s="166"/>
      <c r="C130" s="45"/>
      <c r="D130" s="51"/>
      <c r="E130" s="173"/>
      <c r="F130" s="173"/>
      <c r="G130" s="197"/>
      <c r="H130" s="173"/>
    </row>
    <row r="131" spans="1:8" ht="13" x14ac:dyDescent="0.3">
      <c r="A131" s="166"/>
      <c r="C131" s="45"/>
      <c r="D131" s="51"/>
      <c r="E131" s="173"/>
      <c r="F131" s="173"/>
      <c r="G131" s="197"/>
      <c r="H131" s="173"/>
    </row>
    <row r="132" spans="1:8" ht="13" x14ac:dyDescent="0.3">
      <c r="A132" s="166"/>
      <c r="C132" s="45"/>
      <c r="D132" s="51"/>
      <c r="E132" s="173"/>
      <c r="F132" s="173"/>
      <c r="G132" s="197"/>
      <c r="H132" s="173"/>
    </row>
    <row r="133" spans="1:8" ht="13" x14ac:dyDescent="0.3">
      <c r="A133" s="166"/>
      <c r="C133" s="45"/>
      <c r="D133" s="51"/>
      <c r="E133" s="173"/>
      <c r="F133" s="173"/>
      <c r="G133" s="197"/>
      <c r="H133" s="173"/>
    </row>
    <row r="134" spans="1:8" ht="13" x14ac:dyDescent="0.3">
      <c r="A134" s="166"/>
      <c r="C134" s="45"/>
      <c r="D134" s="51"/>
      <c r="E134" s="173"/>
      <c r="F134" s="173"/>
      <c r="G134" s="197"/>
      <c r="H134" s="173"/>
    </row>
    <row r="135" spans="1:8" ht="13" x14ac:dyDescent="0.3">
      <c r="A135" s="166"/>
      <c r="C135" s="45"/>
      <c r="D135" s="51"/>
      <c r="E135" s="173"/>
      <c r="F135" s="173"/>
      <c r="G135" s="197"/>
      <c r="H135" s="173"/>
    </row>
    <row r="136" spans="1:8" ht="13" x14ac:dyDescent="0.3">
      <c r="A136" s="166"/>
      <c r="C136" s="45"/>
      <c r="D136" s="51"/>
      <c r="E136" s="173"/>
      <c r="F136" s="173"/>
      <c r="G136" s="197"/>
      <c r="H136" s="173"/>
    </row>
    <row r="137" spans="1:8" ht="13" x14ac:dyDescent="0.3">
      <c r="A137" s="166"/>
      <c r="C137" s="45"/>
      <c r="D137" s="51"/>
      <c r="E137" s="173"/>
      <c r="F137" s="173"/>
      <c r="G137" s="197"/>
      <c r="H137" s="173"/>
    </row>
    <row r="138" spans="1:8" ht="13" x14ac:dyDescent="0.3">
      <c r="A138" s="166"/>
      <c r="C138" s="45"/>
      <c r="D138" s="51"/>
      <c r="E138" s="173"/>
      <c r="F138" s="173"/>
      <c r="G138" s="197"/>
      <c r="H138" s="173"/>
    </row>
    <row r="139" spans="1:8" ht="13" x14ac:dyDescent="0.3">
      <c r="A139" s="166"/>
      <c r="C139" s="45"/>
      <c r="D139" s="51"/>
      <c r="E139" s="173"/>
      <c r="F139" s="173"/>
      <c r="G139" s="197"/>
      <c r="H139" s="177"/>
    </row>
    <row r="140" spans="1:8" ht="13" x14ac:dyDescent="0.3">
      <c r="A140" s="166"/>
      <c r="H140" s="173"/>
    </row>
    <row r="141" spans="1:8" ht="13" x14ac:dyDescent="0.3">
      <c r="A141" s="166"/>
      <c r="C141" s="45"/>
      <c r="D141" s="51"/>
      <c r="F141" s="204"/>
      <c r="G141" s="197"/>
      <c r="H141" s="204"/>
    </row>
    <row r="142" spans="1:8" ht="13" x14ac:dyDescent="0.3">
      <c r="A142" s="166"/>
      <c r="B142" s="163"/>
      <c r="C142" s="45"/>
      <c r="D142" s="51"/>
      <c r="F142" s="204"/>
      <c r="G142" s="197"/>
      <c r="H142" s="204"/>
    </row>
    <row r="143" spans="1:8" ht="13" x14ac:dyDescent="0.3">
      <c r="A143" s="168"/>
      <c r="B143" s="163"/>
      <c r="C143" s="45"/>
      <c r="D143" s="51"/>
      <c r="F143" s="204"/>
      <c r="G143" s="197"/>
      <c r="H143" s="204"/>
    </row>
    <row r="144" spans="1:8" ht="13" x14ac:dyDescent="0.3">
      <c r="A144" s="166"/>
      <c r="C144" s="45"/>
      <c r="D144" s="52"/>
      <c r="E144" s="173"/>
      <c r="F144" s="205"/>
      <c r="G144" s="197"/>
      <c r="H144" s="204"/>
    </row>
    <row r="145" spans="1:8" ht="13" x14ac:dyDescent="0.3">
      <c r="A145" s="166"/>
      <c r="C145" s="45"/>
      <c r="D145" s="187"/>
      <c r="E145" s="173"/>
      <c r="F145" s="205"/>
      <c r="G145" s="197"/>
      <c r="H145" s="204"/>
    </row>
    <row r="146" spans="1:8" ht="13" x14ac:dyDescent="0.3">
      <c r="A146" s="166"/>
      <c r="C146" s="45"/>
      <c r="D146" s="187"/>
      <c r="E146" s="177"/>
      <c r="F146" s="205"/>
      <c r="G146" s="197"/>
      <c r="H146" s="204"/>
    </row>
    <row r="147" spans="1:8" ht="13" x14ac:dyDescent="0.3">
      <c r="A147" s="166"/>
      <c r="C147" s="45"/>
      <c r="D147" s="52"/>
      <c r="E147" s="173"/>
      <c r="F147" s="204"/>
      <c r="G147" s="197"/>
      <c r="H147" s="204"/>
    </row>
    <row r="148" spans="1:8" ht="13" x14ac:dyDescent="0.3">
      <c r="A148" s="166"/>
      <c r="C148" s="45"/>
      <c r="D148" s="51"/>
      <c r="F148" s="204"/>
      <c r="G148" s="197"/>
      <c r="H148" s="204"/>
    </row>
    <row r="149" spans="1:8" ht="13" x14ac:dyDescent="0.3">
      <c r="A149" s="166"/>
    </row>
    <row r="150" spans="1:8" ht="13" x14ac:dyDescent="0.3">
      <c r="A150" s="166"/>
    </row>
    <row r="151" spans="1:8" ht="13" x14ac:dyDescent="0.3">
      <c r="A151" s="166"/>
    </row>
    <row r="152" spans="1:8" ht="13" x14ac:dyDescent="0.3">
      <c r="A152" s="166"/>
      <c r="B152" s="163"/>
    </row>
    <row r="153" spans="1:8" ht="13" x14ac:dyDescent="0.3">
      <c r="A153" s="166"/>
      <c r="B153" s="174"/>
    </row>
    <row r="154" spans="1:8" ht="13" x14ac:dyDescent="0.3">
      <c r="A154" s="166"/>
      <c r="B154" s="174"/>
    </row>
    <row r="155" spans="1:8" ht="13" x14ac:dyDescent="0.3">
      <c r="A155" s="166"/>
      <c r="B155" s="174"/>
    </row>
    <row r="156" spans="1:8" ht="13" x14ac:dyDescent="0.3">
      <c r="A156" s="166"/>
    </row>
    <row r="157" spans="1:8" ht="13" x14ac:dyDescent="0.3">
      <c r="A157" s="166"/>
      <c r="B157" s="163"/>
    </row>
    <row r="158" spans="1:8" ht="13" x14ac:dyDescent="0.3">
      <c r="A158" s="166"/>
    </row>
    <row r="159" spans="1:8" ht="13" x14ac:dyDescent="0.3">
      <c r="A159" s="168"/>
      <c r="C159" s="44"/>
      <c r="D159" s="171"/>
    </row>
    <row r="160" spans="1:8" ht="13" x14ac:dyDescent="0.3">
      <c r="A160" s="166"/>
      <c r="C160" s="45"/>
      <c r="D160" s="206"/>
      <c r="F160" s="181"/>
    </row>
    <row r="161" spans="1:6" ht="13" x14ac:dyDescent="0.3">
      <c r="A161" s="166"/>
      <c r="C161" s="45"/>
      <c r="D161" s="206"/>
      <c r="F161" s="181"/>
    </row>
    <row r="162" spans="1:6" ht="13" x14ac:dyDescent="0.3">
      <c r="A162" s="166"/>
      <c r="C162" s="45"/>
      <c r="D162" s="206"/>
      <c r="F162" s="181"/>
    </row>
    <row r="163" spans="1:6" ht="13" x14ac:dyDescent="0.3">
      <c r="A163" s="166"/>
      <c r="C163" s="45"/>
      <c r="D163" s="206"/>
      <c r="F163" s="181"/>
    </row>
    <row r="164" spans="1:6" ht="13" x14ac:dyDescent="0.3">
      <c r="A164" s="166"/>
      <c r="C164" s="45"/>
      <c r="D164" s="206"/>
      <c r="F164" s="181"/>
    </row>
    <row r="165" spans="1:6" ht="13" x14ac:dyDescent="0.3">
      <c r="A165" s="166"/>
      <c r="C165" s="45"/>
      <c r="D165" s="206"/>
      <c r="F165" s="181"/>
    </row>
    <row r="166" spans="1:6" ht="13" x14ac:dyDescent="0.3">
      <c r="A166" s="166"/>
      <c r="C166" s="45"/>
      <c r="D166" s="206"/>
      <c r="F166" s="181"/>
    </row>
    <row r="167" spans="1:6" ht="13" x14ac:dyDescent="0.3">
      <c r="A167" s="166"/>
      <c r="C167" s="45"/>
      <c r="D167" s="206"/>
      <c r="F167" s="181"/>
    </row>
    <row r="168" spans="1:6" ht="13" x14ac:dyDescent="0.3">
      <c r="A168" s="166"/>
      <c r="C168" s="45"/>
      <c r="D168" s="206"/>
      <c r="F168" s="181"/>
    </row>
    <row r="169" spans="1:6" ht="13" x14ac:dyDescent="0.3">
      <c r="A169" s="166"/>
      <c r="C169" s="45"/>
      <c r="D169" s="206"/>
      <c r="F169" s="181"/>
    </row>
    <row r="170" spans="1:6" ht="13" x14ac:dyDescent="0.3">
      <c r="A170" s="166"/>
      <c r="C170" s="45"/>
      <c r="D170" s="206"/>
      <c r="F170" s="181"/>
    </row>
    <row r="171" spans="1:6" ht="13" x14ac:dyDescent="0.3">
      <c r="A171" s="166"/>
      <c r="C171" s="45"/>
      <c r="D171" s="207"/>
      <c r="F171" s="200"/>
    </row>
    <row r="172" spans="1:6" ht="13" x14ac:dyDescent="0.3">
      <c r="A172" s="166"/>
      <c r="C172" s="49"/>
      <c r="D172" s="206"/>
    </row>
  </sheetData>
  <pageMargins left="0.75" right="0.75" top="1" bottom="1" header="0.5" footer="0.5"/>
  <pageSetup scale="78" orientation="landscape" cellComments="asDisplayed" r:id="rId1"/>
  <headerFooter alignWithMargins="0">
    <oddHeader xml:space="preserve">&amp;CSchedule 4
True Up TRR
(TO2018 EDIT Amortization Adj)&amp;RTO2021 Draft Annual Update
Attachment 4
WP-Schedule 3-One Time Adjustment Transition
Page &amp;P of &amp;N
</oddHeader>
    <oddFooter>&amp;R&amp;A</oddFooter>
  </headerFooter>
  <rowBreaks count="4" manualBreakCount="4">
    <brk id="46" max="9" man="1"/>
    <brk id="73" max="16383" man="1"/>
    <brk id="119" max="9" man="1"/>
    <brk id="151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AC27B3470EAB46A329FD92A11ACBD1" ma:contentTypeVersion="7" ma:contentTypeDescription="Create a new document." ma:contentTypeScope="" ma:versionID="7ec29c6cde878f10229221e5bc2b31ea">
  <xsd:schema xmlns:xsd="http://www.w3.org/2001/XMLSchema" xmlns:xs="http://www.w3.org/2001/XMLSchema" xmlns:p="http://schemas.microsoft.com/office/2006/metadata/properties" xmlns:ns3="0bc2e7ab-a9ef-4507-aecb-8204a3dc15b0" xmlns:ns4="974c324c-599a-433a-b66e-41663df5c93f" targetNamespace="http://schemas.microsoft.com/office/2006/metadata/properties" ma:root="true" ma:fieldsID="b7c89f3b0667a2a10d4485ce1dc75778" ns3:_="" ns4:_="">
    <xsd:import namespace="0bc2e7ab-a9ef-4507-aecb-8204a3dc15b0"/>
    <xsd:import namespace="974c324c-599a-433a-b66e-41663df5c93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2e7ab-a9ef-4507-aecb-8204a3dc15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4c324c-599a-433a-b66e-41663df5c9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BF82646-4B68-42AD-B5F2-3864D6CDB5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6C915D6-A18E-4082-8822-1930DAE1B3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c2e7ab-a9ef-4507-aecb-8204a3dc15b0"/>
    <ds:schemaRef ds:uri="974c324c-599a-433a-b66e-41663df5c9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72CA0FB-BB7C-4729-A55D-27CF6F2FCC71}">
  <ds:schemaRefs>
    <ds:schemaRef ds:uri="0bc2e7ab-a9ef-4507-aecb-8204a3dc15b0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974c324c-599a-433a-b66e-41663df5c93f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12</vt:i4>
      </vt:variant>
    </vt:vector>
  </HeadingPairs>
  <TitlesOfParts>
    <vt:vector size="24" baseType="lpstr">
      <vt:lpstr>Total One Time Adjustment</vt:lpstr>
      <vt:lpstr>One Time Adjust for TUTRR</vt:lpstr>
      <vt:lpstr>2019 Wildfire Adj</vt:lpstr>
      <vt:lpstr>2019WF-Sch4-TUTRR</vt:lpstr>
      <vt:lpstr>2019WF-Sch9-ADIT</vt:lpstr>
      <vt:lpstr>2019WF-Sch20-AandG</vt:lpstr>
      <vt:lpstr>2019WF Sch34-UnfundedReserves</vt:lpstr>
      <vt:lpstr>2019 EDIT Amortization Adj</vt:lpstr>
      <vt:lpstr>TO2018EDIT Sch4-TUTRR</vt:lpstr>
      <vt:lpstr>TO2018EDIT Sch1-BaseTRR</vt:lpstr>
      <vt:lpstr>TO2021EDIT Sch4-TUTRR</vt:lpstr>
      <vt:lpstr>TO2021EDIT Sch1-BaseTRR</vt:lpstr>
      <vt:lpstr>'2019WF Sch34-UnfundedReserves'!Print_Area</vt:lpstr>
      <vt:lpstr>'2019WF-Sch20-AandG'!Print_Area</vt:lpstr>
      <vt:lpstr>'2019WF-Sch4-TUTRR'!Print_Area</vt:lpstr>
      <vt:lpstr>'2019WF-Sch9-ADIT'!Print_Area</vt:lpstr>
      <vt:lpstr>'One Time Adjust for TUTRR'!Print_Area</vt:lpstr>
      <vt:lpstr>'TO2018EDIT Sch1-BaseTRR'!Print_Area</vt:lpstr>
      <vt:lpstr>'TO2018EDIT Sch4-TUTRR'!Print_Area</vt:lpstr>
      <vt:lpstr>'TO2021EDIT Sch1-BaseTRR'!Print_Area</vt:lpstr>
      <vt:lpstr>'TO2021EDIT Sch4-TUTRR'!Print_Area</vt:lpstr>
      <vt:lpstr>'Total One Time Adjustment'!Print_Area</vt:lpstr>
      <vt:lpstr>'TO2018EDIT Sch1-BaseTRR'!Print_Titles</vt:lpstr>
      <vt:lpstr>'TO2021EDIT Sch1-BaseTRR'!Print_Titles</vt:lpstr>
    </vt:vector>
  </TitlesOfParts>
  <Manager/>
  <Company>SCE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Hansen, Berton J</dc:creator>
  <cp:keywords/>
  <dc:description/>
  <cp:lastModifiedBy>Jee Kim</cp:lastModifiedBy>
  <cp:revision/>
  <dcterms:created xsi:type="dcterms:W3CDTF">2017-03-23T21:29:02Z</dcterms:created>
  <dcterms:modified xsi:type="dcterms:W3CDTF">2020-06-16T23:31:16Z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0x010100B8AC27B3470EAB46A329FD92A11ACBD1</vt:lpwstr>
  </property>
</Properties>
</file>