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sce\workgroup\RPA\REG OPS\FERC-REG\FERC\FERC Contract &amp; Cost Analysis\2021 FERC Rate Case TO2021\6-Jun 15 Draft Informational Posting\Workpapers\"/>
    </mc:Choice>
  </mc:AlternateContent>
  <xr:revisionPtr revIDLastSave="0" documentId="13_ncr:1_{2BA2375C-93C9-41AD-B265-488C2D009BC2}" xr6:coauthVersionLast="45" xr6:coauthVersionMax="45" xr10:uidLastSave="{00000000-0000-0000-0000-000000000000}"/>
  <bookViews>
    <workbookView xWindow="-110" yWindow="-110" windowWidth="19420" windowHeight="10420" xr2:uid="{00000000-000D-0000-FFFF-FFFF00000000}"/>
  </bookViews>
  <sheets>
    <sheet name="One Time Adj Explanation" sheetId="100" r:id="rId1"/>
    <sheet name="WP-Total Adj with Int" sheetId="86" r:id="rId2"/>
    <sheet name="WP-2017 True Up TRR Adj" sheetId="194" r:id="rId3"/>
    <sheet name="WP-2017 Sch4-TUTRR" sheetId="202" r:id="rId4"/>
    <sheet name="WP-2017 Sch20-AandG" sheetId="203" r:id="rId5"/>
    <sheet name="WP-2018 True Up TRR Adj" sheetId="197" r:id="rId6"/>
    <sheet name="WP-2018 Sch4-TUTRR" sheetId="206" r:id="rId7"/>
    <sheet name="WP-2018 Sch20-AandG" sheetId="207"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Alt2007" localSheetId="2">#REF!</definedName>
    <definedName name="_Alt2007" localSheetId="5">#REF!</definedName>
    <definedName name="_Alt2007">#REF!</definedName>
    <definedName name="_Apr06" localSheetId="2">#REF!</definedName>
    <definedName name="_Apr06" localSheetId="5">#REF!</definedName>
    <definedName name="_Apr06">#REF!</definedName>
    <definedName name="_F100040">'[1]EIX Cost Centers'!$A$1:$B$33</definedName>
    <definedName name="_Feb06" localSheetId="2">#REF!</definedName>
    <definedName name="_Feb06" localSheetId="5">#REF!</definedName>
    <definedName name="_Feb06">#REF!</definedName>
    <definedName name="_Fill" localSheetId="2" hidden="1">#REF!</definedName>
    <definedName name="_Fill" localSheetId="5" hidden="1">#REF!</definedName>
    <definedName name="_Fill" hidden="1">#REF!</definedName>
    <definedName name="_May06" localSheetId="2">#REF!</definedName>
    <definedName name="_May06" localSheetId="5">#REF!</definedName>
    <definedName name="_May06">#REF!</definedName>
    <definedName name="_Nov05">#REF!</definedName>
    <definedName name="_Order1" hidden="1">255</definedName>
    <definedName name="_Order2" hidden="1">255</definedName>
    <definedName name="_SO2" localSheetId="2">#REF!</definedName>
    <definedName name="_SO2" localSheetId="5">#REF!</definedName>
    <definedName name="_SO2">#REF!</definedName>
    <definedName name="_SO4" localSheetId="2">#REF!</definedName>
    <definedName name="_SO4" localSheetId="5">#REF!</definedName>
    <definedName name="_SO4">#REF!</definedName>
    <definedName name="Active" localSheetId="2">#REF!</definedName>
    <definedName name="Active" localSheetId="5">#REF!</definedName>
    <definedName name="Active">#REF!</definedName>
    <definedName name="AltForecast">#REF!</definedName>
    <definedName name="Assets">'[2]GL Master Data lookup'!#REF!</definedName>
    <definedName name="Basis_Point" localSheetId="2">#REF!</definedName>
    <definedName name="Basis_Point" localSheetId="5">#REF!</definedName>
    <definedName name="Basis_Point">#REF!</definedName>
    <definedName name="Basis_Prices_Upload_Date">[3]Check!$B$29</definedName>
    <definedName name="Basis_Web_Query">[4]BasisPrices!$B$29</definedName>
    <definedName name="BHV" localSheetId="2">#REF!</definedName>
    <definedName name="BHV" localSheetId="5">#REF!</definedName>
    <definedName name="BHV">#REF!</definedName>
    <definedName name="Bio" localSheetId="2">#REF!</definedName>
    <definedName name="Bio" localSheetId="5">#REF!</definedName>
    <definedName name="Bio">#REF!</definedName>
    <definedName name="BLOCK" localSheetId="2">#REF!</definedName>
    <definedName name="BLOCK" localSheetId="5">#REF!</definedName>
    <definedName name="BLOCK">#REF!</definedName>
    <definedName name="BLOCKPOSTING">#REF!</definedName>
    <definedName name="Calc_implied_vol">[4]Volatility!$B$31</definedName>
    <definedName name="Clearing_House_deals_MTM_PT___Current_Month" localSheetId="2">#REF!</definedName>
    <definedName name="Clearing_House_deals_MTM_PT___Current_Month" localSheetId="5">#REF!</definedName>
    <definedName name="Clearing_House_deals_MTM_PT___Current_Month">#REF!</definedName>
    <definedName name="Cogen" localSheetId="2">#REF!</definedName>
    <definedName name="Cogen" localSheetId="5">#REF!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2">#REF!</definedName>
    <definedName name="CRR_PT2" localSheetId="5">#REF!</definedName>
    <definedName name="CRR_PT2">#REF!</definedName>
    <definedName name="CRR_SD_1" localSheetId="2">#REF!</definedName>
    <definedName name="CRR_SD_1" localSheetId="5">#REF!</definedName>
    <definedName name="CRR_SD_1">#REF!</definedName>
    <definedName name="CRR_SD_2" localSheetId="2">#REF!</definedName>
    <definedName name="CRR_SD_2" localSheetId="5">#REF!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 localSheetId="2">#REF!</definedName>
    <definedName name="DWR_End_Row" localSheetId="5">#REF!</definedName>
    <definedName name="DWR_End_Row">#REF!</definedName>
    <definedName name="DWR_Start_Row" localSheetId="2">#REF!</definedName>
    <definedName name="DWR_Start_Row" localSheetId="5">#REF!</definedName>
    <definedName name="DWR_Start_Row">#REF!</definedName>
    <definedName name="Effective_date">'[4]Calpine Renewable Cntrct  MTM'!$L$81</definedName>
    <definedName name="EIX_10k" localSheetId="2">#REF!</definedName>
    <definedName name="EIX_10k" localSheetId="5">#REF!</definedName>
    <definedName name="EIX_10k">#REF!</definedName>
    <definedName name="EIX_10K_DET_M" localSheetId="2">#REF!</definedName>
    <definedName name="EIX_10K_DET_M" localSheetId="5">#REF!</definedName>
    <definedName name="EIX_10K_DET_M">#REF!</definedName>
    <definedName name="EIX_10K_DET_T" localSheetId="2">#REF!</definedName>
    <definedName name="EIX_10K_DET_T" localSheetId="5">#REF!</definedName>
    <definedName name="EIX_10K_DET_T">#REF!</definedName>
    <definedName name="EIX_10K_DETAIL">#REF!</definedName>
    <definedName name="EIX_10K_M">#REF!</definedName>
    <definedName name="EIX_10k_t">#REF!</definedName>
    <definedName name="EIX_10K_WK_CURR">[7]WS!#REF!</definedName>
    <definedName name="EIX_10K_WK_JAN1" localSheetId="2">#REF!</definedName>
    <definedName name="EIX_10K_WK_JAN1" localSheetId="5">#REF!</definedName>
    <definedName name="EIX_10K_WK_JAN1">#REF!</definedName>
    <definedName name="EIX_10k_WK_LASTMO" localSheetId="2">#REF!</definedName>
    <definedName name="EIX_10k_WK_LASTMO" localSheetId="5">#REF!</definedName>
    <definedName name="EIX_10k_WK_LASTMO">#REF!</definedName>
    <definedName name="EIX_WS" localSheetId="2">[7]WS!#REF!</definedName>
    <definedName name="EIX_WS" localSheetId="5">[7]WS!#REF!</definedName>
    <definedName name="EIX_WS">[7]WS!#REF!</definedName>
    <definedName name="eixytd" localSheetId="2">#REF!</definedName>
    <definedName name="eixytd" localSheetId="5">#REF!</definedName>
    <definedName name="eixytd">#REF!</definedName>
    <definedName name="ENTRYNODE" localSheetId="2">#REF!</definedName>
    <definedName name="ENTRYNODE" localSheetId="5">#REF!</definedName>
    <definedName name="ENTRYNODE">#REF!</definedName>
    <definedName name="EOptns_Term_Sch_Point" localSheetId="2">#REF!</definedName>
    <definedName name="EOptns_Term_Sch_Point" localSheetId="5">#REF!</definedName>
    <definedName name="EOptns_Term_Sch_Point">#REF!</definedName>
    <definedName name="Equity" localSheetId="2">'[2]GL Master Data lookup'!#REF!</definedName>
    <definedName name="Equity" localSheetId="5">'[2]GL Master Data lookup'!#REF!</definedName>
    <definedName name="Equity">'[2]GL Master Data lookup'!#REF!</definedName>
    <definedName name="Escalation_Rate" localSheetId="2">#REF!</definedName>
    <definedName name="Escalation_Rate" localSheetId="5">#REF!</definedName>
    <definedName name="Escalation_Rate">#REF!</definedName>
    <definedName name="FERC" localSheetId="2">#REF!</definedName>
    <definedName name="FERC" localSheetId="5">#REF!</definedName>
    <definedName name="FERC">#REF!</definedName>
    <definedName name="FERC_Map">'[2]CARS to FERC Map'!$A$2:$B$2339</definedName>
    <definedName name="Format_Quotes">[4]PowerPrices!$B$62</definedName>
    <definedName name="FSD" localSheetId="2">#REF!</definedName>
    <definedName name="FSD" localSheetId="5">#REF!</definedName>
    <definedName name="FSD">#REF!</definedName>
    <definedName name="Fut_Point" localSheetId="2">#REF!</definedName>
    <definedName name="Fut_Point" localSheetId="5">#REF!</definedName>
    <definedName name="Fut_Point">#REF!</definedName>
    <definedName name="Futs_Web_Query">[4]FuturePrices!$B$34</definedName>
    <definedName name="Futures_Prices_Upload_Date">[3]Check!$B$28</definedName>
    <definedName name="Gas" localSheetId="2">#REF!</definedName>
    <definedName name="Gas" localSheetId="5">#REF!</definedName>
    <definedName name="Gas">#REF!</definedName>
    <definedName name="Gas_Fin_Non_Options" localSheetId="2">#REF!</definedName>
    <definedName name="Gas_Fin_Non_Options" localSheetId="5">#REF!</definedName>
    <definedName name="Gas_Fin_Non_Options">#REF!</definedName>
    <definedName name="Gas_NOpt_PT_1" localSheetId="2">#REF!</definedName>
    <definedName name="Gas_NOpt_PT_1" localSheetId="5">#REF!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 localSheetId="2">#REF!</definedName>
    <definedName name="HISTORICDOLLAR" localSheetId="5">#REF!</definedName>
    <definedName name="HISTORICDOLLAR">#REF!</definedName>
    <definedName name="Hydro" localSheetId="2">#REF!</definedName>
    <definedName name="Hydro" localSheetId="5">#REF!</definedName>
    <definedName name="Hydro">#REF!</definedName>
    <definedName name="Interest_Rates_Upload_Date">[3]Check!$B$30</definedName>
    <definedName name="IR_Web_Query">[4]InterestRates!$B$26</definedName>
    <definedName name="ITEMTYPE" localSheetId="2">#REF!</definedName>
    <definedName name="ITEMTYPE" localSheetId="5">#REF!</definedName>
    <definedName name="ITEMTYPE">#REF!</definedName>
    <definedName name="Level" localSheetId="2">#REF!</definedName>
    <definedName name="Level" localSheetId="5">#REF!</definedName>
    <definedName name="Level">#REF!</definedName>
    <definedName name="Liab" localSheetId="2">'[2]GL Master Data lookup'!#REF!</definedName>
    <definedName name="Liab" localSheetId="5">'[2]GL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2">#REF!</definedName>
    <definedName name="Load_Flag" localSheetId="5">#REF!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2">#REF!</definedName>
    <definedName name="MTM_Summary_Compare" localSheetId="5">#REF!</definedName>
    <definedName name="MTM_Summary_Compare">#REF!</definedName>
    <definedName name="NEG" localSheetId="2">#REF!</definedName>
    <definedName name="NEG" localSheetId="5">#REF!</definedName>
    <definedName name="NEG">#REF!</definedName>
    <definedName name="new" localSheetId="2" hidden="1">{#N/A,#N/A,TRUE,"Section6";#N/A,#N/A,TRUE,"OHcycles";#N/A,#N/A,TRUE,"OHtiming";#N/A,#N/A,TRUE,"OHcosts";#N/A,#N/A,TRUE,"GTdegradation";#N/A,#N/A,TRUE,"GTperformance";#N/A,#N/A,TRUE,"GraphEquip"}</definedName>
    <definedName name="new" localSheetId="5"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2">#REF!</definedName>
    <definedName name="Next_Month" localSheetId="5">#REF!</definedName>
    <definedName name="Next_Month">#REF!</definedName>
    <definedName name="NoContamSystems">SUM('[8]Facility Technical Data'!$C$11:$C$12)</definedName>
    <definedName name="OOR" localSheetId="2">'[2]GL Master Data lookup'!#REF!</definedName>
    <definedName name="OOR" localSheetId="5">'[2]GL Master Data lookup'!#REF!</definedName>
    <definedName name="OOR">'[2]GL Master Data lookup'!#REF!</definedName>
    <definedName name="Op_Exp" localSheetId="2">'[2]GL Master Data lookup'!#REF!</definedName>
    <definedName name="Op_Exp" localSheetId="5">'[2]GL Master Data lookup'!#REF!</definedName>
    <definedName name="Op_Exp">'[2]GL Master Data lookup'!#REF!</definedName>
    <definedName name="OracleUploadDate">[9]Renewable!$I$1</definedName>
    <definedName name="ord">'[10]Master Data'!$B$1:$T$118</definedName>
    <definedName name="P_L" localSheetId="2">'[2]GL Master Data lookup'!#REF!</definedName>
    <definedName name="P_L" localSheetId="5">'[2]GL Master Data lookup'!#REF!</definedName>
    <definedName name="P_L">'[2]GL Master Data lookup'!#REF!</definedName>
    <definedName name="Past_Cash" localSheetId="2">'[2]GL Master Data lookup'!#REF!</definedName>
    <definedName name="Past_Cash" localSheetId="5">'[2]GL Master Data lookup'!#REF!</definedName>
    <definedName name="Past_Cash">'[2]GL Master Data lookup'!#REF!</definedName>
    <definedName name="PivotTablePoint" localSheetId="2">#REF!</definedName>
    <definedName name="PivotTablePoint" localSheetId="5">#REF!</definedName>
    <definedName name="PivotTablePoint">#REF!</definedName>
    <definedName name="Posting_Keys" localSheetId="2">#REF!</definedName>
    <definedName name="Posting_Keys" localSheetId="5">#REF!</definedName>
    <definedName name="Posting_Keys">#REF!</definedName>
    <definedName name="Power" localSheetId="2">#REF!</definedName>
    <definedName name="Power" localSheetId="5">#REF!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Explanation'!$A$1:$F$22</definedName>
    <definedName name="_xlnm.Print_Area" localSheetId="4">'WP-2017 Sch20-AandG'!$A$1:$J$113</definedName>
    <definedName name="_xlnm.Print_Area" localSheetId="3">'WP-2017 Sch4-TUTRR'!$A$1:$J$109</definedName>
    <definedName name="_xlnm.Print_Area" localSheetId="2">'WP-2017 True Up TRR Adj'!$A$1:$G$15</definedName>
    <definedName name="_xlnm.Print_Area" localSheetId="7">'WP-2018 Sch20-AandG'!$A$1:$J$104</definedName>
    <definedName name="_xlnm.Print_Area" localSheetId="6">'WP-2018 Sch4-TUTRR'!$A$1:$J$109</definedName>
    <definedName name="_xlnm.Print_Area" localSheetId="5">'WP-2018 True Up TRR Adj'!$A$2:$G$15</definedName>
    <definedName name="_xlnm.Print_Area" localSheetId="1">'WP-Total Adj with Int'!$A$1:$K$37</definedName>
    <definedName name="print1" localSheetId="2">#REF!</definedName>
    <definedName name="print1" localSheetId="5">#REF!</definedName>
    <definedName name="print1">#REF!</definedName>
    <definedName name="print2" localSheetId="2">#REF!</definedName>
    <definedName name="print2" localSheetId="5">#REF!</definedName>
    <definedName name="print2">#REF!</definedName>
    <definedName name="PriorMTMdate">'[11]Input And Prices'!$B$3</definedName>
    <definedName name="ProcessDate" localSheetId="2">#REF!</definedName>
    <definedName name="ProcessDate" localSheetId="5">#REF!</definedName>
    <definedName name="ProcessDate">#REF!</definedName>
    <definedName name="ProcessDate2">[9]Check!$B$3</definedName>
    <definedName name="ProcessMonth" localSheetId="2">#REF!</definedName>
    <definedName name="ProcessMonth" localSheetId="5">#REF!</definedName>
    <definedName name="ProcessMonth">#REF!</definedName>
    <definedName name="ProxyList">'[3]Calpine Renewable Cntrct  MTM'!$AT$15:$AT$20</definedName>
    <definedName name="QF_Asgn_List_Capacity" localSheetId="2">#REF!</definedName>
    <definedName name="QF_Asgn_List_Capacity" localSheetId="5">#REF!</definedName>
    <definedName name="QF_Asgn_List_Capacity">#REF!</definedName>
    <definedName name="QF_Asgn_List0212" localSheetId="2">#REF!</definedName>
    <definedName name="QF_Asgn_List0212" localSheetId="5">#REF!</definedName>
    <definedName name="QF_Asgn_List0212">#REF!</definedName>
    <definedName name="QF_Asgn_List0301" localSheetId="2">#REF!</definedName>
    <definedName name="QF_Asgn_List0301" localSheetId="5">#REF!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 localSheetId="2">#REF!</definedName>
    <definedName name="SCE_10K_WK_JAN1" localSheetId="5">#REF!</definedName>
    <definedName name="SCE_10K_WK_JAN1">#REF!</definedName>
    <definedName name="SCE_10K_WK_LASTMO" localSheetId="2">#REF!</definedName>
    <definedName name="SCE_10K_WK_LASTMO" localSheetId="5">#REF!</definedName>
    <definedName name="SCE_10K_WK_LASTMO">#REF!</definedName>
    <definedName name="SCE_WS" localSheetId="2">#REF!</definedName>
    <definedName name="SCE_WS" localSheetId="5">#REF!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 localSheetId="2">#REF!</definedName>
    <definedName name="Solar" localSheetId="5">#REF!</definedName>
    <definedName name="Solar">#REF!</definedName>
    <definedName name="SUBMITEM" localSheetId="2">#REF!</definedName>
    <definedName name="SUBMITEM" localSheetId="5">#REF!</definedName>
    <definedName name="SUBMITEM">#REF!</definedName>
    <definedName name="SUBMITEMS" localSheetId="2">#REF!</definedName>
    <definedName name="SUBMITEMS" localSheetId="5">#REF!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 localSheetId="2">#REF!</definedName>
    <definedName name="TransCapMTM" localSheetId="5">#REF!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2">#REF!</definedName>
    <definedName name="Upload_IR_Access" localSheetId="5">#REF!</definedName>
    <definedName name="Upload_IR_Access">#REF!</definedName>
    <definedName name="Upload_Pwr">[4]PowerPrices!$B$66</definedName>
    <definedName name="Upload_Pwr_Access">[4]PowerPrices!$B$67</definedName>
    <definedName name="UploadAccess">[4]Volatility!$B$34</definedName>
    <definedName name="Uploads_IR_Access" localSheetId="2">#REF!</definedName>
    <definedName name="Uploads_IR_Access" localSheetId="5">#REF!</definedName>
    <definedName name="Uploads_IR_Access">#REF!</definedName>
    <definedName name="UploadVol">[4]Volatility!$B$33</definedName>
    <definedName name="Volatility_Upload_Date">[3]Check!$B$31</definedName>
    <definedName name="Week" localSheetId="2">{0;1;2;3;4;5}</definedName>
    <definedName name="Week" localSheetId="5">{0;1;2;3;4;5}</definedName>
    <definedName name="Week">{0;1;2;3;4;5}</definedName>
    <definedName name="Weekday" localSheetId="2">{1,2,3,4,5,6,7}</definedName>
    <definedName name="Weekday" localSheetId="5">{1,2,3,4,5,6,7}</definedName>
    <definedName name="Weekday">{1,2,3,4,5,6,7}</definedName>
    <definedName name="Wind" localSheetId="2">#REF!</definedName>
    <definedName name="Wind" localSheetId="5">#REF!</definedName>
    <definedName name="Wind">#REF!</definedName>
    <definedName name="WITdata">[14]WIT!$A$1:$S$440</definedName>
    <definedName name="wrn.Cover." localSheetId="2" hidden="1">{#N/A,#N/A,TRUE,"Cover";#N/A,#N/A,TRUE,"Contents"}</definedName>
    <definedName name="wrn.Cover." localSheetId="5" hidden="1">{#N/A,#N/A,TRUE,"Cover";#N/A,#N/A,TRUE,"Contents"}</definedName>
    <definedName name="wrn.Cover." hidden="1">{#N/A,#N/A,TRUE,"Cover";#N/A,#N/A,TRUE,"Contents"}</definedName>
    <definedName name="wrn.CoverContents." localSheetId="2" hidden="1">{#N/A,#N/A,FALSE,"Cover";#N/A,#N/A,FALSE,"Contents"}</definedName>
    <definedName name="wrn.CoverContents." localSheetId="5" hidden="1">{#N/A,#N/A,FALSE,"Cover";#N/A,#N/A,FALSE,"Contents"}</definedName>
    <definedName name="wrn.CoverContents." hidden="1">{#N/A,#N/A,FALSE,"Cover";#N/A,#N/A,FALSE,"Contents"}</definedName>
    <definedName name="wrn.Distributed._.Decon._.Notebook." localSheetId="2"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5"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2" hidden="1">{#N/A,#N/A,TRUE,"EPEsum";#N/A,#N/A,TRUE,"Approve1";#N/A,#N/A,TRUE,"Approve2";#N/A,#N/A,TRUE,"Approve3";#N/A,#N/A,TRUE,"EPE1";#N/A,#N/A,TRUE,"EPE2";#N/A,#N/A,TRUE,"CashCompare";#N/A,#N/A,TRUE,"XIRR";#N/A,#N/A,TRUE,"EPEloan";#N/A,#N/A,TRUE,"GraphEPE";#N/A,#N/A,TRUE,"OrgChart";#N/A,#N/A,TRUE,"SA08B"}</definedName>
    <definedName name="wrn.El._.Paso._.Offshore." localSheetId="5"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2"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5"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2" hidden="1">{#N/A,#N/A,FALSE,"Cover";#N/A,#N/A,FALSE,"ProjectSelector";#N/A,#N/A,FALSE,"ProjectTable";#N/A,#N/A,FALSE,"SanGorgonio";#N/A,#N/A,FALSE,"Tehachapi";#N/A,#N/A,FALSE,"Results";#N/A,#N/A,FALSE,"ReplaceForecast"}</definedName>
    <definedName name="wrn.PrintOther." localSheetId="5"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2"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5"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2" hidden="1">{#N/A,#N/A,TRUE,"Section1";"SavingsTop",#N/A,TRUE,"SumSavings";#N/A,#N/A,TRUE,"GraphSum";"SavingsAll",#N/A,TRUE,"SumSavings";#N/A,#N/A,TRUE,"Inputs";#N/A,#N/A,TRUE,"Scenarios";#N/A,#N/A,TRUE,"LineLoss";#N/A,#N/A,TRUE,"Summary";#N/A,#N/A,TRUE,"TermSummary";#N/A,#N/A,TRUE,"NetRates";#N/A,#N/A,TRUE,"PPAtypes"}</definedName>
    <definedName name="wrn.Section1." localSheetId="5"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2" hidden="1">{#N/A,#N/A,TRUE,"Section1";#N/A,#N/A,TRUE,"SumF";#N/A,#N/A,TRUE,"FigExchange";#N/A,#N/A,TRUE,"Escalation";#N/A,#N/A,TRUE,"GraphEscalate";#N/A,#N/A,TRUE,"Scenarios"}</definedName>
    <definedName name="wrn.Section1Summaries." localSheetId="5"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2" hidden="1">{#N/A,#N/A,TRUE,"Section2";#N/A,#N/A,TRUE,"OverPymt";#N/A,#N/A,TRUE,"Energy";#N/A,#N/A,TRUE,"EnergyDiff1";#N/A,#N/A,TRUE,"EnergyDiff2";#N/A,#N/A,TRUE,"CapPerformance";#N/A,#N/A,TRUE,"BonusPerformance";#N/A,#N/A,TRUE,"BonusFormula";#N/A,#N/A,TRUE,"GraphPymt"}</definedName>
    <definedName name="wrn.Section2." localSheetId="5"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2" hidden="1">{#N/A,#N/A,TRUE,"Section2";#N/A,#N/A,TRUE,"TPCestimate";#N/A,#N/A,TRUE,"SumTPC";#N/A,#N/A,TRUE,"ConstrLoan";#N/A,#N/A,TRUE,"FigBalance";#N/A,#N/A,TRUE,"DEV27air";#N/A,#N/A,TRUE,"Graph27air";#N/A,#N/A,TRUE,"PreOp"}</definedName>
    <definedName name="wrn.Section2TotalProjectCost." localSheetId="5"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2" hidden="1">{#N/A,#N/A,TRUE,"Section3";#N/A,#N/A,TRUE,"BaseYear";#N/A,#N/A,TRUE,"GenHistory";#N/A,#N/A,TRUE,"GenGraph";#N/A,#N/A,TRUE,"MonthCompare";#N/A,#N/A,TRUE,"HourHistory";#N/A,#N/A,TRUE,"PayHistory";#N/A,#N/A,TRUE,"PayGraphs";#N/A,#N/A,TRUE,"ReplaceForecast";#N/A,#N/A,TRUE,"PPAforecast";#N/A,#N/A,TRUE,"OLSier"}</definedName>
    <definedName name="wrn.Section3." localSheetId="5"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2" hidden="1">{#N/A,#N/A,TRUE,"Section3";#N/A,#N/A,TRUE,"Tax";#N/A,#N/A,TRUE,"Dividend";#N/A,#N/A,TRUE,"Depreciation";#N/A,#N/A,TRUE,"Balance";#N/A,#N/A,TRUE,"SaleGain";#N/A,#N/A,TRUE,"RevExp";#N/A,#N/A,TRUE,"PIG";#N/A,#N/A,TRUE,"GraphPlant"}</definedName>
    <definedName name="wrn.Section3PowerPlantCompany." localSheetId="5"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2" hidden="1">{#N/A,#N/A,TRUE,"Section4";#N/A,#N/A,TRUE,"Tariffwksht";#N/A,#N/A,TRUE,"TariffINFO";#N/A,#N/A,TRUE,"Generation";#N/A,#N/A,TRUE,"PPAsum";#N/A,#N/A,TRUE,"PPApayments";#N/A,#N/A,TRUE,"RevExp";#N/A,#N/A,TRUE,"GraphRevenue";#N/A,#N/A,TRUE,"GraphRevExp"}</definedName>
    <definedName name="wrn.Section4." localSheetId="5"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2" hidden="1">{#N/A,#N/A,TRUE,"Section4";#N/A,#N/A,TRUE,"PPAtable";#N/A,#N/A,TRUE,"RFPtable";#N/A,#N/A,TRUE,"RevCap";#N/A,#N/A,TRUE,"RevOther";#N/A,#N/A,TRUE,"RevGas";#N/A,#N/A,TRUE,"GraphRev"}</definedName>
    <definedName name="wrn.Section4Revenue." localSheetId="5"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2" hidden="1">{#N/A,#N/A,TRUE,"Section5";#N/A,#N/A,TRUE,"Coal";#N/A,#N/A,TRUE,"Fuel";#N/A,#N/A,TRUE,"OMwksht";#N/A,#N/A,TRUE,"VOM";#N/A,#N/A,TRUE,"FOM";#N/A,#N/A,TRUE,"Debt";#N/A,#N/A,TRUE,"LoanSchedules";#N/A,#N/A,TRUE,"GraphExp";#N/A,#N/A,TRUE,"Conversions"}</definedName>
    <definedName name="wrn.Section5." localSheetId="5"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2" hidden="1">{#N/A,#N/A,TRUE,"Section5";#N/A,#N/A,TRUE,"Gas";#N/A,#N/A,TRUE,"Oil";#N/A,#N/A,TRUE,"SumOM";#N/A,#N/A,TRUE,"VOM";#N/A,#N/A,TRUE,"FOM";#N/A,#N/A,TRUE,"StartUps";#N/A,#N/A,TRUE,"Labor";#N/A,#N/A,TRUE,"PlantOrg";#N/A,#N/A,TRUE,"Conversions";#N/A,#N/A,TRUE,"GraphExp"}</definedName>
    <definedName name="wrn.Section5Expenses." localSheetId="5"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2" hidden="1">{#N/A,#N/A,TRUE,"Section6";#N/A,#N/A,TRUE,"OHcycles";#N/A,#N/A,TRUE,"OHtiming";#N/A,#N/A,TRUE,"OHcosts";#N/A,#N/A,TRUE,"GTdegradation";#N/A,#N/A,TRUE,"GTperformance";#N/A,#N/A,TRUE,"GraphEquip"}</definedName>
    <definedName name="wrn.Section6Equipment." localSheetId="5"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2" hidden="1">{#N/A,#N/A,TRUE,"Section7";#N/A,#N/A,TRUE,"DebtService";#N/A,#N/A,TRUE,"LoanSchedules";#N/A,#N/A,TRUE,"GraphDebt"}</definedName>
    <definedName name="wrn.Section7DebtService." localSheetId="5" hidden="1">{#N/A,#N/A,TRUE,"Section7";#N/A,#N/A,TRUE,"DebtService";#N/A,#N/A,TRUE,"LoanSchedules";#N/A,#N/A,TRUE,"GraphDebt"}</definedName>
    <definedName name="wrn.Section7DebtService." hidden="1">{#N/A,#N/A,TRUE,"Section7";#N/A,#N/A,TRUE,"DebtService";#N/A,#N/A,TRUE,"LoanSchedules";#N/A,#N/A,TRUE,"GraphDebt"}</definedName>
    <definedName name="wrn.SponsorSection." localSheetId="2" hidden="1">{#N/A,#N/A,TRUE,"Cover";#N/A,#N/A,TRUE,"Contents";#N/A,#N/A,TRUE,"Organization";#N/A,#N/A,TRUE,"SumSponsor";#N/A,#N/A,TRUE,"Plant1";#N/A,#N/A,TRUE,"Plant2";#N/A,#N/A,TRUE,"Sponsors";#N/A,#N/A,TRUE,"ElPaso1";#N/A,#N/A,TRUE,"GraphSponsor"}</definedName>
    <definedName name="wrn.SponsorSection." localSheetId="5"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2" hidden="1">{"Table A",#N/A,FALSE,"Summary";"Table D",#N/A,FALSE,"Summary";"Table E",#N/A,FALSE,"Summary"}</definedName>
    <definedName name="wrn.Summary." localSheetId="5" hidden="1">{"Table A",#N/A,FALSE,"Summary";"Table D",#N/A,FALSE,"Summary";"Table E",#N/A,FALSE,"Summary"}</definedName>
    <definedName name="wrn.Summary." hidden="1">{"Table A",#N/A,FALSE,"Summary";"Table D",#N/A,FALSE,"Summary";"Table E",#N/A,FALSE,"Summary"}</definedName>
    <definedName name="wrn.Total._.Summary." localSheetId="2" hidden="1">{"Total Summary",#N/A,FALSE,"Summary"}</definedName>
    <definedName name="wrn.Total._.Summary." localSheetId="5" hidden="1">{"Total Summary",#N/A,FALSE,"Summary"}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0" i="207" l="1"/>
  <c r="F71" i="207"/>
  <c r="E71" i="207"/>
  <c r="H43" i="207" s="1"/>
  <c r="D43" i="207" s="1"/>
  <c r="G12" i="207" s="1"/>
  <c r="H12" i="207" s="1"/>
  <c r="F64" i="207"/>
  <c r="E64" i="207"/>
  <c r="H57" i="207"/>
  <c r="G57" i="207"/>
  <c r="G58" i="207" s="1"/>
  <c r="G37" i="207" s="1"/>
  <c r="D37" i="207" s="1"/>
  <c r="G6" i="207" s="1"/>
  <c r="H6" i="207" s="1"/>
  <c r="D50" i="207"/>
  <c r="D49" i="207"/>
  <c r="G18" i="207" s="1"/>
  <c r="H18" i="207" s="1"/>
  <c r="D48" i="207"/>
  <c r="G17" i="207" s="1"/>
  <c r="H17" i="207" s="1"/>
  <c r="D47" i="207"/>
  <c r="D46" i="207"/>
  <c r="G15" i="207" s="1"/>
  <c r="H15" i="207" s="1"/>
  <c r="D45" i="207"/>
  <c r="G14" i="207" s="1"/>
  <c r="H14" i="207" s="1"/>
  <c r="F44" i="207"/>
  <c r="D44" i="207" s="1"/>
  <c r="G13" i="207" s="1"/>
  <c r="H13" i="207" s="1"/>
  <c r="D42" i="207"/>
  <c r="G11" i="207" s="1"/>
  <c r="H11" i="207" s="1"/>
  <c r="D41" i="207"/>
  <c r="D40" i="207"/>
  <c r="G9" i="207" s="1"/>
  <c r="H9" i="207" s="1"/>
  <c r="D39" i="207"/>
  <c r="G8" i="207" s="1"/>
  <c r="H8" i="207" s="1"/>
  <c r="D38" i="207"/>
  <c r="G7" i="207" s="1"/>
  <c r="H7" i="207" s="1"/>
  <c r="F28" i="207"/>
  <c r="F26" i="207"/>
  <c r="F24" i="207"/>
  <c r="E20" i="207"/>
  <c r="G19" i="207"/>
  <c r="H19" i="207" s="1"/>
  <c r="G16" i="207"/>
  <c r="H16" i="207" s="1"/>
  <c r="G10" i="207"/>
  <c r="H10" i="207" s="1"/>
  <c r="F29" i="207" s="1"/>
  <c r="A7" i="207"/>
  <c r="A8" i="207" s="1"/>
  <c r="A9" i="207" s="1"/>
  <c r="A10" i="207" s="1"/>
  <c r="D6" i="197"/>
  <c r="F103" i="206"/>
  <c r="F98" i="206"/>
  <c r="F97" i="206"/>
  <c r="F96" i="206"/>
  <c r="E96" i="206"/>
  <c r="F95" i="206"/>
  <c r="E95" i="206"/>
  <c r="J86" i="206"/>
  <c r="E87" i="206" s="1"/>
  <c r="E97" i="206" s="1"/>
  <c r="G71" i="206"/>
  <c r="E71" i="206"/>
  <c r="G69" i="206"/>
  <c r="E69" i="206"/>
  <c r="J61" i="206"/>
  <c r="J62" i="206" s="1"/>
  <c r="H61" i="206"/>
  <c r="J58" i="206"/>
  <c r="H58" i="206"/>
  <c r="J57" i="206"/>
  <c r="H57" i="206"/>
  <c r="J54" i="206"/>
  <c r="H54" i="206"/>
  <c r="J53" i="206"/>
  <c r="H53" i="206"/>
  <c r="J52" i="206"/>
  <c r="H52" i="206"/>
  <c r="J51" i="206"/>
  <c r="H51" i="206"/>
  <c r="J50" i="206"/>
  <c r="H50" i="206"/>
  <c r="J49" i="206"/>
  <c r="H49" i="206"/>
  <c r="J48" i="206"/>
  <c r="H48" i="206"/>
  <c r="J45" i="206"/>
  <c r="H45" i="206"/>
  <c r="J44" i="206"/>
  <c r="H44" i="206"/>
  <c r="J43" i="206"/>
  <c r="H43" i="206"/>
  <c r="H42" i="206"/>
  <c r="H33" i="206"/>
  <c r="J27" i="206"/>
  <c r="H27" i="206"/>
  <c r="J26" i="206"/>
  <c r="H26" i="206"/>
  <c r="J25" i="206"/>
  <c r="H25" i="206"/>
  <c r="J24" i="206"/>
  <c r="H24" i="206"/>
  <c r="J23" i="206"/>
  <c r="H23" i="206"/>
  <c r="J20" i="206"/>
  <c r="H20" i="206"/>
  <c r="J19" i="206"/>
  <c r="H19" i="206"/>
  <c r="J18" i="206"/>
  <c r="H18" i="206"/>
  <c r="J14" i="206"/>
  <c r="H14" i="206"/>
  <c r="J13" i="206"/>
  <c r="H13" i="206"/>
  <c r="J12" i="206"/>
  <c r="H12" i="206"/>
  <c r="J9" i="206"/>
  <c r="H9" i="206"/>
  <c r="J8" i="206"/>
  <c r="H8" i="206"/>
  <c r="J7" i="206"/>
  <c r="H7" i="206"/>
  <c r="A7" i="206"/>
  <c r="A8" i="206" s="1"/>
  <c r="A9" i="206" s="1"/>
  <c r="A12" i="206" s="1"/>
  <c r="J6" i="206"/>
  <c r="H6" i="206"/>
  <c r="J15" i="206" l="1"/>
  <c r="J21" i="206"/>
  <c r="A11" i="207"/>
  <c r="A12" i="207" s="1"/>
  <c r="A13" i="207" s="1"/>
  <c r="A14" i="207" s="1"/>
  <c r="A15" i="207" s="1"/>
  <c r="A16" i="207" s="1"/>
  <c r="A17" i="207" s="1"/>
  <c r="A18" i="207" s="1"/>
  <c r="A19" i="207" s="1"/>
  <c r="G24" i="207"/>
  <c r="H20" i="207"/>
  <c r="F23" i="207" s="1"/>
  <c r="F25" i="207" s="1"/>
  <c r="F27" i="207" s="1"/>
  <c r="F30" i="207" s="1"/>
  <c r="E98" i="206"/>
  <c r="J33" i="206" s="1"/>
  <c r="A13" i="206"/>
  <c r="A14" i="206" s="1"/>
  <c r="A15" i="206" s="1"/>
  <c r="A18" i="206" s="1"/>
  <c r="E103" i="206"/>
  <c r="J42" i="206" s="1"/>
  <c r="J29" i="206" l="1"/>
  <c r="J41" i="206"/>
  <c r="J38" i="206"/>
  <c r="J56" i="206" s="1"/>
  <c r="J34" i="206"/>
  <c r="J55" i="206" s="1"/>
  <c r="C77" i="207"/>
  <c r="A20" i="207"/>
  <c r="A19" i="206"/>
  <c r="A20" i="206" s="1"/>
  <c r="A21" i="206" s="1"/>
  <c r="H15" i="206"/>
  <c r="J59" i="206" l="1"/>
  <c r="J64" i="206" s="1"/>
  <c r="E68" i="206" s="1"/>
  <c r="E70" i="206" s="1"/>
  <c r="E72" i="206"/>
  <c r="E73" i="206" s="1"/>
  <c r="A23" i="207"/>
  <c r="G23" i="207"/>
  <c r="H21" i="206"/>
  <c r="A23" i="206"/>
  <c r="H29" i="206"/>
  <c r="J70" i="206" l="1"/>
  <c r="J72" i="206" s="1"/>
  <c r="D7" i="197"/>
  <c r="A24" i="207"/>
  <c r="A25" i="207" s="1"/>
  <c r="A24" i="206"/>
  <c r="A25" i="206" s="1"/>
  <c r="A26" i="206" s="1"/>
  <c r="A27" i="206" s="1"/>
  <c r="A29" i="206" s="1"/>
  <c r="A26" i="207" l="1"/>
  <c r="A27" i="207" s="1"/>
  <c r="G25" i="207"/>
  <c r="H30" i="206"/>
  <c r="A33" i="206"/>
  <c r="A34" i="206" s="1"/>
  <c r="H41" i="206"/>
  <c r="A28" i="207" l="1"/>
  <c r="G27" i="207"/>
  <c r="H34" i="206"/>
  <c r="A38" i="206"/>
  <c r="H55" i="206"/>
  <c r="A29" i="207" l="1"/>
  <c r="G29" i="207"/>
  <c r="H56" i="206"/>
  <c r="A41" i="206"/>
  <c r="A42" i="206" s="1"/>
  <c r="A43" i="206" s="1"/>
  <c r="A44" i="206" s="1"/>
  <c r="A45" i="206" s="1"/>
  <c r="A48" i="206" s="1"/>
  <c r="A30" i="207" l="1"/>
  <c r="A37" i="207" s="1"/>
  <c r="G30" i="207"/>
  <c r="A49" i="206"/>
  <c r="A50" i="206" s="1"/>
  <c r="A51" i="206" s="1"/>
  <c r="A52" i="206" s="1"/>
  <c r="A53" i="206" s="1"/>
  <c r="A54" i="206" s="1"/>
  <c r="A55" i="206" s="1"/>
  <c r="A56" i="206" s="1"/>
  <c r="A57" i="206" s="1"/>
  <c r="A58" i="206" s="1"/>
  <c r="A59" i="206" s="1"/>
  <c r="A61" i="206" s="1"/>
  <c r="A64" i="206" s="1"/>
  <c r="G78" i="207" l="1"/>
  <c r="A38" i="207"/>
  <c r="A39" i="207" s="1"/>
  <c r="A40" i="207" s="1"/>
  <c r="A41" i="207" s="1"/>
  <c r="A42" i="207" s="1"/>
  <c r="A43" i="207" s="1"/>
  <c r="H59" i="206"/>
  <c r="A68" i="206"/>
  <c r="G68" i="206"/>
  <c r="C79" i="207" l="1"/>
  <c r="A44" i="207"/>
  <c r="A69" i="206"/>
  <c r="A70" i="206" s="1"/>
  <c r="C73" i="207" l="1"/>
  <c r="A45" i="207"/>
  <c r="A46" i="207" s="1"/>
  <c r="A47" i="207" s="1"/>
  <c r="A48" i="207" s="1"/>
  <c r="A49" i="207" s="1"/>
  <c r="A50" i="207" s="1"/>
  <c r="A71" i="206"/>
  <c r="A72" i="206" s="1"/>
  <c r="A73" i="206" s="1"/>
  <c r="G70" i="206"/>
  <c r="G73" i="206" l="1"/>
  <c r="G72" i="206"/>
  <c r="D6" i="194" l="1"/>
  <c r="C109" i="203"/>
  <c r="F71" i="203"/>
  <c r="E71" i="203"/>
  <c r="H43" i="203" s="1"/>
  <c r="D43" i="203" s="1"/>
  <c r="G12" i="203" s="1"/>
  <c r="H12" i="203" s="1"/>
  <c r="F65" i="203"/>
  <c r="E65" i="203"/>
  <c r="H58" i="203"/>
  <c r="G58" i="203"/>
  <c r="G59" i="203" s="1"/>
  <c r="G37" i="203" s="1"/>
  <c r="D37" i="203" s="1"/>
  <c r="G6" i="203" s="1"/>
  <c r="H6" i="203" s="1"/>
  <c r="D50" i="203"/>
  <c r="D49" i="203"/>
  <c r="G18" i="203" s="1"/>
  <c r="H18" i="203" s="1"/>
  <c r="D48" i="203"/>
  <c r="D47" i="203"/>
  <c r="D46" i="203"/>
  <c r="D45" i="203"/>
  <c r="G14" i="203" s="1"/>
  <c r="H14" i="203" s="1"/>
  <c r="F44" i="203"/>
  <c r="D44" i="203" s="1"/>
  <c r="G13" i="203" s="1"/>
  <c r="H13" i="203" s="1"/>
  <c r="D42" i="203"/>
  <c r="G11" i="203" s="1"/>
  <c r="H11" i="203" s="1"/>
  <c r="D41" i="203"/>
  <c r="D40" i="203"/>
  <c r="G9" i="203" s="1"/>
  <c r="H9" i="203" s="1"/>
  <c r="D39" i="203"/>
  <c r="D38" i="203"/>
  <c r="G7" i="203" s="1"/>
  <c r="H7" i="203" s="1"/>
  <c r="G28" i="203"/>
  <c r="F28" i="203"/>
  <c r="G26" i="203"/>
  <c r="F26" i="203"/>
  <c r="F24" i="203"/>
  <c r="E20" i="203"/>
  <c r="G19" i="203"/>
  <c r="H19" i="203" s="1"/>
  <c r="G17" i="203"/>
  <c r="H17" i="203" s="1"/>
  <c r="H16" i="203"/>
  <c r="G16" i="203"/>
  <c r="G15" i="203"/>
  <c r="H15" i="203" s="1"/>
  <c r="G10" i="203"/>
  <c r="H10" i="203" s="1"/>
  <c r="G8" i="203"/>
  <c r="H8" i="203" s="1"/>
  <c r="A8" i="203"/>
  <c r="A9" i="203" s="1"/>
  <c r="A10" i="203" s="1"/>
  <c r="A7" i="203"/>
  <c r="F103" i="202"/>
  <c r="F98" i="202"/>
  <c r="F97" i="202"/>
  <c r="F96" i="202"/>
  <c r="E96" i="202"/>
  <c r="F95" i="202"/>
  <c r="E95" i="202"/>
  <c r="J86" i="202"/>
  <c r="F84" i="202"/>
  <c r="E84" i="202"/>
  <c r="E87" i="202" s="1"/>
  <c r="E97" i="202" s="1"/>
  <c r="G71" i="202"/>
  <c r="E71" i="202"/>
  <c r="G69" i="202"/>
  <c r="E69" i="202"/>
  <c r="J62" i="202"/>
  <c r="H62" i="202"/>
  <c r="J59" i="202"/>
  <c r="H59" i="202"/>
  <c r="J58" i="202"/>
  <c r="H58" i="202"/>
  <c r="J55" i="202"/>
  <c r="H55" i="202"/>
  <c r="J54" i="202"/>
  <c r="H54" i="202"/>
  <c r="J53" i="202"/>
  <c r="H53" i="202"/>
  <c r="J52" i="202"/>
  <c r="H52" i="202"/>
  <c r="J51" i="202"/>
  <c r="H51" i="202"/>
  <c r="J50" i="202"/>
  <c r="H50" i="202"/>
  <c r="J49" i="202"/>
  <c r="H49" i="202"/>
  <c r="J48" i="202"/>
  <c r="H48" i="202"/>
  <c r="J45" i="202"/>
  <c r="H45" i="202"/>
  <c r="J44" i="202"/>
  <c r="H44" i="202"/>
  <c r="J43" i="202"/>
  <c r="H43" i="202"/>
  <c r="H42" i="202"/>
  <c r="H41" i="202"/>
  <c r="H33" i="202"/>
  <c r="A33" i="202"/>
  <c r="H34" i="202" s="1"/>
  <c r="J27" i="202"/>
  <c r="H27" i="202"/>
  <c r="J26" i="202"/>
  <c r="H26" i="202"/>
  <c r="J25" i="202"/>
  <c r="H25" i="202"/>
  <c r="J24" i="202"/>
  <c r="H24" i="202"/>
  <c r="J23" i="202"/>
  <c r="H23" i="202"/>
  <c r="J20" i="202"/>
  <c r="H20" i="202"/>
  <c r="J19" i="202"/>
  <c r="H19" i="202"/>
  <c r="J18" i="202"/>
  <c r="H18" i="202"/>
  <c r="J14" i="202"/>
  <c r="H14" i="202"/>
  <c r="J13" i="202"/>
  <c r="H13" i="202"/>
  <c r="J12" i="202"/>
  <c r="H12" i="202"/>
  <c r="J9" i="202"/>
  <c r="H9" i="202"/>
  <c r="J8" i="202"/>
  <c r="H8" i="202"/>
  <c r="J7" i="202"/>
  <c r="H7" i="202"/>
  <c r="A7" i="202"/>
  <c r="A8" i="202" s="1"/>
  <c r="J6" i="202"/>
  <c r="H6" i="202"/>
  <c r="A34" i="202" l="1"/>
  <c r="H56" i="202" s="1"/>
  <c r="E103" i="202"/>
  <c r="J42" i="202" s="1"/>
  <c r="F29" i="203"/>
  <c r="J21" i="202"/>
  <c r="H20" i="203"/>
  <c r="F23" i="203" s="1"/>
  <c r="F25" i="203" s="1"/>
  <c r="F27" i="203" s="1"/>
  <c r="F30" i="203" s="1"/>
  <c r="E98" i="202"/>
  <c r="J33" i="202" s="1"/>
  <c r="J15" i="202"/>
  <c r="J29" i="202" s="1"/>
  <c r="J38" i="202" s="1"/>
  <c r="J57" i="202" s="1"/>
  <c r="A11" i="203"/>
  <c r="A12" i="203" s="1"/>
  <c r="A13" i="203" s="1"/>
  <c r="A14" i="203" s="1"/>
  <c r="A15" i="203" s="1"/>
  <c r="A16" i="203" s="1"/>
  <c r="A17" i="203" s="1"/>
  <c r="A18" i="203" s="1"/>
  <c r="A19" i="203" s="1"/>
  <c r="G24" i="203"/>
  <c r="A9" i="202"/>
  <c r="A12" i="202" s="1"/>
  <c r="A38" i="202"/>
  <c r="J34" i="202" l="1"/>
  <c r="J56" i="202" s="1"/>
  <c r="J60" i="202" s="1"/>
  <c r="J64" i="202" s="1"/>
  <c r="E68" i="202" s="1"/>
  <c r="J41" i="202"/>
  <c r="A20" i="203"/>
  <c r="C77" i="203"/>
  <c r="E70" i="202"/>
  <c r="E72" i="202"/>
  <c r="H57" i="202"/>
  <c r="A41" i="202"/>
  <c r="A42" i="202" s="1"/>
  <c r="A43" i="202" s="1"/>
  <c r="A44" i="202" s="1"/>
  <c r="A45" i="202" s="1"/>
  <c r="A48" i="202" s="1"/>
  <c r="A13" i="202"/>
  <c r="A14" i="202" s="1"/>
  <c r="A15" i="202" s="1"/>
  <c r="A18" i="202" s="1"/>
  <c r="E73" i="202" l="1"/>
  <c r="J70" i="202" s="1"/>
  <c r="J72" i="202" s="1"/>
  <c r="G23" i="203"/>
  <c r="A23" i="203"/>
  <c r="A19" i="202"/>
  <c r="A20" i="202" s="1"/>
  <c r="A21" i="202" s="1"/>
  <c r="H15" i="202"/>
  <c r="A49" i="202"/>
  <c r="A51" i="202" s="1"/>
  <c r="A52" i="202" s="1"/>
  <c r="A53" i="202" s="1"/>
  <c r="A54" i="202" s="1"/>
  <c r="A55" i="202" s="1"/>
  <c r="A56" i="202" s="1"/>
  <c r="A57" i="202" s="1"/>
  <c r="A58" i="202" s="1"/>
  <c r="A59" i="202" s="1"/>
  <c r="A60" i="202" s="1"/>
  <c r="D7" i="194" l="1"/>
  <c r="A24" i="203"/>
  <c r="A25" i="203" s="1"/>
  <c r="A23" i="202"/>
  <c r="H29" i="202"/>
  <c r="A62" i="202"/>
  <c r="A64" i="202" s="1"/>
  <c r="H60" i="202"/>
  <c r="H21" i="202"/>
  <c r="G25" i="203" l="1"/>
  <c r="A26" i="203"/>
  <c r="A27" i="203" s="1"/>
  <c r="A68" i="202"/>
  <c r="G68" i="202"/>
  <c r="H64" i="202"/>
  <c r="A24" i="202"/>
  <c r="A25" i="202" s="1"/>
  <c r="H30" i="202"/>
  <c r="A28" i="203" l="1"/>
  <c r="G27" i="203"/>
  <c r="A69" i="202"/>
  <c r="A70" i="202" s="1"/>
  <c r="A29" i="203" l="1"/>
  <c r="G29" i="203"/>
  <c r="A71" i="202"/>
  <c r="A72" i="202" s="1"/>
  <c r="A73" i="202" s="1"/>
  <c r="G73" i="202"/>
  <c r="G70" i="202"/>
  <c r="G72" i="202" l="1"/>
  <c r="A30" i="203"/>
  <c r="A37" i="203" s="1"/>
  <c r="G30" i="203"/>
  <c r="G78" i="203" l="1"/>
  <c r="A38" i="203"/>
  <c r="A39" i="203" s="1"/>
  <c r="A40" i="203" s="1"/>
  <c r="A41" i="203" s="1"/>
  <c r="A42" i="203" s="1"/>
  <c r="A43" i="203" s="1"/>
  <c r="C79" i="203" l="1"/>
  <c r="A44" i="203"/>
  <c r="A45" i="203" l="1"/>
  <c r="A46" i="203" s="1"/>
  <c r="A47" i="203" s="1"/>
  <c r="A48" i="203" s="1"/>
  <c r="A49" i="203" s="1"/>
  <c r="A50" i="203" s="1"/>
  <c r="C73" i="203"/>
  <c r="I12" i="86" l="1"/>
  <c r="J12" i="86" l="1"/>
  <c r="K12" i="86" s="1"/>
  <c r="I13" i="86" s="1"/>
  <c r="J13" i="86" l="1"/>
  <c r="K13" i="86" s="1"/>
  <c r="I14" i="86" s="1"/>
  <c r="J14" i="86" l="1"/>
  <c r="K14" i="86"/>
  <c r="I15" i="86" s="1"/>
  <c r="J15" i="86" s="1"/>
  <c r="K15" i="86" l="1"/>
  <c r="I16" i="86" s="1"/>
  <c r="J16" i="86" s="1"/>
  <c r="K16" i="86" s="1"/>
  <c r="I17" i="86" s="1"/>
  <c r="J17" i="86" s="1"/>
  <c r="K17" i="86" l="1"/>
  <c r="I18" i="86" s="1"/>
  <c r="J18" i="86" s="1"/>
  <c r="K18" i="86" l="1"/>
  <c r="I19" i="86" s="1"/>
  <c r="J19" i="86" s="1"/>
  <c r="K19" i="86" l="1"/>
  <c r="I20" i="86" s="1"/>
  <c r="J20" i="86" s="1"/>
  <c r="K20" i="86" l="1"/>
  <c r="I21" i="86" s="1"/>
  <c r="J21" i="86" s="1"/>
  <c r="K21" i="86" l="1"/>
  <c r="I22" i="86" s="1"/>
  <c r="J22" i="86" s="1"/>
  <c r="K22" i="86" l="1"/>
  <c r="I23" i="86" s="1"/>
  <c r="J23" i="86" s="1"/>
  <c r="K23" i="86" l="1"/>
  <c r="D8" i="197" l="1"/>
  <c r="E12" i="100" l="1"/>
  <c r="E14" i="100" s="1"/>
  <c r="H24" i="86"/>
  <c r="D8" i="194"/>
  <c r="H25" i="86" l="1"/>
  <c r="I24" i="86"/>
  <c r="E6" i="100"/>
  <c r="D12" i="86"/>
  <c r="E8" i="100"/>
  <c r="E17" i="100" s="1"/>
  <c r="J24" i="86" l="1"/>
  <c r="K24" i="86"/>
  <c r="H26" i="86"/>
  <c r="I25" i="86"/>
  <c r="D13" i="86"/>
  <c r="E12" i="86"/>
  <c r="J25" i="86" l="1"/>
  <c r="K25" i="86" s="1"/>
  <c r="I26" i="86" s="1"/>
  <c r="H27" i="86"/>
  <c r="H28" i="86" s="1"/>
  <c r="H29" i="86" s="1"/>
  <c r="H30" i="86" s="1"/>
  <c r="H31" i="86" s="1"/>
  <c r="H32" i="86" s="1"/>
  <c r="H33" i="86" s="1"/>
  <c r="H34" i="86" s="1"/>
  <c r="H35" i="86" s="1"/>
  <c r="H36" i="86" s="1"/>
  <c r="F12" i="86"/>
  <c r="G12" i="86"/>
  <c r="E13" i="86" s="1"/>
  <c r="D14" i="86"/>
  <c r="J26" i="86" l="1"/>
  <c r="K26" i="86" s="1"/>
  <c r="I27" i="86" s="1"/>
  <c r="F13" i="86"/>
  <c r="G13" i="86" s="1"/>
  <c r="E14" i="86" s="1"/>
  <c r="D15" i="86"/>
  <c r="J27" i="86" l="1"/>
  <c r="K27" i="86" s="1"/>
  <c r="I28" i="86" s="1"/>
  <c r="F14" i="86"/>
  <c r="G14" i="86"/>
  <c r="D16" i="86"/>
  <c r="D17" i="86" s="1"/>
  <c r="E15" i="86"/>
  <c r="J28" i="86" l="1"/>
  <c r="K28" i="86" s="1"/>
  <c r="I29" i="86" s="1"/>
  <c r="F15" i="86"/>
  <c r="G15" i="86"/>
  <c r="E16" i="86" s="1"/>
  <c r="D18" i="86"/>
  <c r="D19" i="86" s="1"/>
  <c r="D20" i="86" s="1"/>
  <c r="D21" i="86" s="1"/>
  <c r="D22" i="86" s="1"/>
  <c r="D23" i="86" s="1"/>
  <c r="D36" i="86" s="1"/>
  <c r="J29" i="86" l="1"/>
  <c r="K29" i="86" s="1"/>
  <c r="I30" i="86" s="1"/>
  <c r="F16" i="86"/>
  <c r="G16" i="86" s="1"/>
  <c r="E17" i="86" s="1"/>
  <c r="J30" i="86" l="1"/>
  <c r="K30" i="86" s="1"/>
  <c r="I31" i="86" s="1"/>
  <c r="F17" i="86"/>
  <c r="G17" i="86"/>
  <c r="E18" i="86" s="1"/>
  <c r="J31" i="86" l="1"/>
  <c r="K31" i="86" s="1"/>
  <c r="I32" i="86" s="1"/>
  <c r="F18" i="86"/>
  <c r="G18" i="86" s="1"/>
  <c r="E19" i="86" s="1"/>
  <c r="J32" i="86" l="1"/>
  <c r="K32" i="86" s="1"/>
  <c r="I33" i="86" s="1"/>
  <c r="F19" i="86"/>
  <c r="G19" i="86" s="1"/>
  <c r="E20" i="86" s="1"/>
  <c r="J33" i="86" l="1"/>
  <c r="K33" i="86" s="1"/>
  <c r="I34" i="86" s="1"/>
  <c r="F20" i="86"/>
  <c r="G20" i="86" s="1"/>
  <c r="E21" i="86" s="1"/>
  <c r="J34" i="86" l="1"/>
  <c r="K34" i="86"/>
  <c r="I35" i="86" s="1"/>
  <c r="F21" i="86"/>
  <c r="G21" i="86"/>
  <c r="E22" i="86" s="1"/>
  <c r="J35" i="86" l="1"/>
  <c r="K35" i="86" s="1"/>
  <c r="K36" i="86" s="1"/>
  <c r="F22" i="86"/>
  <c r="G22" i="86"/>
  <c r="E23" i="86" s="1"/>
  <c r="F14" i="100" l="1"/>
  <c r="F23" i="86"/>
  <c r="G23" i="86"/>
  <c r="E24" i="86" s="1"/>
  <c r="F12" i="100" l="1"/>
  <c r="F24" i="86"/>
  <c r="G24" i="86" s="1"/>
  <c r="E25" i="86" s="1"/>
  <c r="F25" i="86" l="1"/>
  <c r="G25" i="86"/>
  <c r="E26" i="86" s="1"/>
  <c r="F26" i="86" l="1"/>
  <c r="G26" i="86"/>
  <c r="E27" i="86" s="1"/>
  <c r="F27" i="86" l="1"/>
  <c r="G27" i="86" s="1"/>
  <c r="E28" i="86" s="1"/>
  <c r="F28" i="86" l="1"/>
  <c r="G28" i="86" s="1"/>
  <c r="E29" i="86" s="1"/>
  <c r="F29" i="86" l="1"/>
  <c r="G29" i="86" s="1"/>
  <c r="E30" i="86" s="1"/>
  <c r="F30" i="86" l="1"/>
  <c r="G30" i="86"/>
  <c r="E31" i="86" s="1"/>
  <c r="F31" i="86" l="1"/>
  <c r="G31" i="86" s="1"/>
  <c r="E32" i="86" s="1"/>
  <c r="F32" i="86" l="1"/>
  <c r="G32" i="86"/>
  <c r="E33" i="86" s="1"/>
  <c r="F33" i="86" l="1"/>
  <c r="G33" i="86" s="1"/>
  <c r="E34" i="86" s="1"/>
  <c r="F34" i="86" l="1"/>
  <c r="G34" i="86" s="1"/>
  <c r="E35" i="86" s="1"/>
  <c r="F35" i="86" l="1"/>
  <c r="G35" i="86" s="1"/>
  <c r="F8" i="100" l="1"/>
  <c r="F17" i="100" s="1"/>
  <c r="G36" i="86"/>
  <c r="K37" i="86" s="1"/>
  <c r="F6" i="10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E40" authorId="0" shapeId="0" xr:uid="{C0CA21FE-21BC-4471-A26E-4A0B47E28EC7}">
      <text>
        <r>
          <rPr>
            <b/>
            <sz val="9"/>
            <color indexed="81"/>
            <rFont val="Tahoma"/>
            <family val="2"/>
          </rPr>
          <t xml:space="preserve">Changed from $7,741,758 to $7,758,094 due to removal of outside counsel cost related to employment litigation or arbitration matters which should have been excluded.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Hansen, Berton J</author>
  </authors>
  <commentList>
    <comment ref="F62" authorId="0" shapeId="0" xr:uid="{AA347480-A595-434D-8E58-A23B961F8FEF}">
      <text>
        <r>
          <rPr>
            <sz val="9"/>
            <color indexed="81"/>
            <rFont val="Tahoma"/>
            <family val="2"/>
          </rPr>
          <t>Settlement term 3: New Line 39a reversing Line 39 Incentive Adder.  Will not apply to True Up Years of 2016 and 2017 as the True Up TRR for those years will be calculated pursuant to the Original Formula Rate (workpaper).</t>
        </r>
      </text>
    </comment>
    <comment ref="E84" authorId="0" shapeId="0" xr:uid="{809D22EC-7049-4963-BA59-959EC120A652}">
      <text>
        <r>
          <rPr>
            <sz val="9"/>
            <color indexed="81"/>
            <rFont val="Tahoma"/>
            <family val="2"/>
          </rPr>
          <t>11.2% for 2018 True Up TRR pursuant to Settlement Term #3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B9D67ED7-34D4-4F53-BC9B-4C3B960E992E}">
      <text>
        <r>
          <rPr>
            <b/>
            <sz val="9"/>
            <color indexed="81"/>
            <rFont val="Tahoma"/>
            <family val="2"/>
          </rPr>
          <t>Jee Kim:</t>
        </r>
        <r>
          <rPr>
            <sz val="9"/>
            <color indexed="81"/>
            <rFont val="Tahoma"/>
            <family val="2"/>
          </rPr>
          <t xml:space="preserve">
Change from $8,742,733 to $8,764,418 due to removal of outside counsel cost related to employment litigation or arbitration matters which should have been excluded. </t>
        </r>
      </text>
    </comment>
  </commentList>
</comments>
</file>

<file path=xl/sharedStrings.xml><?xml version="1.0" encoding="utf-8"?>
<sst xmlns="http://schemas.openxmlformats.org/spreadsheetml/2006/main" count="729" uniqueCount="333">
  <si>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</si>
  <si>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</si>
  <si>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</si>
  <si>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</si>
  <si>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</si>
  <si>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</si>
  <si>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</si>
  <si>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</si>
  <si>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</si>
  <si>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</si>
  <si>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</si>
  <si>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</si>
  <si>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</si>
  <si>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</si>
  <si>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</si>
  <si>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</si>
  <si>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</si>
  <si>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</si>
  <si>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</si>
  <si>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</si>
  <si>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</si>
  <si>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</si>
  <si>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</si>
  <si>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</si>
  <si>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</si>
  <si>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</si>
  <si>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</si>
  <si>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</si>
  <si>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</si>
  <si>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</si>
  <si>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</si>
  <si>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</si>
  <si>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</si>
  <si>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</si>
  <si>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</si>
  <si>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</si>
  <si>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</si>
  <si>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</si>
  <si>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</si>
  <si>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</si>
  <si>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</si>
  <si>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</si>
  <si>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</si>
  <si>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</si>
  <si>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</si>
  <si>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</si>
  <si>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</si>
  <si>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</si>
  <si>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</si>
  <si>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</si>
  <si>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</si>
  <si>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</si>
  <si>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</si>
  <si>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</si>
  <si>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</si>
  <si>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</si>
  <si>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</si>
  <si>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</si>
  <si>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</si>
  <si>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</si>
  <si>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</si>
  <si>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</si>
  <si>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</si>
  <si>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</si>
  <si>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</si>
  <si>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</si>
  <si>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</si>
  <si>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</si>
  <si>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</si>
  <si>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</si>
  <si>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</si>
  <si>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</si>
  <si>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</si>
  <si>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</si>
  <si>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</si>
  <si>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</si>
  <si>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</si>
  <si>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</si>
  <si>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</si>
  <si>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</si>
  <si>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</si>
  <si>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</si>
  <si>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</si>
  <si>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</si>
  <si>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</si>
  <si>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</si>
  <si>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</si>
  <si>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</si>
  <si>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</si>
  <si>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</si>
  <si>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</si>
  <si>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</si>
  <si>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</si>
  <si>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</si>
  <si>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</si>
  <si>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</si>
  <si>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</si>
  <si>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</si>
  <si>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</si>
  <si>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</si>
  <si>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</si>
  <si>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</si>
  <si>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</si>
  <si>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</si>
  <si>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</si>
  <si>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</si>
  <si>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</si>
  <si>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</si>
  <si>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</si>
  <si>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</si>
  <si>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</si>
  <si>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</si>
  <si>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</si>
  <si>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</si>
  <si>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</si>
  <si>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</si>
  <si>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</si>
  <si>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</si>
  <si>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</si>
  <si>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</si>
  <si>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</si>
  <si>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</si>
  <si>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</si>
  <si>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</si>
  <si>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</si>
  <si>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</si>
  <si>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</si>
  <si>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</si>
  <si>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</si>
  <si>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</si>
  <si>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</si>
  <si>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</si>
  <si>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</si>
  <si>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</si>
  <si>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</si>
  <si>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</si>
  <si>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</si>
  <si>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</si>
  <si>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</si>
  <si>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</si>
  <si>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</si>
  <si>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</si>
  <si>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</si>
  <si>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</si>
  <si>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</si>
  <si>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</si>
  <si>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</si>
  <si>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</si>
  <si>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</si>
  <si>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</si>
  <si>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</si>
  <si>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</si>
  <si>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</si>
  <si>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</si>
  <si>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27a</t>
  </si>
  <si>
    <t>PBOPs True Up TRR Adjustment</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</si>
  <si>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</si>
  <si>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</si>
  <si>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</si>
  <si>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</si>
  <si>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</si>
  <si>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</si>
  <si>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</si>
  <si>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</si>
  <si>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</si>
  <si>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</si>
  <si>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</si>
  <si>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</si>
  <si>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</si>
  <si>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</si>
  <si>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</si>
  <si>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</si>
  <si>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</si>
  <si>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</si>
  <si>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</si>
  <si>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</si>
  <si>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</si>
  <si>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</si>
  <si>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</si>
  <si>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</si>
  <si>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</si>
  <si>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</si>
  <si>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</si>
  <si>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</si>
  <si>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</si>
  <si>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</si>
  <si>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</si>
  <si>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</si>
  <si>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</si>
  <si>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</si>
  <si>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</si>
  <si>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</si>
  <si>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</si>
  <si>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</si>
  <si>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</si>
  <si>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</si>
  <si>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</si>
  <si>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</si>
  <si>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</si>
  <si>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</si>
  <si>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</si>
  <si>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</si>
  <si>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</si>
  <si>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</si>
  <si>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</si>
  <si>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</si>
  <si>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</si>
  <si>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</si>
  <si>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</si>
  <si>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</si>
  <si>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</si>
  <si>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</si>
  <si>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</si>
  <si>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</si>
  <si>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</si>
  <si>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</si>
  <si>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</si>
  <si>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</si>
  <si>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</si>
  <si>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</si>
  <si>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</si>
  <si>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</si>
  <si>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</si>
  <si>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</si>
  <si>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</si>
  <si>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</si>
  <si>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</si>
  <si>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</si>
  <si>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</si>
  <si>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</si>
  <si>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</si>
  <si>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</si>
  <si>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</si>
  <si>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</si>
  <si>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</si>
  <si>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</si>
  <si>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</si>
  <si>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</si>
  <si>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</si>
  <si>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</si>
  <si>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</si>
  <si>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</si>
  <si>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</si>
  <si>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</si>
  <si>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</si>
  <si>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</si>
  <si>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</si>
  <si>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</si>
  <si>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</si>
  <si>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</si>
  <si>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</si>
  <si>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</si>
  <si>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</si>
  <si>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</si>
  <si>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</si>
  <si>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</si>
  <si>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</si>
  <si>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</si>
  <si>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</si>
  <si>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</si>
  <si>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</si>
  <si>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</si>
  <si>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</si>
  <si>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</si>
  <si>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</si>
  <si>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</si>
  <si>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</si>
  <si>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</si>
  <si>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</si>
  <si>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5) SCE shall make no adjustments to recorded labor amounts related to non-labor labor and/or Indirect labor in Schedule 20.</t>
  </si>
  <si>
    <t>TUTRR Change</t>
  </si>
  <si>
    <t>A</t>
  </si>
  <si>
    <t>One-Time Adj*</t>
  </si>
  <si>
    <t>* Variance Includes Adjustment for:</t>
  </si>
  <si>
    <t>Explanation of One Time Adjustment to Prior Period</t>
  </si>
  <si>
    <t>B</t>
  </si>
  <si>
    <t>2017</t>
  </si>
  <si>
    <t>Changes to 2017</t>
  </si>
  <si>
    <t xml:space="preserve">One Time Adjustment for Revised 2017 True Up TRR </t>
  </si>
  <si>
    <t>(1) 2017 A&amp;G exclusion for outside counsel</t>
  </si>
  <si>
    <t>TO13 TUTRR</t>
  </si>
  <si>
    <t>Jan 1, 2017</t>
  </si>
  <si>
    <t>Dec 31, 2017</t>
  </si>
  <si>
    <t>ER16-2433</t>
  </si>
  <si>
    <t>One Time Adjustment for Revised 2017 True Up TRR</t>
  </si>
  <si>
    <t>TO13/TO2020</t>
  </si>
  <si>
    <t>Changes to 2018</t>
  </si>
  <si>
    <t>Total One-Time Adjustment for 2017 Reflected in the June TO2021 Posting</t>
  </si>
  <si>
    <t>Total One-Time Adjustment for 2018 Reflected in June TO2021 Posting</t>
  </si>
  <si>
    <t>*  The TO2021 One-Time Adjustment is equal to the TO13/TO2020 TUTRR Change, plus interest through December 31, 2018.</t>
  </si>
  <si>
    <t>Total One-Time Adjustment for 2017 through 2018 Reflected in June TO2021 Posting</t>
  </si>
  <si>
    <t>TO2021</t>
  </si>
  <si>
    <t xml:space="preserve">C = A + B </t>
  </si>
  <si>
    <t>One Time Adjustment for Revised 2018 True Up TRR</t>
  </si>
  <si>
    <t>2018</t>
  </si>
  <si>
    <t>Revised TO13 True Up TRR in TO2020 Filing</t>
  </si>
  <si>
    <t>Revised TO13 True Up TRR in TO2021 Draft Posting</t>
  </si>
  <si>
    <t xml:space="preserve">One Time Adjustment for Revised 2018 True Up TRR </t>
  </si>
  <si>
    <t>(1) 2018 A&amp;G exclusion for outside counsel</t>
  </si>
  <si>
    <t xml:space="preserve">Filed TO2020 True Up TRR </t>
  </si>
  <si>
    <t>TO2020 Revised True Up TRR in TO2021 Draft Posting</t>
  </si>
  <si>
    <t>A&amp;G Exclusion</t>
  </si>
  <si>
    <t>TO2020 Annual Update - WP Schedule 3 - One Time Adj Prior Period, Page 37, Line 45.</t>
  </si>
  <si>
    <r>
      <t>TO2021 Draft Annual Posting - WP Schedule 3 - One Time Adj Prior Period, Page</t>
    </r>
    <r>
      <rPr>
        <sz val="11"/>
        <rFont val="Calibri"/>
        <family val="2"/>
        <scheme val="minor"/>
      </rPr>
      <t xml:space="preserve"> 5</t>
    </r>
    <r>
      <rPr>
        <sz val="11"/>
        <color theme="1"/>
        <rFont val="Calibri"/>
        <family val="2"/>
        <scheme val="minor"/>
      </rPr>
      <t>, Line 45.</t>
    </r>
  </si>
  <si>
    <t>1/8 (O&amp;M + A&amp;G)</t>
  </si>
  <si>
    <t>TO2020 TUTRR</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</si>
  <si>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</si>
  <si>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</si>
  <si>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</si>
  <si>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Current Authorized PBOPs Expense Amount:</t>
  </si>
  <si>
    <t>Prior Year Authorized PBOPs Expense Amount:</t>
  </si>
  <si>
    <t>Authorized PBOPs Expense Amount during Prior Year</t>
  </si>
  <si>
    <t>3) Any penalties or fines.</t>
  </si>
  <si>
    <t>in accordance with the tariff protocols.  Accordingly, any amount different than the authorized PBOPs expense</t>
  </si>
  <si>
    <t>during the Prior Year is excluded from account 926 (see note 3). Docket or Decision approving authorized PBOPs amount:</t>
  </si>
  <si>
    <t>ER19-1226</t>
  </si>
  <si>
    <t>TO2020 Annual Update - WP Schedule 3 - One Time Adj Prior Period, Page 37, Line 45</t>
  </si>
  <si>
    <t>In preparing the TO2021 Draft Annual Update, SCE discovered that it had outside counsel expenses related to employment litigation or arbitration matters that were subsequently resolved by the Company which were not excluded.  The amount of expenses were overstated by $16,366, which should have been excluded in 2017.  As such, SCE is including an additional TO13 A&amp;G exclusion of $16,336 to remove these additional expenses.  SCE has incorporated this correction that changes the TO13 A&amp;G exclusions and the impact of this change is a decrease in the 2017 True Up TRR of $937.</t>
  </si>
  <si>
    <t>39a</t>
  </si>
  <si>
    <t>True Up Incentive Adder Reversal</t>
  </si>
  <si>
    <t>Negative of Line 39, Note 1</t>
  </si>
  <si>
    <t>Line 38 + Line 39 + Line 39a</t>
  </si>
  <si>
    <t>TO2020 Annual Update - Attachment 5, Schedule 4, Line 46</t>
  </si>
  <si>
    <t>Second Formula Rate ER18-169 Settlement</t>
  </si>
  <si>
    <t>Notes:</t>
  </si>
  <si>
    <t>1) True Up TRR Incentive Adder Reversal backs out the revenue requirement associated with any project-specific Incentive Adders</t>
  </si>
  <si>
    <t xml:space="preserve">    (line 39) for True Up Years during the term of the Second Formula Rate.  Applicable pursuant to settlement under ER18-169.</t>
  </si>
  <si>
    <t>27-Allocators, Line 5</t>
  </si>
  <si>
    <t>27-Allocators, Line 18</t>
  </si>
  <si>
    <t>TO2020 Annual Update Filing - Attachment 5 - Schedule 4 , Page 13, Line 46.</t>
  </si>
  <si>
    <t>In preparing the TO2021 Draft Annual Update, SCE discovered that it had outside counsel expenses related to employment litigation or arbitration matters that were subsequently resolved by the Company which were not excluded.  The amount of expenses were overstated by $21,685, which should have been excluded in 2018.  As such, SCE is including an additional TO2020 A&amp;G exclusion of $21,685 to remove these additional expenses.  SCE has incorporated this correction that changes the TO2020 A&amp;G exclusions and the impact of this change is a decrease in the 2018 True Up TRR of $1,275.</t>
  </si>
  <si>
    <t xml:space="preserve">Total One-Time Adj with Interest: </t>
  </si>
  <si>
    <r>
      <t>TO2021 Draft Annual Update - WP Schedule 3 - One Time Adj Prior Period, Page</t>
    </r>
    <r>
      <rPr>
        <sz val="11"/>
        <rFont val="Calibri"/>
        <family val="2"/>
        <scheme val="minor"/>
      </rPr>
      <t xml:space="preserve"> 12</t>
    </r>
    <r>
      <rPr>
        <sz val="11"/>
        <color theme="1"/>
        <rFont val="Calibri"/>
        <family val="2"/>
        <scheme val="minor"/>
      </rPr>
      <t>, Line 45.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</si>
</sst>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strike/>
      <sz val="10"/>
      <color rgb="FFFF0000"/>
      <name val="Arial"/>
      <family val="2"/>
    </font>
  </fonts>
  <fills count="40">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s>
  <borders count="35">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bottom/>
      <diagonal/>
    </border>
    <border>
      <left/>
      <right style="medium">
        <color indexed="64"/>
      </right>
      <top/>
      <bottom style="medium">
        <color auto="1"/>
      </bottom>
      <diagonal/>
    </border>
    <border>
      <left style="medium">
        <color rgb="FFFF0000"/>
      </left>
      <right style="medium">
        <color rgb="FFFF0000"/>
      </right>
      <top style="medium">
        <color rgb="FFFF0000"/>
      </top>
      <bottom style="medium">
        <color rgb="FFFF0000"/>
      </bottom>
      <diagonal/>
    </border>
  </borders>
  <cellStyleXfs count="227">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25"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9" fontId="33" fillId="0" borderId="0" applyFont="0" applyFill="0" applyBorder="0" applyAlignment="0" applyProtection="0"/>
    <xf numFmtId="9" fontId="25"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25" fillId="31" borderId="1" applyNumberFormat="0" applyProtection="0">
      <alignment horizontal="left" vertical="center" indent="1"/>
    </xf>
    <xf numFmtId="0" fontId="25" fillId="31" borderId="1" applyNumberFormat="0" applyProtection="0">
      <alignment horizontal="left" vertical="top" indent="1"/>
    </xf>
    <xf numFmtId="0" fontId="25" fillId="27" borderId="1" applyNumberFormat="0" applyProtection="0">
      <alignment horizontal="left" vertical="center" indent="1"/>
    </xf>
    <xf numFmtId="0" fontId="25" fillId="27" borderId="1" applyNumberFormat="0" applyProtection="0">
      <alignment horizontal="left" vertical="top" indent="1"/>
    </xf>
    <xf numFmtId="0" fontId="25" fillId="3" borderId="1" applyNumberFormat="0" applyProtection="0">
      <alignment horizontal="left" vertical="center" indent="1"/>
    </xf>
    <xf numFmtId="0" fontId="25" fillId="3" borderId="1" applyNumberFormat="0" applyProtection="0">
      <alignment horizontal="left" vertical="top" indent="1"/>
    </xf>
    <xf numFmtId="0" fontId="25" fillId="30" borderId="1" applyNumberFormat="0" applyProtection="0">
      <alignment horizontal="left" vertical="center" indent="1"/>
    </xf>
    <xf numFmtId="0" fontId="25" fillId="30" borderId="1" applyNumberFormat="0" applyProtection="0">
      <alignment horizontal="left" vertical="top" indent="1"/>
    </xf>
    <xf numFmtId="0" fontId="25"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23" fillId="0" borderId="0"/>
    <xf numFmtId="0" fontId="22" fillId="0" borderId="0"/>
    <xf numFmtId="0" fontId="22" fillId="0" borderId="0"/>
    <xf numFmtId="165" fontId="23" fillId="0" borderId="0" applyFont="0" applyFill="0" applyBorder="0" applyAlignment="0" applyProtection="0"/>
    <xf numFmtId="0" fontId="23" fillId="31" borderId="1" applyNumberFormat="0" applyProtection="0">
      <alignment horizontal="left" vertical="center" indent="1"/>
    </xf>
    <xf numFmtId="0" fontId="23" fillId="31" borderId="1" applyNumberFormat="0" applyProtection="0">
      <alignment horizontal="left" vertical="top" indent="1"/>
    </xf>
    <xf numFmtId="0" fontId="23" fillId="27" borderId="1" applyNumberFormat="0" applyProtection="0">
      <alignment horizontal="left" vertical="center" indent="1"/>
    </xf>
    <xf numFmtId="0" fontId="23" fillId="27" borderId="1" applyNumberFormat="0" applyProtection="0">
      <alignment horizontal="left" vertical="top" indent="1"/>
    </xf>
    <xf numFmtId="0" fontId="23" fillId="3" borderId="1" applyNumberFormat="0" applyProtection="0">
      <alignment horizontal="left" vertical="center" indent="1"/>
    </xf>
    <xf numFmtId="0" fontId="23" fillId="3" borderId="1" applyNumberFormat="0" applyProtection="0">
      <alignment horizontal="left" vertical="top" indent="1"/>
    </xf>
    <xf numFmtId="0" fontId="23" fillId="30" borderId="1" applyNumberFormat="0" applyProtection="0">
      <alignment horizontal="left" vertical="center" indent="1"/>
    </xf>
    <xf numFmtId="0" fontId="23" fillId="30" borderId="1" applyNumberFormat="0" applyProtection="0">
      <alignment horizontal="left" vertical="top" indent="1"/>
    </xf>
    <xf numFmtId="0" fontId="23" fillId="32" borderId="3" applyNumberFormat="0">
      <protection locked="0"/>
    </xf>
    <xf numFmtId="0" fontId="43" fillId="0" borderId="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5" fontId="23" fillId="0" borderId="0" applyFont="0" applyFill="0" applyBorder="0" applyAlignment="0" applyProtection="0"/>
    <xf numFmtId="44"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xf numFmtId="9" fontId="23" fillId="0" borderId="0" applyFont="0" applyFill="0" applyBorder="0" applyAlignment="0" applyProtection="0"/>
    <xf numFmtId="0" fontId="23" fillId="0" borderId="0"/>
    <xf numFmtId="0" fontId="23" fillId="0" borderId="0"/>
    <xf numFmtId="0" fontId="21" fillId="0" borderId="0"/>
    <xf numFmtId="0" fontId="21"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23" fillId="0" borderId="0"/>
    <xf numFmtId="0" fontId="23" fillId="0" borderId="0"/>
    <xf numFmtId="0" fontId="23" fillId="0" borderId="0"/>
    <xf numFmtId="0" fontId="33" fillId="0" borderId="0"/>
    <xf numFmtId="0" fontId="33" fillId="0" borderId="0"/>
    <xf numFmtId="0" fontId="33" fillId="0" borderId="0"/>
    <xf numFmtId="0" fontId="33" fillId="0" borderId="0"/>
    <xf numFmtId="0" fontId="33" fillId="0" borderId="0"/>
    <xf numFmtId="43" fontId="40" fillId="0" borderId="0" applyFont="0" applyFill="0" applyBorder="0" applyAlignment="0" applyProtection="0"/>
    <xf numFmtId="9" fontId="23" fillId="0" borderId="0" applyFont="0" applyFill="0" applyBorder="0" applyAlignment="0" applyProtection="0"/>
    <xf numFmtId="0" fontId="23" fillId="0" borderId="0"/>
    <xf numFmtId="0" fontId="16" fillId="0" borderId="0"/>
    <xf numFmtId="0" fontId="16" fillId="0" borderId="0"/>
    <xf numFmtId="0" fontId="16" fillId="0" borderId="0"/>
    <xf numFmtId="43" fontId="23" fillId="0" borderId="0" applyFont="0" applyFill="0" applyBorder="0" applyAlignment="0" applyProtection="0"/>
    <xf numFmtId="44" fontId="23" fillId="0" borderId="0" applyFont="0" applyFill="0" applyBorder="0" applyAlignment="0" applyProtection="0"/>
    <xf numFmtId="9" fontId="23"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9" fontId="15"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4" fontId="32" fillId="29" borderId="8" applyNumberFormat="0" applyProtection="0">
      <alignment horizontal="left" vertical="center" indent="1"/>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2" fillId="0" borderId="0"/>
    <xf numFmtId="0" fontId="12" fillId="0" borderId="0"/>
    <xf numFmtId="0" fontId="44" fillId="0" borderId="0"/>
    <xf numFmtId="43" fontId="23" fillId="0" borderId="0" applyFont="0" applyFill="0" applyBorder="0" applyAlignment="0" applyProtection="0"/>
    <xf numFmtId="43" fontId="47" fillId="0" borderId="0" applyFont="0" applyFill="0" applyBorder="0" applyAlignment="0" applyProtection="0"/>
    <xf numFmtId="0" fontId="11" fillId="0" borderId="0"/>
    <xf numFmtId="43" fontId="11" fillId="0" borderId="0" applyFont="0" applyFill="0" applyBorder="0" applyAlignment="0" applyProtection="0"/>
    <xf numFmtId="0" fontId="11" fillId="0" borderId="0"/>
    <xf numFmtId="0" fontId="11" fillId="0" borderId="0"/>
    <xf numFmtId="44" fontId="56" fillId="0" borderId="0" applyFont="0" applyFill="0" applyBorder="0" applyAlignment="0" applyProtection="0"/>
    <xf numFmtId="0" fontId="10" fillId="0" borderId="0"/>
    <xf numFmtId="9" fontId="10" fillId="0" borderId="0" applyFont="0" applyFill="0" applyBorder="0" applyAlignment="0" applyProtection="0"/>
    <xf numFmtId="43" fontId="10" fillId="0" borderId="0" applyFont="0" applyFill="0" applyBorder="0" applyAlignment="0" applyProtection="0"/>
    <xf numFmtId="44" fontId="23" fillId="0" borderId="0" applyFont="0" applyFill="0" applyBorder="0" applyAlignment="0" applyProtection="0"/>
    <xf numFmtId="0" fontId="9" fillId="0" borderId="0"/>
    <xf numFmtId="0" fontId="9" fillId="0" borderId="0"/>
    <xf numFmtId="0" fontId="8" fillId="0" borderId="0"/>
    <xf numFmtId="43" fontId="8" fillId="0" borderId="0" applyFont="0" applyFill="0" applyBorder="0" applyAlignment="0" applyProtection="0"/>
    <xf numFmtId="0" fontId="6" fillId="0" borderId="0"/>
    <xf numFmtId="43" fontId="6" fillId="0" borderId="0" applyFont="0" applyFill="0" applyBorder="0" applyAlignment="0" applyProtection="0"/>
  </cellStyleXfs>
  <cellXfs count="216">
    <xf numFmtId="0" fontId="0" fillId="0" borderId="0" xfId="0"/>
    <xf numFmtId="0" fontId="14" fillId="0" borderId="0" xfId="157"/>
    <xf numFmtId="0" fontId="39" fillId="35" borderId="4" xfId="157" applyFont="1" applyFill="1" applyBorder="1"/>
    <xf numFmtId="0" fontId="14" fillId="35" borderId="5" xfId="157" applyFill="1" applyBorder="1"/>
    <xf numFmtId="0" fontId="14" fillId="0" borderId="0" xfId="157" applyBorder="1"/>
    <xf numFmtId="0" fontId="24" fillId="0" borderId="0" xfId="157" applyFont="1" applyBorder="1" applyAlignment="1">
      <alignment horizontal="center"/>
    </xf>
    <xf numFmtId="0" fontId="26" fillId="0" borderId="0" xfId="157" quotePrefix="1" applyFont="1" applyBorder="1" applyAlignment="1">
      <alignment horizontal="center"/>
    </xf>
    <xf numFmtId="0" fontId="26" fillId="0" borderId="7" xfId="157" quotePrefix="1" applyFont="1" applyBorder="1" applyAlignment="1">
      <alignment horizontal="center"/>
    </xf>
    <xf numFmtId="0" fontId="39" fillId="0" borderId="0" xfId="157" applyFont="1" applyBorder="1" applyAlignment="1">
      <alignment horizontal="center" vertical="top" wrapText="1"/>
    </xf>
    <xf numFmtId="0" fontId="40" fillId="0" borderId="0" xfId="157" applyFont="1" applyBorder="1"/>
    <xf numFmtId="0" fontId="24" fillId="0" borderId="7" xfId="157" applyFont="1" applyBorder="1" applyAlignment="1">
      <alignment horizontal="center"/>
    </xf>
    <xf numFmtId="0" fontId="39" fillId="0" borderId="0" xfId="157" applyFont="1" applyBorder="1" applyAlignment="1">
      <alignment horizontal="center"/>
    </xf>
    <xf numFmtId="0" fontId="41" fillId="0" borderId="0" xfId="157" applyFont="1" applyBorder="1" applyAlignment="1">
      <alignment horizontal="center"/>
    </xf>
    <xf numFmtId="0" fontId="14" fillId="0" borderId="6" xfId="157" applyBorder="1"/>
    <xf numFmtId="10" fontId="0" fillId="0" borderId="0" xfId="159" applyNumberFormat="1" applyFont="1" applyBorder="1"/>
    <xf numFmtId="164" fontId="40" fillId="34" borderId="0" xfId="157" applyNumberFormat="1" applyFont="1" applyFill="1" applyBorder="1"/>
    <xf numFmtId="164" fontId="40" fillId="0" borderId="0" xfId="157" applyNumberFormat="1" applyFont="1" applyBorder="1" applyAlignment="1">
      <alignment horizontal="right"/>
    </xf>
    <xf numFmtId="164" fontId="40" fillId="0" borderId="7" xfId="157" applyNumberFormat="1" applyFont="1" applyBorder="1" applyAlignment="1">
      <alignment horizontal="right"/>
    </xf>
    <xf numFmtId="0" fontId="39" fillId="0" borderId="0" xfId="157" applyFont="1" applyAlignment="1">
      <alignment horizontal="center"/>
    </xf>
    <xf numFmtId="0" fontId="39" fillId="0" borderId="0" xfId="157" applyFont="1"/>
    <xf numFmtId="0" fontId="24" fillId="0" borderId="0" xfId="157" applyFont="1" applyAlignment="1">
      <alignment horizontal="center"/>
    </xf>
    <xf numFmtId="0" fontId="14" fillId="0" borderId="0" xfId="157" quotePrefix="1"/>
    <xf numFmtId="164" fontId="14" fillId="0" borderId="0" xfId="157" applyNumberFormat="1"/>
    <xf numFmtId="0" fontId="14" fillId="0" borderId="0" xfId="157" applyAlignment="1">
      <alignment horizontal="right"/>
    </xf>
    <xf numFmtId="164" fontId="14" fillId="0" borderId="0" xfId="157" applyNumberFormat="1" applyFont="1"/>
    <xf numFmtId="0" fontId="26" fillId="0" borderId="0" xfId="157" applyFont="1" applyBorder="1" applyAlignment="1">
      <alignment horizontal="center" vertical="top"/>
    </xf>
    <xf numFmtId="0" fontId="42" fillId="0" borderId="0" xfId="157" applyFont="1" applyBorder="1" applyAlignment="1">
      <alignment horizontal="center" vertical="top"/>
    </xf>
    <xf numFmtId="0" fontId="42" fillId="0" borderId="6" xfId="157" applyFont="1" applyBorder="1" applyAlignment="1">
      <alignment horizontal="center" vertical="top"/>
    </xf>
    <xf numFmtId="0" fontId="26" fillId="0" borderId="7" xfId="157" applyFont="1" applyBorder="1" applyAlignment="1">
      <alignment horizontal="center" vertical="top"/>
    </xf>
    <xf numFmtId="0" fontId="39" fillId="35" borderId="12" xfId="157" applyFont="1" applyFill="1" applyBorder="1"/>
    <xf numFmtId="0" fontId="14" fillId="35" borderId="13" xfId="157" applyFill="1" applyBorder="1"/>
    <xf numFmtId="0" fontId="49" fillId="36" borderId="0" xfId="209" applyFont="1" applyFill="1" applyBorder="1" applyAlignment="1">
      <alignment vertical="top"/>
    </xf>
    <xf numFmtId="0" fontId="48" fillId="0" borderId="9" xfId="157" applyFont="1" applyBorder="1" applyAlignment="1"/>
    <xf numFmtId="0" fontId="48" fillId="0" borderId="10" xfId="157" applyFont="1" applyBorder="1" applyAlignment="1"/>
    <xf numFmtId="0" fontId="14" fillId="0" borderId="12" xfId="157" applyBorder="1"/>
    <xf numFmtId="0" fontId="14" fillId="0" borderId="13" xfId="157" applyBorder="1"/>
    <xf numFmtId="0" fontId="24" fillId="0" borderId="13" xfId="157" applyFont="1" applyBorder="1" applyAlignment="1">
      <alignment horizontal="center"/>
    </xf>
    <xf numFmtId="0" fontId="26" fillId="0" borderId="13" xfId="157" quotePrefix="1" applyFont="1" applyBorder="1" applyAlignment="1">
      <alignment horizontal="center"/>
    </xf>
    <xf numFmtId="0" fontId="26" fillId="0" borderId="14" xfId="157" quotePrefix="1" applyFont="1" applyBorder="1" applyAlignment="1">
      <alignment horizontal="center"/>
    </xf>
    <xf numFmtId="166" fontId="14" fillId="0" borderId="0" xfId="211" applyNumberFormat="1" applyFont="1"/>
    <xf numFmtId="0" fontId="24" fillId="0" borderId="0" xfId="93" applyFont="1" applyAlignment="1">
      <alignment horizontal="center"/>
    </xf>
    <xf numFmtId="0" fontId="57" fillId="36" borderId="0" xfId="209" applyFont="1" applyFill="1" applyBorder="1" applyAlignment="1">
      <alignment horizontal="left" vertical="top"/>
    </xf>
    <xf numFmtId="0" fontId="57" fillId="36" borderId="0" xfId="209" applyFont="1" applyFill="1" applyBorder="1" applyAlignment="1">
      <alignment horizontal="left" vertical="top" wrapText="1"/>
    </xf>
    <xf numFmtId="0" fontId="57" fillId="36" borderId="0" xfId="209" applyFont="1" applyFill="1" applyBorder="1" applyAlignment="1">
      <alignment horizontal="center" vertical="center"/>
    </xf>
    <xf numFmtId="171" fontId="57" fillId="0" borderId="0" xfId="216" applyNumberFormat="1" applyFont="1" applyFill="1" applyBorder="1" applyAlignment="1">
      <alignment horizontal="left" vertical="center"/>
    </xf>
    <xf numFmtId="171" fontId="58" fillId="0" borderId="0" xfId="216" applyNumberFormat="1" applyFont="1" applyFill="1" applyBorder="1" applyAlignment="1">
      <alignment horizontal="center" vertical="center"/>
    </xf>
    <xf numFmtId="171" fontId="58" fillId="0" borderId="0" xfId="216" applyNumberFormat="1" applyFont="1" applyFill="1" applyBorder="1" applyAlignment="1">
      <alignment horizontal="center" vertical="center" wrapText="1"/>
    </xf>
    <xf numFmtId="0" fontId="46" fillId="36" borderId="0" xfId="209" applyFont="1" applyFill="1" applyBorder="1" applyAlignment="1">
      <alignment horizontal="left" vertical="top"/>
    </xf>
    <xf numFmtId="164" fontId="23" fillId="0" borderId="0" xfId="157" applyNumberFormat="1" applyFont="1" applyFill="1" applyBorder="1" applyAlignment="1">
      <alignment horizontal="center" vertical="center"/>
    </xf>
    <xf numFmtId="164" fontId="40" fillId="34" borderId="6" xfId="157" applyNumberFormat="1" applyFont="1" applyFill="1" applyBorder="1"/>
    <xf numFmtId="0" fontId="39" fillId="0" borderId="0" xfId="157" applyFont="1" applyFill="1" applyBorder="1" applyAlignment="1">
      <alignment horizontal="right"/>
    </xf>
    <xf numFmtId="164" fontId="39" fillId="0" borderId="7" xfId="157" applyNumberFormat="1" applyFont="1" applyFill="1" applyBorder="1"/>
    <xf numFmtId="0" fontId="14" fillId="0" borderId="0" xfId="157" applyFill="1"/>
    <xf numFmtId="0" fontId="61" fillId="36" borderId="0" xfId="209" applyFont="1" applyFill="1" applyBorder="1" applyAlignment="1">
      <alignment horizontal="center" vertical="center"/>
    </xf>
    <xf numFmtId="0" fontId="39" fillId="0" borderId="0" xfId="157" applyFont="1" applyFill="1" applyBorder="1"/>
    <xf numFmtId="0" fontId="14" fillId="0" borderId="10" xfId="157" applyBorder="1"/>
    <xf numFmtId="0" fontId="57" fillId="0" borderId="0" xfId="209" applyFont="1" applyFill="1" applyBorder="1" applyAlignment="1">
      <alignment horizontal="left" vertical="top"/>
    </xf>
    <xf numFmtId="0" fontId="57" fillId="0" borderId="0" xfId="209" applyFont="1" applyFill="1" applyBorder="1" applyAlignment="1">
      <alignment horizontal="center" vertical="center"/>
    </xf>
    <xf numFmtId="0" fontId="46" fillId="0" borderId="0" xfId="209" quotePrefix="1" applyFont="1" applyFill="1" applyBorder="1" applyAlignment="1">
      <alignment horizontal="right" vertical="top"/>
    </xf>
    <xf numFmtId="0" fontId="46" fillId="0" borderId="0" xfId="209" applyFont="1" applyFill="1" applyBorder="1" applyAlignment="1">
      <alignment vertical="top" wrapText="1"/>
    </xf>
    <xf numFmtId="0" fontId="58" fillId="0" borderId="0" xfId="209" applyFont="1" applyFill="1" applyBorder="1" applyAlignment="1">
      <alignment horizontal="center" vertical="center" wrapText="1"/>
    </xf>
    <xf numFmtId="164" fontId="24" fillId="0" borderId="0" xfId="157" applyNumberFormat="1" applyFont="1" applyFill="1" applyBorder="1" applyAlignment="1">
      <alignment horizontal="center" vertical="center"/>
    </xf>
    <xf numFmtId="0" fontId="46" fillId="36" borderId="0" xfId="209" applyFont="1" applyFill="1" applyBorder="1" applyAlignment="1">
      <alignment horizontal="left" vertical="top" wrapText="1"/>
    </xf>
    <xf numFmtId="0" fontId="14" fillId="0" borderId="6" xfId="157" applyFill="1" applyBorder="1"/>
    <xf numFmtId="0" fontId="14" fillId="0" borderId="0" xfId="157" applyFill="1" applyBorder="1"/>
    <xf numFmtId="164" fontId="39" fillId="0" borderId="0" xfId="157" applyNumberFormat="1" applyFont="1" applyFill="1" applyBorder="1"/>
    <xf numFmtId="164" fontId="39" fillId="0" borderId="6" xfId="157" applyNumberFormat="1" applyFont="1" applyFill="1" applyBorder="1"/>
    <xf numFmtId="0" fontId="58" fillId="0" borderId="0" xfId="209" quotePrefix="1" applyFont="1" applyFill="1" applyBorder="1" applyAlignment="1">
      <alignment horizontal="center" vertical="center" wrapText="1"/>
    </xf>
    <xf numFmtId="0" fontId="57" fillId="0" borderId="10" xfId="209" applyFont="1" applyFill="1" applyBorder="1" applyAlignment="1">
      <alignment horizontal="left" vertical="top"/>
    </xf>
    <xf numFmtId="0" fontId="58" fillId="0" borderId="10" xfId="209" applyFont="1" applyFill="1" applyBorder="1" applyAlignment="1">
      <alignment horizontal="center" vertical="center"/>
    </xf>
    <xf numFmtId="164" fontId="51" fillId="34" borderId="0" xfId="93" applyNumberFormat="1" applyFont="1" applyFill="1"/>
    <xf numFmtId="0" fontId="45" fillId="0"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57" fillId="0" borderId="0" xfId="209" applyFont="1" applyFill="1" applyBorder="1" applyAlignment="1">
      <alignment horizontal="left" vertical="top" wrapText="1"/>
    </xf>
    <xf numFmtId="0" fontId="46" fillId="0" borderId="0" xfId="209" applyFont="1" applyFill="1" applyBorder="1" applyAlignment="1">
      <alignment horizontal="left" vertical="top"/>
    </xf>
    <xf numFmtId="0" fontId="46" fillId="0" borderId="0" xfId="209" applyFont="1" applyFill="1" applyBorder="1" applyAlignment="1">
      <alignment horizontal="center" vertical="top" wrapText="1"/>
    </xf>
    <xf numFmtId="0" fontId="57" fillId="0" borderId="0" xfId="209" applyFont="1" applyFill="1" applyBorder="1" applyAlignment="1">
      <alignment horizontal="center" vertical="center" wrapText="1"/>
    </xf>
    <xf numFmtId="164" fontId="24" fillId="0" borderId="10" xfId="157" applyNumberFormat="1" applyFont="1" applyFill="1" applyBorder="1" applyAlignment="1">
      <alignment horizontal="center" vertical="center"/>
    </xf>
    <xf numFmtId="164" fontId="24" fillId="0" borderId="11" xfId="157" applyNumberFormat="1" applyFont="1" applyFill="1" applyBorder="1" applyAlignment="1">
      <alignment horizontal="center" vertical="center"/>
    </xf>
    <xf numFmtId="164" fontId="57" fillId="36" borderId="0" xfId="209" applyNumberFormat="1" applyFont="1" applyFill="1" applyBorder="1" applyAlignment="1">
      <alignment horizontal="left" vertical="top"/>
    </xf>
    <xf numFmtId="164" fontId="40" fillId="0" borderId="0" xfId="157" applyNumberFormat="1" applyFont="1" applyFill="1" applyBorder="1" applyAlignment="1">
      <alignment horizontal="right"/>
    </xf>
    <xf numFmtId="10" fontId="0" fillId="0" borderId="0" xfId="159" applyNumberFormat="1" applyFont="1" applyFill="1" applyBorder="1"/>
    <xf numFmtId="0" fontId="7" fillId="0" borderId="0" xfId="157" quotePrefix="1" applyFont="1" applyBorder="1" applyAlignment="1">
      <alignment horizontal="center"/>
    </xf>
    <xf numFmtId="0" fontId="45" fillId="0"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6" fillId="0" borderId="0" xfId="225" applyFont="1"/>
    <xf numFmtId="0" fontId="39" fillId="38" borderId="3" xfId="225" applyFont="1" applyFill="1" applyBorder="1" applyAlignment="1">
      <alignment horizontal="center"/>
    </xf>
    <xf numFmtId="0" fontId="6" fillId="0" borderId="0" xfId="225" applyFont="1" applyFill="1"/>
    <xf numFmtId="166" fontId="6" fillId="0" borderId="30" xfId="225" applyNumberFormat="1" applyFont="1" applyFill="1" applyBorder="1"/>
    <xf numFmtId="166" fontId="60" fillId="0" borderId="29" xfId="226" applyNumberFormat="1" applyFont="1" applyFill="1" applyBorder="1"/>
    <xf numFmtId="166" fontId="39" fillId="0" borderId="31" xfId="225" applyNumberFormat="1" applyFont="1" applyFill="1" applyBorder="1"/>
    <xf numFmtId="0" fontId="6" fillId="0" borderId="0" xfId="225"/>
    <xf numFmtId="0" fontId="6" fillId="0" borderId="0" xfId="225" applyFill="1"/>
    <xf numFmtId="166" fontId="6" fillId="0" borderId="21" xfId="225" applyNumberFormat="1" applyBorder="1"/>
    <xf numFmtId="166" fontId="60" fillId="0" borderId="22" xfId="226" applyNumberFormat="1" applyFont="1" applyFill="1" applyBorder="1"/>
    <xf numFmtId="166" fontId="39" fillId="0" borderId="26" xfId="225" applyNumberFormat="1" applyFont="1" applyFill="1" applyBorder="1"/>
    <xf numFmtId="0" fontId="5" fillId="0" borderId="0" xfId="157" quotePrefix="1" applyFont="1" applyBorder="1" applyAlignment="1">
      <alignment horizontal="center"/>
    </xf>
    <xf numFmtId="0" fontId="24" fillId="0" borderId="0" xfId="118" applyFont="1"/>
    <xf numFmtId="0" fontId="23" fillId="0" borderId="0" xfId="118"/>
    <xf numFmtId="0" fontId="24" fillId="0" borderId="0" xfId="118" applyFont="1" applyAlignment="1">
      <alignment horizontal="left"/>
    </xf>
    <xf numFmtId="0" fontId="24" fillId="0" borderId="0" xfId="118" applyFont="1" applyAlignment="1">
      <alignment horizontal="left" indent="1"/>
    </xf>
    <xf numFmtId="0" fontId="24" fillId="0" borderId="0" xfId="118" applyFont="1" applyAlignment="1">
      <alignment horizontal="center"/>
    </xf>
    <xf numFmtId="0" fontId="26" fillId="0" borderId="0" xfId="118" applyFont="1" applyAlignment="1">
      <alignment horizontal="left"/>
    </xf>
    <xf numFmtId="0" fontId="23" fillId="0" borderId="0" xfId="118" applyAlignment="1">
      <alignment horizontal="left" indent="1"/>
    </xf>
    <xf numFmtId="0" fontId="26" fillId="0" borderId="0" xfId="118" applyFont="1"/>
    <xf numFmtId="0" fontId="26" fillId="0" borderId="0" xfId="118" applyFont="1" applyAlignment="1">
      <alignment horizontal="center"/>
    </xf>
    <xf numFmtId="0" fontId="23" fillId="0" borderId="0" xfId="118" applyAlignment="1">
      <alignment horizontal="left"/>
    </xf>
    <xf numFmtId="164" fontId="23" fillId="0" borderId="0" xfId="118" applyNumberFormat="1"/>
    <xf numFmtId="0" fontId="51" fillId="0" borderId="0" xfId="118" applyFont="1"/>
    <xf numFmtId="164" fontId="51" fillId="37" borderId="0" xfId="118" applyNumberFormat="1" applyFont="1" applyFill="1"/>
    <xf numFmtId="164" fontId="23" fillId="37" borderId="0" xfId="118" applyNumberFormat="1" applyFill="1"/>
    <xf numFmtId="0" fontId="51" fillId="0" borderId="0" xfId="118" applyFont="1" applyAlignment="1">
      <alignment horizontal="left"/>
    </xf>
    <xf numFmtId="0" fontId="24" fillId="0" borderId="0" xfId="93" applyFont="1" applyAlignment="1">
      <alignment horizontal="left"/>
    </xf>
    <xf numFmtId="164" fontId="51" fillId="0" borderId="0" xfId="118" applyNumberFormat="1" applyFont="1"/>
    <xf numFmtId="0" fontId="23" fillId="0" borderId="0" xfId="93" applyAlignment="1">
      <alignment horizontal="left" indent="1"/>
    </xf>
    <xf numFmtId="167" fontId="23" fillId="0" borderId="0" xfId="118" applyNumberFormat="1"/>
    <xf numFmtId="0" fontId="23" fillId="0" borderId="0" xfId="101"/>
    <xf numFmtId="0" fontId="23" fillId="0" borderId="0" xfId="118" applyAlignment="1">
      <alignment horizontal="right"/>
    </xf>
    <xf numFmtId="0" fontId="24" fillId="37" borderId="15" xfId="118" applyFont="1" applyFill="1" applyBorder="1" applyAlignment="1">
      <alignment horizontal="center"/>
    </xf>
    <xf numFmtId="168" fontId="23" fillId="0" borderId="0" xfId="118" applyNumberFormat="1"/>
    <xf numFmtId="0" fontId="24" fillId="37" borderId="16" xfId="118" applyFont="1" applyFill="1" applyBorder="1" applyAlignment="1">
      <alignment horizontal="center"/>
    </xf>
    <xf numFmtId="164" fontId="23" fillId="37" borderId="16" xfId="118" applyNumberFormat="1" applyFill="1" applyBorder="1"/>
    <xf numFmtId="169" fontId="51" fillId="37" borderId="16" xfId="118" applyNumberFormat="1" applyFont="1" applyFill="1" applyBorder="1"/>
    <xf numFmtId="164" fontId="40" fillId="37" borderId="17" xfId="118" applyNumberFormat="1" applyFont="1" applyFill="1" applyBorder="1"/>
    <xf numFmtId="170" fontId="0" fillId="0" borderId="0" xfId="91" applyNumberFormat="1" applyFont="1"/>
    <xf numFmtId="0" fontId="23" fillId="0" borderId="0" xfId="93"/>
    <xf numFmtId="0" fontId="24" fillId="0" borderId="0" xfId="118" quotePrefix="1" applyFont="1" applyAlignment="1">
      <alignment horizontal="center"/>
    </xf>
    <xf numFmtId="10" fontId="23" fillId="0" borderId="0" xfId="118" applyNumberFormat="1"/>
    <xf numFmtId="15" fontId="23" fillId="34" borderId="0" xfId="118" quotePrefix="1" applyNumberFormat="1" applyFill="1" applyAlignment="1">
      <alignment horizontal="center"/>
    </xf>
    <xf numFmtId="0" fontId="23" fillId="34" borderId="0" xfId="118" quotePrefix="1" applyFill="1" applyAlignment="1">
      <alignment horizontal="center"/>
    </xf>
    <xf numFmtId="0" fontId="23" fillId="34" borderId="0" xfId="118" applyFill="1"/>
    <xf numFmtId="10" fontId="23" fillId="34" borderId="0" xfId="118" quotePrefix="1" applyNumberFormat="1" applyFill="1" applyAlignment="1">
      <alignment horizontal="right"/>
    </xf>
    <xf numFmtId="10" fontId="23" fillId="0" borderId="0" xfId="118" quotePrefix="1" applyNumberFormat="1" applyAlignment="1">
      <alignment horizontal="right"/>
    </xf>
    <xf numFmtId="0" fontId="23" fillId="0" borderId="0" xfId="118" quotePrefix="1" applyAlignment="1">
      <alignment horizontal="center"/>
    </xf>
    <xf numFmtId="167" fontId="51" fillId="0" borderId="0" xfId="118" applyNumberFormat="1" applyFont="1"/>
    <xf numFmtId="0" fontId="23" fillId="0" borderId="0" xfId="118" applyAlignment="1">
      <alignment horizontal="center"/>
    </xf>
    <xf numFmtId="3" fontId="23" fillId="0" borderId="0" xfId="118" applyNumberFormat="1" applyAlignment="1">
      <alignment horizontal="center"/>
    </xf>
    <xf numFmtId="0" fontId="23" fillId="0" borderId="0" xfId="93" applyAlignment="1">
      <alignment horizontal="left"/>
    </xf>
    <xf numFmtId="1" fontId="23" fillId="0" borderId="0" xfId="93" applyNumberFormat="1" applyAlignment="1">
      <alignment horizontal="center"/>
    </xf>
    <xf numFmtId="0" fontId="26" fillId="0" borderId="0" xfId="93" applyFont="1" applyAlignment="1">
      <alignment horizontal="center"/>
    </xf>
    <xf numFmtId="0" fontId="23" fillId="0" borderId="0" xfId="93" applyAlignment="1">
      <alignment horizontal="right"/>
    </xf>
    <xf numFmtId="0" fontId="26" fillId="0" borderId="0" xfId="118" quotePrefix="1" applyFont="1" applyAlignment="1">
      <alignment horizontal="center"/>
    </xf>
    <xf numFmtId="170" fontId="23" fillId="0" borderId="0" xfId="118" applyNumberFormat="1"/>
    <xf numFmtId="1" fontId="23" fillId="0" borderId="0" xfId="93" applyNumberFormat="1" applyAlignment="1">
      <alignment horizontal="right"/>
    </xf>
    <xf numFmtId="170" fontId="23" fillId="0" borderId="0" xfId="118" applyNumberFormat="1" applyAlignment="1">
      <alignment horizontal="left" indent="1"/>
    </xf>
    <xf numFmtId="167" fontId="52" fillId="0" borderId="0" xfId="118" applyNumberFormat="1" applyFont="1"/>
    <xf numFmtId="167" fontId="53" fillId="0" borderId="0" xfId="118" applyNumberFormat="1" applyFont="1"/>
    <xf numFmtId="0" fontId="23" fillId="39" borderId="0" xfId="118" applyFill="1"/>
    <xf numFmtId="164" fontId="23" fillId="39" borderId="0" xfId="118" applyNumberFormat="1" applyFill="1"/>
    <xf numFmtId="164" fontId="51" fillId="39" borderId="0" xfId="118" applyNumberFormat="1" applyFont="1" applyFill="1"/>
    <xf numFmtId="164" fontId="23" fillId="0" borderId="0" xfId="118" applyNumberFormat="1" applyAlignment="1">
      <alignment horizontal="right" indent="1"/>
    </xf>
    <xf numFmtId="164" fontId="23" fillId="34" borderId="0" xfId="118" applyNumberFormat="1" applyFill="1"/>
    <xf numFmtId="164" fontId="23" fillId="34" borderId="0" xfId="93" applyNumberFormat="1" applyFill="1"/>
    <xf numFmtId="164" fontId="23" fillId="37" borderId="0" xfId="118" applyNumberFormat="1" applyFill="1" applyAlignment="1">
      <alignment horizontal="right" indent="1"/>
    </xf>
    <xf numFmtId="164" fontId="23" fillId="0" borderId="0" xfId="93" applyNumberFormat="1"/>
    <xf numFmtId="164" fontId="54" fillId="0" borderId="0" xfId="93" applyNumberFormat="1" applyFont="1"/>
    <xf numFmtId="164" fontId="23" fillId="0" borderId="0" xfId="118" applyNumberFormat="1" applyAlignment="1">
      <alignment horizontal="right"/>
    </xf>
    <xf numFmtId="164" fontId="51" fillId="34" borderId="0" xfId="118" applyNumberFormat="1" applyFont="1" applyFill="1"/>
    <xf numFmtId="0" fontId="55" fillId="0" borderId="0" xfId="118" applyFont="1"/>
    <xf numFmtId="0" fontId="23" fillId="0" borderId="0" xfId="118" applyAlignment="1">
      <alignment horizontal="left" indent="2"/>
    </xf>
    <xf numFmtId="0" fontId="23" fillId="0" borderId="0" xfId="93" applyAlignment="1">
      <alignment horizontal="left" indent="2"/>
    </xf>
    <xf numFmtId="172" fontId="23" fillId="34" borderId="0" xfId="118" quotePrefix="1" applyNumberFormat="1" applyFill="1" applyAlignment="1">
      <alignment horizontal="center"/>
    </xf>
    <xf numFmtId="164" fontId="23" fillId="34" borderId="0" xfId="118" applyNumberFormat="1" applyFill="1" applyAlignment="1">
      <alignment horizontal="right"/>
    </xf>
    <xf numFmtId="0" fontId="23" fillId="0" borderId="32" xfId="118" applyBorder="1" applyAlignment="1">
      <alignment wrapText="1"/>
    </xf>
    <xf numFmtId="0" fontId="23" fillId="0" borderId="0" xfId="118" applyAlignment="1">
      <alignment wrapText="1"/>
    </xf>
    <xf numFmtId="0" fontId="52" fillId="0" borderId="0" xfId="118" applyFont="1" applyBorder="1" applyAlignment="1">
      <alignment horizontal="center" wrapText="1"/>
    </xf>
    <xf numFmtId="0" fontId="63" fillId="0" borderId="0" xfId="118" applyFont="1"/>
    <xf numFmtId="164" fontId="65" fillId="0" borderId="0" xfId="118" quotePrefix="1" applyNumberFormat="1" applyFont="1" applyAlignment="1">
      <alignment horizontal="right" wrapText="1"/>
    </xf>
    <xf numFmtId="0" fontId="3" fillId="0" borderId="0" xfId="157" applyFont="1" applyFill="1" applyBorder="1" applyAlignment="1">
      <alignment horizontal="right"/>
    </xf>
    <xf numFmtId="164" fontId="39" fillId="0" borderId="11" xfId="157" applyNumberFormat="1" applyFont="1" applyBorder="1"/>
    <xf numFmtId="0" fontId="14" fillId="35" borderId="14" xfId="157" applyFill="1" applyBorder="1"/>
    <xf numFmtId="0" fontId="14" fillId="35" borderId="33" xfId="157" applyFill="1" applyBorder="1"/>
    <xf numFmtId="0" fontId="39" fillId="0" borderId="10" xfId="157" applyFont="1" applyBorder="1" applyAlignment="1">
      <alignment horizontal="right"/>
    </xf>
    <xf numFmtId="10" fontId="23" fillId="34" borderId="0" xfId="118" applyNumberFormat="1" applyFont="1" applyFill="1"/>
    <xf numFmtId="0" fontId="23" fillId="34" borderId="0" xfId="118" applyFont="1" applyFill="1"/>
    <xf numFmtId="0" fontId="45" fillId="0" borderId="9" xfId="209" applyFont="1" applyFill="1" applyBorder="1" applyAlignment="1">
      <alignment horizontal="left" vertical="top" wrapText="1"/>
    </xf>
    <xf numFmtId="0" fontId="45" fillId="0" borderId="10" xfId="209" applyFont="1" applyFill="1" applyBorder="1" applyAlignment="1">
      <alignment horizontal="left" vertical="top" wrapText="1"/>
    </xf>
    <xf numFmtId="0" fontId="45" fillId="0"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45" fillId="0" borderId="0" xfId="209" applyFont="1" applyFill="1" applyBorder="1" applyAlignment="1">
      <alignment horizontal="center" vertical="top" wrapText="1"/>
    </xf>
    <xf numFmtId="0" fontId="46" fillId="0" borderId="0" xfId="209" applyFont="1" applyFill="1" applyBorder="1" applyAlignment="1">
      <alignment horizontal="center" vertical="top" wrapText="1"/>
    </xf>
    <xf numFmtId="0" fontId="39" fillId="35" borderId="9" xfId="157" applyFont="1" applyFill="1" applyBorder="1" applyAlignment="1">
      <alignment horizontal="center"/>
    </xf>
    <xf numFmtId="0" fontId="39" fillId="35" borderId="10" xfId="157" applyFont="1" applyFill="1" applyBorder="1" applyAlignment="1">
      <alignment horizontal="center"/>
    </xf>
    <xf numFmtId="0" fontId="39" fillId="35" borderId="11" xfId="157" applyFont="1" applyFill="1" applyBorder="1" applyAlignment="1">
      <alignment horizontal="center"/>
    </xf>
    <xf numFmtId="0" fontId="39" fillId="0" borderId="24" xfId="225" applyFont="1" applyFill="1" applyBorder="1" applyAlignment="1">
      <alignment horizontal="right"/>
    </xf>
    <xf numFmtId="0" fontId="39" fillId="0" borderId="25" xfId="225" applyFont="1" applyFill="1" applyBorder="1" applyAlignment="1">
      <alignment horizontal="right"/>
    </xf>
    <xf numFmtId="0" fontId="6" fillId="0" borderId="3" xfId="225" applyFont="1" applyFill="1" applyBorder="1" applyAlignment="1">
      <alignment horizontal="left"/>
    </xf>
    <xf numFmtId="0" fontId="5" fillId="0" borderId="0" xfId="225" applyFont="1" applyAlignment="1">
      <alignment horizontal="left" wrapText="1"/>
    </xf>
    <xf numFmtId="0" fontId="6" fillId="0" borderId="0" xfId="225" applyFont="1" applyAlignment="1">
      <alignment horizontal="left" wrapText="1"/>
    </xf>
    <xf numFmtId="0" fontId="5" fillId="0" borderId="18" xfId="225" applyFont="1" applyFill="1" applyBorder="1" applyAlignment="1">
      <alignment horizontal="left" wrapText="1"/>
    </xf>
    <xf numFmtId="0" fontId="6" fillId="0" borderId="19" xfId="225" applyFont="1" applyFill="1" applyBorder="1" applyAlignment="1">
      <alignment horizontal="left" wrapText="1"/>
    </xf>
    <xf numFmtId="0" fontId="6" fillId="0" borderId="20" xfId="225" applyFont="1" applyFill="1" applyBorder="1" applyAlignment="1">
      <alignment horizontal="left" wrapText="1"/>
    </xf>
    <xf numFmtId="0" fontId="4" fillId="0" borderId="3" xfId="225" applyFont="1" applyFill="1" applyBorder="1" applyAlignment="1">
      <alignment wrapText="1"/>
    </xf>
    <xf numFmtId="0" fontId="6" fillId="0" borderId="3" xfId="225" applyFont="1" applyFill="1" applyBorder="1" applyAlignment="1">
      <alignment wrapText="1"/>
    </xf>
    <xf numFmtId="0" fontId="50" fillId="38" borderId="3" xfId="225" applyFont="1" applyFill="1" applyBorder="1" applyAlignment="1">
      <alignment horizontal="center" vertical="center" wrapText="1"/>
    </xf>
    <xf numFmtId="0" fontId="39" fillId="38" borderId="3" xfId="225" quotePrefix="1" applyFont="1" applyFill="1" applyBorder="1" applyAlignment="1">
      <alignment horizontal="center"/>
    </xf>
    <xf numFmtId="0" fontId="39" fillId="38" borderId="3" xfId="225" applyFont="1" applyFill="1" applyBorder="1" applyAlignment="1">
      <alignment horizontal="center"/>
    </xf>
    <xf numFmtId="0" fontId="52" fillId="0" borderId="32" xfId="118" applyFont="1" applyBorder="1" applyAlignment="1">
      <alignment horizontal="left" wrapText="1"/>
    </xf>
    <xf numFmtId="0" fontId="52" fillId="0" borderId="0" xfId="118" applyFont="1" applyBorder="1" applyAlignment="1">
      <alignment horizontal="left" wrapText="1"/>
    </xf>
    <xf numFmtId="0" fontId="39" fillId="0" borderId="24" xfId="225" applyFont="1" applyBorder="1" applyAlignment="1">
      <alignment horizontal="right"/>
    </xf>
    <xf numFmtId="0" fontId="39" fillId="0" borderId="25" xfId="225" applyFont="1" applyBorder="1" applyAlignment="1">
      <alignment horizontal="right"/>
    </xf>
    <xf numFmtId="0" fontId="6" fillId="0" borderId="27" xfId="225" applyFill="1" applyBorder="1" applyAlignment="1">
      <alignment horizontal="left"/>
    </xf>
    <xf numFmtId="0" fontId="6" fillId="0" borderId="28" xfId="225" applyFill="1" applyBorder="1" applyAlignment="1">
      <alignment horizontal="left"/>
    </xf>
    <xf numFmtId="0" fontId="5" fillId="0" borderId="18" xfId="225" applyFont="1" applyBorder="1" applyAlignment="1">
      <alignment horizontal="left" wrapText="1"/>
    </xf>
    <xf numFmtId="0" fontId="6" fillId="0" borderId="19" xfId="225" applyFont="1" applyBorder="1" applyAlignment="1">
      <alignment horizontal="left" wrapText="1"/>
    </xf>
    <xf numFmtId="0" fontId="6" fillId="0" borderId="20" xfId="225" applyFont="1" applyBorder="1" applyAlignment="1">
      <alignment horizontal="left" wrapText="1"/>
    </xf>
    <xf numFmtId="0" fontId="2" fillId="0" borderId="3" xfId="225" applyFont="1" applyFill="1" applyBorder="1" applyAlignment="1">
      <alignment wrapText="1"/>
    </xf>
    <xf numFmtId="0" fontId="6" fillId="0" borderId="3" xfId="225" applyFill="1" applyBorder="1" applyAlignment="1">
      <alignment wrapText="1"/>
    </xf>
    <xf numFmtId="0" fontId="5" fillId="0" borderId="18" xfId="225" applyFont="1" applyBorder="1" applyAlignment="1">
      <alignment horizontal="left"/>
    </xf>
    <xf numFmtId="0" fontId="6" fillId="0" borderId="19" xfId="225" applyBorder="1" applyAlignment="1">
      <alignment horizontal="left"/>
    </xf>
    <xf numFmtId="0" fontId="6" fillId="0" borderId="20" xfId="225" applyBorder="1" applyAlignment="1">
      <alignment horizontal="left"/>
    </xf>
    <xf numFmtId="0" fontId="3" fillId="0" borderId="22" xfId="225" applyFont="1" applyFill="1" applyBorder="1" applyAlignment="1">
      <alignment wrapText="1"/>
    </xf>
    <xf numFmtId="0" fontId="6" fillId="0" borderId="22" xfId="225" applyFill="1" applyBorder="1" applyAlignment="1">
      <alignment wrapText="1"/>
    </xf>
    <xf numFmtId="0" fontId="6" fillId="0" borderId="23" xfId="225" applyFill="1" applyBorder="1" applyAlignment="1">
      <alignment wrapText="1"/>
    </xf>
    <xf numFmtId="0" fontId="52" fillId="0" borderId="0" xfId="118" applyFont="1" applyAlignment="1">
      <alignment horizontal="left" wrapText="1"/>
    </xf>
    <xf numFmtId="164" fontId="23" fillId="34" borderId="34" xfId="118" applyNumberFormat="1" applyFill="1" applyBorder="1"/>
  </cellXfs>
  <cellStyles count="227">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0"/>
  <tableStyles count="0" defaultTableStyle="TableStyleMedium9" defaultPivotStyle="PivotStyleLight16"/>
  <colors>
    <mruColors>
      <color rgb="FFCCFFCC"/>
      <color rgb="FFFFCCCC"/>
      <color rgb="FFCCFFFF"/>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calcChain" Target="calcChain.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RPA/REG%20OPS/FERC-REG/FERC/FERC%20Contract%20&amp;%20Cost%20Analysis/2021%20FERC%20Rate%20Case%20TO2021/6-Jun%2015%20Draft%20Informational%20Posting/Schedule%203/Prior%20Period%20Adj/2017-TO13/Revised%20TO13_A&amp;G.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RPA/REG%20OPS/FERC-REG/FERC/FERC%20Contract%20&amp;%20Cost%20Analysis/2021%20FERC%20Rate%20Case%20TO2021/6-Jun%2015%20Draft%20Informational%20Posting/Schedule%203/Prior%20Period%20Adj/2018-TO2020/JK-RevisedTO2020Attch5TO2018TrueUpTR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7824719.5138572352</v>
          </cell>
        </row>
        <row r="80">
          <cell r="A80">
            <v>46</v>
          </cell>
          <cell r="K80">
            <v>0.48612884227830672</v>
          </cell>
        </row>
        <row r="85">
          <cell r="A85">
            <v>49</v>
          </cell>
          <cell r="K85">
            <v>9.8000000000000004E-2</v>
          </cell>
        </row>
        <row r="88">
          <cell r="A88">
            <v>50</v>
          </cell>
          <cell r="K88">
            <v>1.9907646765737794E-2</v>
          </cell>
        </row>
        <row r="89">
          <cell r="A89">
            <v>51</v>
          </cell>
          <cell r="K89">
            <v>4.9514327156233075E-3</v>
          </cell>
        </row>
        <row r="102">
          <cell r="A102">
            <v>58</v>
          </cell>
          <cell r="K102">
            <v>0.40745999999999999</v>
          </cell>
        </row>
        <row r="108">
          <cell r="A108">
            <v>62</v>
          </cell>
          <cell r="K108">
            <v>2086200</v>
          </cell>
        </row>
        <row r="112">
          <cell r="A112">
            <v>64</v>
          </cell>
        </row>
        <row r="119">
          <cell r="K119">
            <v>3535511</v>
          </cell>
        </row>
        <row r="124">
          <cell r="A124">
            <v>65</v>
          </cell>
          <cell r="K124">
            <v>78644833.663867712</v>
          </cell>
        </row>
        <row r="125">
          <cell r="A125">
            <v>66</v>
          </cell>
          <cell r="K125">
            <v>46550678.557848051</v>
          </cell>
        </row>
        <row r="126">
          <cell r="A126">
            <v>67</v>
          </cell>
          <cell r="K126">
            <v>6116850.9299999997</v>
          </cell>
        </row>
        <row r="127">
          <cell r="A127">
            <v>68</v>
          </cell>
          <cell r="K127">
            <v>239582730.61420554</v>
          </cell>
        </row>
        <row r="128">
          <cell r="A128">
            <v>69</v>
          </cell>
          <cell r="K128">
            <v>0</v>
          </cell>
        </row>
        <row r="129">
          <cell r="A129">
            <v>70</v>
          </cell>
          <cell r="K129">
            <v>60990526.802731596</v>
          </cell>
        </row>
        <row r="130">
          <cell r="A130">
            <v>71</v>
          </cell>
          <cell r="K130">
            <v>-58832605.54180719</v>
          </cell>
        </row>
        <row r="133">
          <cell r="A133">
            <v>74</v>
          </cell>
          <cell r="K133">
            <v>0</v>
          </cell>
        </row>
        <row r="134">
          <cell r="A134">
            <v>75</v>
          </cell>
          <cell r="K134">
            <v>0</v>
          </cell>
        </row>
      </sheetData>
      <sheetData sheetId="4" refreshError="1"/>
      <sheetData sheetId="5" refreshError="1"/>
      <sheetData sheetId="6" refreshError="1"/>
      <sheetData sheetId="7" refreshError="1"/>
      <sheetData sheetId="8" refreshError="1"/>
      <sheetData sheetId="9">
        <row r="42">
          <cell r="A42">
            <v>18</v>
          </cell>
          <cell r="D42">
            <v>8389794318.0711689</v>
          </cell>
        </row>
        <row r="58">
          <cell r="A58">
            <v>24</v>
          </cell>
          <cell r="F58">
            <v>252097756.36140126</v>
          </cell>
        </row>
      </sheetData>
      <sheetData sheetId="10" refreshError="1"/>
      <sheetData sheetId="11">
        <row r="25">
          <cell r="A25">
            <v>14</v>
          </cell>
          <cell r="N25">
            <v>1549914566.8389716</v>
          </cell>
        </row>
        <row r="35">
          <cell r="A35">
            <v>17</v>
          </cell>
          <cell r="G35">
            <v>0</v>
          </cell>
        </row>
        <row r="53">
          <cell r="A53">
            <v>23</v>
          </cell>
          <cell r="F53">
            <v>102849091.48355895</v>
          </cell>
        </row>
      </sheetData>
      <sheetData sheetId="12">
        <row r="24">
          <cell r="A24">
            <v>15</v>
          </cell>
          <cell r="D24">
            <v>-1600478571.7718422</v>
          </cell>
        </row>
      </sheetData>
      <sheetData sheetId="13" refreshError="1"/>
      <sheetData sheetId="14">
        <row r="41">
          <cell r="A41">
            <v>9</v>
          </cell>
          <cell r="D41">
            <v>9942155</v>
          </cell>
        </row>
      </sheetData>
      <sheetData sheetId="15">
        <row r="21">
          <cell r="A21">
            <v>4</v>
          </cell>
          <cell r="G21">
            <v>0</v>
          </cell>
        </row>
      </sheetData>
      <sheetData sheetId="16">
        <row r="27">
          <cell r="A27">
            <v>17</v>
          </cell>
          <cell r="F27">
            <v>13057096.81033094</v>
          </cell>
        </row>
        <row r="51">
          <cell r="A51">
            <v>33</v>
          </cell>
          <cell r="F51">
            <v>10647092.7937865</v>
          </cell>
        </row>
      </sheetData>
      <sheetData sheetId="17">
        <row r="38">
          <cell r="A38">
            <v>13</v>
          </cell>
          <cell r="F38">
            <v>106414658.18538462</v>
          </cell>
        </row>
      </sheetData>
      <sheetData sheetId="18">
        <row r="59">
          <cell r="A59">
            <v>20</v>
          </cell>
          <cell r="G59">
            <v>34932082.703325152</v>
          </cell>
        </row>
      </sheetData>
      <sheetData sheetId="19" refreshError="1"/>
      <sheetData sheetId="20" refreshError="1"/>
      <sheetData sheetId="21" refreshError="1"/>
      <sheetData sheetId="22" refreshError="1"/>
      <sheetData sheetId="23" refreshError="1"/>
      <sheetData sheetId="24" refreshError="1"/>
      <sheetData sheetId="25">
        <row r="17">
          <cell r="A17">
            <v>9</v>
          </cell>
          <cell r="E17">
            <v>106562330.36</v>
          </cell>
        </row>
      </sheetData>
      <sheetData sheetId="26">
        <row r="18">
          <cell r="A18">
            <v>15</v>
          </cell>
          <cell r="E18">
            <v>0</v>
          </cell>
        </row>
      </sheetData>
      <sheetData sheetId="27" refreshError="1"/>
      <sheetData sheetId="28" refreshError="1"/>
      <sheetData sheetId="29" refreshError="1"/>
      <sheetData sheetId="30">
        <row r="15">
          <cell r="A15">
            <v>9</v>
          </cell>
          <cell r="G15">
            <v>5.6290212846604806E-2</v>
          </cell>
        </row>
        <row r="28">
          <cell r="A28">
            <v>22</v>
          </cell>
          <cell r="G28">
            <v>0.19111474096755637</v>
          </cell>
        </row>
      </sheetData>
      <sheetData sheetId="31">
        <row r="22">
          <cell r="A22">
            <v>5</v>
          </cell>
          <cell r="D22">
            <v>9.2057000000000007E-3</v>
          </cell>
          <cell r="E22">
            <v>2.4076000000000002E-3</v>
          </cell>
        </row>
      </sheetData>
      <sheetData sheetId="32" refreshError="1"/>
      <sheetData sheetId="33" refreshError="1"/>
      <sheetData sheetId="34" refreshError="1"/>
      <sheetData sheetId="35" refreshError="1"/>
      <sheetData sheetId="36" refreshError="1"/>
      <sheetData sheetId="37">
        <row r="10">
          <cell r="A10">
            <v>7</v>
          </cell>
          <cell r="K10">
            <v>-10165090.793968515</v>
          </cell>
        </row>
      </sheetData>
      <sheetData sheetId="38">
        <row r="38">
          <cell r="A38">
            <v>14</v>
          </cell>
          <cell r="G38">
            <v>-6504.559255276572</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5-ROR-3"/>
      <sheetName val="5-ROR-4"/>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s>
    <sheetDataSet>
      <sheetData sheetId="0"/>
      <sheetData sheetId="1"/>
      <sheetData sheetId="2"/>
      <sheetData sheetId="3">
        <row r="17">
          <cell r="A17">
            <v>7</v>
          </cell>
          <cell r="K17">
            <v>34370451.020784661</v>
          </cell>
        </row>
        <row r="80">
          <cell r="A80">
            <v>47</v>
          </cell>
          <cell r="K80">
            <v>0.46649527393992168</v>
          </cell>
        </row>
        <row r="88">
          <cell r="A88">
            <v>51</v>
          </cell>
          <cell r="K88">
            <v>2.1170433986911801E-2</v>
          </cell>
        </row>
        <row r="89">
          <cell r="A89">
            <v>52</v>
          </cell>
          <cell r="K89">
            <v>4.6008620927769249E-3</v>
          </cell>
        </row>
        <row r="102">
          <cell r="A102">
            <v>59</v>
          </cell>
          <cell r="K102">
            <v>0.27983599999999997</v>
          </cell>
        </row>
        <row r="108">
          <cell r="A108">
            <v>63</v>
          </cell>
          <cell r="K108">
            <v>-25416331</v>
          </cell>
        </row>
        <row r="112">
          <cell r="A112">
            <v>65</v>
          </cell>
        </row>
        <row r="119">
          <cell r="K119">
            <v>3610018</v>
          </cell>
        </row>
        <row r="124">
          <cell r="A124">
            <v>66</v>
          </cell>
          <cell r="K124">
            <v>68175046.600722671</v>
          </cell>
        </row>
        <row r="125">
          <cell r="A125">
            <v>67</v>
          </cell>
          <cell r="K125">
            <v>206788561.56555459</v>
          </cell>
        </row>
        <row r="126">
          <cell r="A126">
            <v>68</v>
          </cell>
          <cell r="K126">
            <v>5429238</v>
          </cell>
        </row>
        <row r="127">
          <cell r="A127">
            <v>69</v>
          </cell>
          <cell r="K127">
            <v>245884459.62477174</v>
          </cell>
        </row>
        <row r="128">
          <cell r="A128">
            <v>70</v>
          </cell>
          <cell r="K128">
            <v>0</v>
          </cell>
        </row>
        <row r="129">
          <cell r="A129">
            <v>71</v>
          </cell>
          <cell r="K129">
            <v>63673657.128531143</v>
          </cell>
        </row>
        <row r="130">
          <cell r="A130">
            <v>72</v>
          </cell>
          <cell r="K130">
            <v>-58173790.509793751</v>
          </cell>
        </row>
        <row r="133">
          <cell r="A133">
            <v>75</v>
          </cell>
          <cell r="K133">
            <v>0</v>
          </cell>
        </row>
        <row r="134">
          <cell r="A134">
            <v>76</v>
          </cell>
          <cell r="K134">
            <v>0</v>
          </cell>
        </row>
      </sheetData>
      <sheetData sheetId="4"/>
      <sheetData sheetId="5"/>
      <sheetData sheetId="6"/>
      <sheetData sheetId="7"/>
      <sheetData sheetId="8"/>
      <sheetData sheetId="9"/>
      <sheetData sheetId="10"/>
      <sheetData sheetId="11">
        <row r="42">
          <cell r="A42">
            <v>18</v>
          </cell>
          <cell r="D42">
            <v>8666375346.7182045</v>
          </cell>
        </row>
        <row r="58">
          <cell r="A58">
            <v>24</v>
          </cell>
          <cell r="F58">
            <v>250784298.74780104</v>
          </cell>
        </row>
      </sheetData>
      <sheetData sheetId="12"/>
      <sheetData sheetId="13">
        <row r="25">
          <cell r="A25">
            <v>14</v>
          </cell>
          <cell r="N25">
            <v>1696750194.7350788</v>
          </cell>
        </row>
        <row r="35">
          <cell r="A35">
            <v>17</v>
          </cell>
          <cell r="G35">
            <v>0</v>
          </cell>
        </row>
        <row r="53">
          <cell r="A53">
            <v>23</v>
          </cell>
          <cell r="F53">
            <v>96157604.895406127</v>
          </cell>
        </row>
      </sheetData>
      <sheetData sheetId="14">
        <row r="24">
          <cell r="A24">
            <v>15</v>
          </cell>
          <cell r="D24">
            <v>-1646877466.9842367</v>
          </cell>
        </row>
      </sheetData>
      <sheetData sheetId="15"/>
      <sheetData sheetId="16">
        <row r="41">
          <cell r="A41">
            <v>9</v>
          </cell>
          <cell r="D41">
            <v>9942155</v>
          </cell>
        </row>
      </sheetData>
      <sheetData sheetId="17">
        <row r="21">
          <cell r="A21">
            <v>4</v>
          </cell>
          <cell r="G21">
            <v>0</v>
          </cell>
        </row>
      </sheetData>
      <sheetData sheetId="18">
        <row r="27">
          <cell r="A27">
            <v>17</v>
          </cell>
          <cell r="F27">
            <v>14561673.642511051</v>
          </cell>
        </row>
        <row r="51">
          <cell r="A51">
            <v>33</v>
          </cell>
          <cell r="F51">
            <v>11258426.521027757</v>
          </cell>
        </row>
      </sheetData>
      <sheetData sheetId="19">
        <row r="37">
          <cell r="A37">
            <v>12</v>
          </cell>
          <cell r="F37">
            <v>297221934.48615384</v>
          </cell>
        </row>
      </sheetData>
      <sheetData sheetId="20">
        <row r="59">
          <cell r="A59">
            <v>20</v>
          </cell>
          <cell r="G59">
            <v>26918854.433303144</v>
          </cell>
        </row>
      </sheetData>
      <sheetData sheetId="21"/>
      <sheetData sheetId="22"/>
      <sheetData sheetId="23"/>
      <sheetData sheetId="24"/>
      <sheetData sheetId="25"/>
      <sheetData sheetId="26"/>
      <sheetData sheetId="27">
        <row r="15">
          <cell r="A15">
            <v>7</v>
          </cell>
          <cell r="E15">
            <v>78952573</v>
          </cell>
        </row>
      </sheetData>
      <sheetData sheetId="28">
        <row r="18">
          <cell r="A18">
            <v>15</v>
          </cell>
          <cell r="E18">
            <v>0</v>
          </cell>
        </row>
      </sheetData>
      <sheetData sheetId="29"/>
      <sheetData sheetId="30"/>
      <sheetData sheetId="31"/>
      <sheetData sheetId="32">
        <row r="14">
          <cell r="G14">
            <v>5.742655010962041E-2</v>
          </cell>
        </row>
        <row r="27">
          <cell r="G27">
            <v>0.18742153560119321</v>
          </cell>
        </row>
      </sheetData>
      <sheetData sheetId="33">
        <row r="22">
          <cell r="A22">
            <v>5</v>
          </cell>
          <cell r="D22">
            <v>9.2440000000000005E-3</v>
          </cell>
          <cell r="E22">
            <v>2.134E-3</v>
          </cell>
        </row>
      </sheetData>
      <sheetData sheetId="34"/>
      <sheetData sheetId="35"/>
      <sheetData sheetId="36"/>
      <sheetData sheetId="37"/>
      <sheetData sheetId="38"/>
      <sheetData sheetId="39">
        <row r="10">
          <cell r="A10">
            <v>7</v>
          </cell>
          <cell r="K10">
            <v>-86758063.662293404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row r="2">
          <cell r="A2">
            <v>101010</v>
          </cell>
        </row>
      </sheetData>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2"/>
  <sheetViews>
    <sheetView showGridLines="0" tabSelected="1" zoomScaleNormal="100" workbookViewId="0"/>
  </sheetViews>
  <sheetFormatPr defaultColWidth="9.1796875" defaultRowHeight="13" x14ac:dyDescent="0.25"/>
  <cols>
    <col min="1" max="1" width="5.26953125" style="41" customWidth="1"/>
    <col min="2" max="2" width="111.26953125" style="42" customWidth="1"/>
    <col min="3" max="3" width="5.453125" style="41" customWidth="1"/>
    <col min="4" max="4" width="19.7265625" style="43" customWidth="1"/>
    <col min="5" max="5" width="19.26953125" style="44" customWidth="1"/>
    <col min="6" max="6" width="13.54296875" style="44" customWidth="1"/>
    <col min="7" max="7" width="10.453125" style="41" bestFit="1" customWidth="1"/>
    <col min="8" max="16384" width="9.1796875" style="41"/>
  </cols>
  <sheetData>
    <row r="1" spans="1:9" ht="18" customHeight="1" x14ac:dyDescent="0.25">
      <c r="A1" s="56"/>
      <c r="B1" s="73"/>
      <c r="C1" s="56"/>
      <c r="D1" s="57"/>
    </row>
    <row r="2" spans="1:9" ht="18" customHeight="1" x14ac:dyDescent="0.25">
      <c r="A2" s="179" t="s">
        <v>274</v>
      </c>
      <c r="B2" s="180"/>
      <c r="C2" s="56"/>
      <c r="D2" s="57"/>
    </row>
    <row r="3" spans="1:9" ht="39" customHeight="1" x14ac:dyDescent="0.25">
      <c r="A3" s="180" t="s">
        <v>29</v>
      </c>
      <c r="B3" s="180"/>
      <c r="C3" s="56"/>
      <c r="D3" s="57"/>
      <c r="E3" s="46" t="s">
        <v>285</v>
      </c>
      <c r="F3" s="46" t="s">
        <v>291</v>
      </c>
    </row>
    <row r="4" spans="1:9" ht="15.75" customHeight="1" x14ac:dyDescent="0.25">
      <c r="A4" s="74"/>
      <c r="B4" s="75"/>
      <c r="C4" s="56"/>
      <c r="D4" s="57"/>
      <c r="E4" s="45" t="s">
        <v>270</v>
      </c>
      <c r="F4" s="45" t="s">
        <v>272</v>
      </c>
    </row>
    <row r="5" spans="1:9" ht="20.25" customHeight="1" x14ac:dyDescent="0.25">
      <c r="A5" s="177" t="s">
        <v>277</v>
      </c>
      <c r="B5" s="178"/>
      <c r="C5" s="56"/>
      <c r="D5" s="57"/>
    </row>
    <row r="6" spans="1:9" ht="78.5" customHeight="1" x14ac:dyDescent="0.25">
      <c r="A6" s="58" t="s">
        <v>28</v>
      </c>
      <c r="B6" s="72" t="s">
        <v>317</v>
      </c>
      <c r="C6" s="56"/>
      <c r="D6" s="57" t="s">
        <v>271</v>
      </c>
      <c r="E6" s="48">
        <f>'WP-2017 True Up TRR Adj'!D8</f>
        <v>-936.5548882484436</v>
      </c>
      <c r="F6" s="48">
        <f>(E6/E8)*F8</f>
        <v>-999.94507771522649</v>
      </c>
      <c r="G6" s="56"/>
    </row>
    <row r="7" spans="1:9" ht="15.5" x14ac:dyDescent="0.25">
      <c r="A7" s="58"/>
      <c r="B7" s="72"/>
      <c r="C7" s="56"/>
      <c r="D7" s="57"/>
      <c r="E7" s="48"/>
      <c r="F7" s="48"/>
    </row>
    <row r="8" spans="1:9" ht="15.5" x14ac:dyDescent="0.25">
      <c r="A8" s="177" t="s">
        <v>287</v>
      </c>
      <c r="B8" s="178"/>
      <c r="C8" s="59"/>
      <c r="D8" s="60" t="s">
        <v>271</v>
      </c>
      <c r="E8" s="61">
        <f>SUM(E5:E7)</f>
        <v>-936.5548882484436</v>
      </c>
      <c r="F8" s="61">
        <f>'WP-Total Adj with Int'!G36</f>
        <v>-999.94507771522649</v>
      </c>
      <c r="G8" s="56"/>
    </row>
    <row r="9" spans="1:9" ht="15.5" x14ac:dyDescent="0.25">
      <c r="A9" s="83"/>
      <c r="B9" s="84"/>
      <c r="C9" s="59"/>
      <c r="D9" s="60"/>
      <c r="E9" s="61"/>
      <c r="F9" s="61"/>
      <c r="G9" s="56"/>
    </row>
    <row r="10" spans="1:9" ht="15.75" customHeight="1" x14ac:dyDescent="0.25">
      <c r="A10" s="71"/>
      <c r="B10" s="72"/>
      <c r="C10" s="59"/>
      <c r="D10" s="76"/>
      <c r="E10" s="48"/>
      <c r="F10" s="48"/>
    </row>
    <row r="11" spans="1:9" ht="20.25" customHeight="1" x14ac:dyDescent="0.25">
      <c r="A11" s="177" t="s">
        <v>286</v>
      </c>
      <c r="B11" s="178"/>
      <c r="C11" s="56"/>
      <c r="D11" s="57"/>
    </row>
    <row r="12" spans="1:9" ht="78.5" customHeight="1" x14ac:dyDescent="0.25">
      <c r="A12" s="58" t="s">
        <v>28</v>
      </c>
      <c r="B12" s="72" t="s">
        <v>330</v>
      </c>
      <c r="C12" s="56"/>
      <c r="D12" s="57" t="s">
        <v>275</v>
      </c>
      <c r="E12" s="48">
        <f>'WP-2018 True Up TRR Adj'!D8</f>
        <v>-1275.206901550293</v>
      </c>
      <c r="F12" s="48">
        <f>(E12/E$14)*F$14</f>
        <v>-1305.6484176543436</v>
      </c>
    </row>
    <row r="13" spans="1:9" ht="12.75" customHeight="1" x14ac:dyDescent="0.25">
      <c r="A13" s="74"/>
      <c r="B13" s="72"/>
      <c r="C13" s="56"/>
      <c r="D13" s="57"/>
      <c r="E13" s="48"/>
      <c r="F13" s="48"/>
    </row>
    <row r="14" spans="1:9" ht="15.75" customHeight="1" x14ac:dyDescent="0.25">
      <c r="A14" s="177" t="s">
        <v>288</v>
      </c>
      <c r="B14" s="178"/>
      <c r="C14" s="59"/>
      <c r="D14" s="67" t="s">
        <v>275</v>
      </c>
      <c r="E14" s="61">
        <f>SUM(E12:E13)</f>
        <v>-1275.206901550293</v>
      </c>
      <c r="F14" s="61">
        <f>'WP-Total Adj with Int'!K36</f>
        <v>-1305.6484176543436</v>
      </c>
      <c r="G14" s="56"/>
      <c r="H14" s="56"/>
      <c r="I14" s="56"/>
    </row>
    <row r="15" spans="1:9" ht="15.75" customHeight="1" x14ac:dyDescent="0.25">
      <c r="A15" s="83"/>
      <c r="B15" s="84"/>
      <c r="C15" s="59"/>
      <c r="D15" s="67"/>
      <c r="E15" s="61"/>
      <c r="F15" s="61"/>
      <c r="G15" s="56"/>
      <c r="H15" s="56"/>
      <c r="I15" s="56"/>
    </row>
    <row r="16" spans="1:9" ht="12.75" customHeight="1" thickBot="1" x14ac:dyDescent="0.3">
      <c r="A16" s="74"/>
      <c r="B16" s="72"/>
      <c r="C16" s="56"/>
      <c r="D16" s="57"/>
      <c r="E16" s="48"/>
      <c r="F16" s="48"/>
    </row>
    <row r="17" spans="1:7" ht="16" thickBot="1" x14ac:dyDescent="0.3">
      <c r="A17" s="175" t="s">
        <v>290</v>
      </c>
      <c r="B17" s="176"/>
      <c r="C17" s="68"/>
      <c r="D17" s="69" t="s">
        <v>292</v>
      </c>
      <c r="E17" s="77">
        <f>E8+E14</f>
        <v>-2211.7617897987366</v>
      </c>
      <c r="F17" s="78">
        <f>F8+F14</f>
        <v>-2305.5934953695701</v>
      </c>
      <c r="G17" s="56"/>
    </row>
    <row r="18" spans="1:7" ht="15.5" x14ac:dyDescent="0.25">
      <c r="A18" s="83"/>
      <c r="B18" s="84"/>
      <c r="C18" s="56"/>
      <c r="D18" s="57"/>
      <c r="E18" s="48"/>
      <c r="F18" s="48"/>
      <c r="G18" s="56"/>
    </row>
    <row r="19" spans="1:7" ht="15.5" x14ac:dyDescent="0.25">
      <c r="A19" s="47"/>
      <c r="B19" s="62"/>
      <c r="E19" s="48"/>
      <c r="F19" s="48"/>
    </row>
    <row r="20" spans="1:7" ht="21" x14ac:dyDescent="0.25">
      <c r="A20" s="41" t="s">
        <v>289</v>
      </c>
      <c r="B20" s="31"/>
      <c r="C20" s="31"/>
      <c r="D20" s="53"/>
      <c r="E20" s="48"/>
      <c r="F20" s="48"/>
      <c r="G20" s="79"/>
    </row>
    <row r="21" spans="1:7" ht="15.5" x14ac:dyDescent="0.25">
      <c r="A21" s="47"/>
      <c r="B21" s="62"/>
      <c r="E21" s="48"/>
      <c r="F21" s="48"/>
    </row>
    <row r="22" spans="1:7" ht="29.25" customHeight="1" x14ac:dyDescent="0.25">
      <c r="E22" s="48"/>
      <c r="F22" s="48"/>
    </row>
  </sheetData>
  <mergeCells count="7">
    <mergeCell ref="A17:B17"/>
    <mergeCell ref="A14:B14"/>
    <mergeCell ref="A11:B11"/>
    <mergeCell ref="A2:B2"/>
    <mergeCell ref="A3:B3"/>
    <mergeCell ref="A5:B5"/>
    <mergeCell ref="A8:B8"/>
  </mergeCells>
  <printOptions horizontalCentered="1"/>
  <pageMargins left="0.7" right="0.7" top="0.75" bottom="0.75" header="0.3" footer="0.3"/>
  <pageSetup scale="71" fitToHeight="0" orientation="landscape" r:id="rId1"/>
  <headerFooter>
    <oddHeader>&amp;R&amp;8TO2021 Draft Annual Update
Attachment 4
WP-Schedule 3-One Time Adj Prior Period
Page &amp;P of &amp;N</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K55"/>
  <sheetViews>
    <sheetView zoomScaleNormal="100" workbookViewId="0">
      <selection activeCell="A2" sqref="A2"/>
    </sheetView>
  </sheetViews>
  <sheetFormatPr defaultColWidth="9.1796875" defaultRowHeight="14.5" x14ac:dyDescent="0.35"/>
  <cols>
    <col min="1" max="1" width="11.54296875" style="1" customWidth="1"/>
    <col min="2" max="2" width="9.1796875" style="1"/>
    <col min="3" max="3" width="8.26953125" style="1" bestFit="1" customWidth="1"/>
    <col min="4" max="4" width="15.54296875" style="1" customWidth="1"/>
    <col min="5" max="5" width="14.1796875" style="1" customWidth="1"/>
    <col min="6" max="6" width="13.7265625" style="1" customWidth="1"/>
    <col min="7" max="7" width="13.54296875" style="1" customWidth="1"/>
    <col min="8" max="8" width="15.54296875" style="1" customWidth="1"/>
    <col min="9" max="9" width="14.1796875" style="1" customWidth="1"/>
    <col min="10" max="10" width="17.7265625" style="1" customWidth="1"/>
    <col min="11" max="11" width="18.81640625" style="1" customWidth="1"/>
    <col min="12" max="16384" width="9.1796875" style="1"/>
  </cols>
  <sheetData>
    <row r="2" spans="1:11" ht="15" thickBot="1" x14ac:dyDescent="0.4"/>
    <row r="3" spans="1:11" x14ac:dyDescent="0.35">
      <c r="A3" s="29" t="s">
        <v>27</v>
      </c>
      <c r="B3" s="30"/>
      <c r="C3" s="30"/>
      <c r="D3" s="30"/>
      <c r="E3" s="30"/>
      <c r="F3" s="30"/>
      <c r="G3" s="30"/>
      <c r="H3" s="30"/>
      <c r="I3" s="30"/>
      <c r="J3" s="30"/>
      <c r="K3" s="170"/>
    </row>
    <row r="4" spans="1:11" ht="15" thickBot="1" x14ac:dyDescent="0.4">
      <c r="A4" s="2"/>
      <c r="B4" s="3"/>
      <c r="C4" s="3"/>
      <c r="D4" s="3"/>
      <c r="E4" s="3"/>
      <c r="F4" s="3"/>
      <c r="G4" s="3"/>
      <c r="H4" s="3"/>
      <c r="I4" s="3"/>
      <c r="J4" s="3"/>
      <c r="K4" s="171"/>
    </row>
    <row r="5" spans="1:11" ht="32.25" customHeight="1" thickBot="1" x14ac:dyDescent="0.4">
      <c r="A5" s="181" t="s">
        <v>284</v>
      </c>
      <c r="B5" s="182"/>
      <c r="C5" s="182"/>
      <c r="D5" s="182"/>
      <c r="E5" s="182"/>
      <c r="F5" s="182"/>
      <c r="G5" s="183"/>
      <c r="H5" s="181" t="s">
        <v>293</v>
      </c>
      <c r="I5" s="182"/>
      <c r="J5" s="182"/>
      <c r="K5" s="183"/>
    </row>
    <row r="6" spans="1:11" ht="15" customHeight="1" x14ac:dyDescent="0.35">
      <c r="A6" s="34"/>
      <c r="B6" s="35"/>
      <c r="C6" s="35"/>
      <c r="D6" s="35"/>
      <c r="E6" s="36" t="s">
        <v>19</v>
      </c>
      <c r="F6" s="37"/>
      <c r="G6" s="38"/>
      <c r="H6" s="4"/>
      <c r="I6" s="5" t="s">
        <v>19</v>
      </c>
      <c r="J6" s="6"/>
      <c r="K6" s="7"/>
    </row>
    <row r="7" spans="1:11" ht="15" customHeight="1" x14ac:dyDescent="0.35">
      <c r="A7" s="13"/>
      <c r="B7" s="4"/>
      <c r="C7" s="4"/>
      <c r="D7" s="4"/>
      <c r="E7" s="5" t="s">
        <v>4</v>
      </c>
      <c r="F7" s="9"/>
      <c r="G7" s="10" t="s">
        <v>19</v>
      </c>
      <c r="H7" s="4"/>
      <c r="I7" s="5" t="s">
        <v>4</v>
      </c>
      <c r="J7" s="9"/>
      <c r="K7" s="10" t="s">
        <v>19</v>
      </c>
    </row>
    <row r="8" spans="1:11" ht="15" customHeight="1" x14ac:dyDescent="0.35">
      <c r="A8" s="13"/>
      <c r="B8" s="4"/>
      <c r="C8" s="4"/>
      <c r="D8" s="4"/>
      <c r="E8" s="5" t="s">
        <v>5</v>
      </c>
      <c r="F8" s="9"/>
      <c r="G8" s="10" t="s">
        <v>4</v>
      </c>
      <c r="H8" s="4"/>
      <c r="I8" s="5" t="s">
        <v>5</v>
      </c>
      <c r="J8" s="9"/>
      <c r="K8" s="10" t="s">
        <v>4</v>
      </c>
    </row>
    <row r="9" spans="1:11" ht="15" customHeight="1" x14ac:dyDescent="0.35">
      <c r="A9" s="13"/>
      <c r="B9" s="4"/>
      <c r="C9" s="8" t="s">
        <v>1</v>
      </c>
      <c r="D9" s="5" t="s">
        <v>1</v>
      </c>
      <c r="E9" s="5" t="s">
        <v>2</v>
      </c>
      <c r="F9" s="12" t="s">
        <v>3</v>
      </c>
      <c r="G9" s="10" t="s">
        <v>5</v>
      </c>
      <c r="H9" s="5" t="s">
        <v>1</v>
      </c>
      <c r="I9" s="5" t="s">
        <v>2</v>
      </c>
      <c r="J9" s="12" t="s">
        <v>3</v>
      </c>
      <c r="K9" s="10" t="s">
        <v>5</v>
      </c>
    </row>
    <row r="10" spans="1:11" ht="15" customHeight="1" x14ac:dyDescent="0.35">
      <c r="A10" s="13"/>
      <c r="B10" s="4"/>
      <c r="C10" s="11" t="s">
        <v>3</v>
      </c>
      <c r="D10" s="5" t="s">
        <v>20</v>
      </c>
      <c r="E10" s="5" t="s">
        <v>22</v>
      </c>
      <c r="F10" s="5" t="s">
        <v>23</v>
      </c>
      <c r="G10" s="10" t="s">
        <v>2</v>
      </c>
      <c r="H10" s="5" t="s">
        <v>20</v>
      </c>
      <c r="I10" s="5" t="s">
        <v>22</v>
      </c>
      <c r="J10" s="5" t="s">
        <v>23</v>
      </c>
      <c r="K10" s="10" t="s">
        <v>2</v>
      </c>
    </row>
    <row r="11" spans="1:11" ht="15.75" customHeight="1" x14ac:dyDescent="0.35">
      <c r="A11" s="27" t="s">
        <v>16</v>
      </c>
      <c r="B11" s="26" t="s">
        <v>17</v>
      </c>
      <c r="C11" s="26" t="s">
        <v>0</v>
      </c>
      <c r="D11" s="25" t="s">
        <v>26</v>
      </c>
      <c r="E11" s="25" t="s">
        <v>24</v>
      </c>
      <c r="F11" s="25" t="s">
        <v>16</v>
      </c>
      <c r="G11" s="28" t="s">
        <v>21</v>
      </c>
      <c r="H11" s="25" t="s">
        <v>26</v>
      </c>
      <c r="I11" s="25" t="s">
        <v>24</v>
      </c>
      <c r="J11" s="25" t="s">
        <v>16</v>
      </c>
      <c r="K11" s="28" t="s">
        <v>21</v>
      </c>
    </row>
    <row r="12" spans="1:11" x14ac:dyDescent="0.35">
      <c r="A12" s="13" t="s">
        <v>7</v>
      </c>
      <c r="B12" s="82" t="s">
        <v>276</v>
      </c>
      <c r="C12" s="81">
        <v>2.8999999999999998E-3</v>
      </c>
      <c r="D12" s="15">
        <f>'WP-2017 True Up TRR Adj'!D8/12</f>
        <v>-78.0462406873703</v>
      </c>
      <c r="E12" s="16">
        <f>D12</f>
        <v>-78.0462406873703</v>
      </c>
      <c r="F12" s="80">
        <f>((E12)/2)*$C12</f>
        <v>-0.11316704899668693</v>
      </c>
      <c r="G12" s="17">
        <f>E12+F12</f>
        <v>-78.159407736366987</v>
      </c>
      <c r="H12" s="15">
        <v>0</v>
      </c>
      <c r="I12" s="16">
        <f>H12</f>
        <v>0</v>
      </c>
      <c r="J12" s="80">
        <f>((I12)/2)*C12</f>
        <v>0</v>
      </c>
      <c r="K12" s="17">
        <f>I12+J12</f>
        <v>0</v>
      </c>
    </row>
    <row r="13" spans="1:11" x14ac:dyDescent="0.35">
      <c r="A13" s="13" t="s">
        <v>8</v>
      </c>
      <c r="B13" s="82" t="s">
        <v>276</v>
      </c>
      <c r="C13" s="81">
        <v>2.8999999999999998E-3</v>
      </c>
      <c r="D13" s="15">
        <f>D12</f>
        <v>-78.0462406873703</v>
      </c>
      <c r="E13" s="16">
        <f>D13+G12</f>
        <v>-156.20564842373727</v>
      </c>
      <c r="F13" s="80">
        <f t="shared" ref="F13:F35" si="0">(((E13+G12))/2)*$C13</f>
        <v>-0.3398293314321511</v>
      </c>
      <c r="G13" s="17">
        <f t="shared" ref="G13:G23" si="1">E13+F13</f>
        <v>-156.54547775516943</v>
      </c>
      <c r="H13" s="15">
        <v>0</v>
      </c>
      <c r="I13" s="16">
        <f>H13+K12</f>
        <v>0</v>
      </c>
      <c r="J13" s="80">
        <f t="shared" ref="J13:J35" si="2">(((I13+K12))/2)*$C13</f>
        <v>0</v>
      </c>
      <c r="K13" s="17">
        <f t="shared" ref="K13:K23" si="3">I13+J13</f>
        <v>0</v>
      </c>
    </row>
    <row r="14" spans="1:11" x14ac:dyDescent="0.35">
      <c r="A14" s="13" t="s">
        <v>18</v>
      </c>
      <c r="B14" s="82" t="s">
        <v>276</v>
      </c>
      <c r="C14" s="81">
        <v>2.8999999999999998E-3</v>
      </c>
      <c r="D14" s="15">
        <f t="shared" ref="D14:D23" si="4">D13</f>
        <v>-78.0462406873703</v>
      </c>
      <c r="E14" s="16">
        <f t="shared" ref="E14:E35" si="5">D14+G13</f>
        <v>-234.59171844253973</v>
      </c>
      <c r="F14" s="80">
        <f t="shared" si="0"/>
        <v>-0.56714893448667825</v>
      </c>
      <c r="G14" s="17">
        <f t="shared" si="1"/>
        <v>-235.15886737702641</v>
      </c>
      <c r="H14" s="15">
        <v>0</v>
      </c>
      <c r="I14" s="16">
        <f t="shared" ref="I14:I35" si="6">H14+K13</f>
        <v>0</v>
      </c>
      <c r="J14" s="80">
        <f t="shared" si="2"/>
        <v>0</v>
      </c>
      <c r="K14" s="17">
        <f t="shared" si="3"/>
        <v>0</v>
      </c>
    </row>
    <row r="15" spans="1:11" x14ac:dyDescent="0.35">
      <c r="A15" s="13" t="s">
        <v>9</v>
      </c>
      <c r="B15" s="82" t="s">
        <v>276</v>
      </c>
      <c r="C15" s="81">
        <v>3.0999999999999999E-3</v>
      </c>
      <c r="D15" s="15">
        <f t="shared" si="4"/>
        <v>-78.0462406873703</v>
      </c>
      <c r="E15" s="16">
        <f t="shared" si="5"/>
        <v>-313.20510806439671</v>
      </c>
      <c r="F15" s="80">
        <f t="shared" si="0"/>
        <v>-0.84996416193420576</v>
      </c>
      <c r="G15" s="17">
        <f t="shared" si="1"/>
        <v>-314.05507222633094</v>
      </c>
      <c r="H15" s="15">
        <v>0</v>
      </c>
      <c r="I15" s="16">
        <f t="shared" si="6"/>
        <v>0</v>
      </c>
      <c r="J15" s="80">
        <f t="shared" si="2"/>
        <v>0</v>
      </c>
      <c r="K15" s="17">
        <f t="shared" si="3"/>
        <v>0</v>
      </c>
    </row>
    <row r="16" spans="1:11" x14ac:dyDescent="0.35">
      <c r="A16" s="13" t="s">
        <v>10</v>
      </c>
      <c r="B16" s="82" t="s">
        <v>276</v>
      </c>
      <c r="C16" s="81">
        <v>3.0999999999999999E-3</v>
      </c>
      <c r="D16" s="15">
        <f t="shared" si="4"/>
        <v>-78.0462406873703</v>
      </c>
      <c r="E16" s="16">
        <f t="shared" si="5"/>
        <v>-392.10131291370124</v>
      </c>
      <c r="F16" s="80">
        <f t="shared" si="0"/>
        <v>-1.0945423969670498</v>
      </c>
      <c r="G16" s="17">
        <f t="shared" si="1"/>
        <v>-393.19585531066826</v>
      </c>
      <c r="H16" s="15">
        <v>0</v>
      </c>
      <c r="I16" s="16">
        <f t="shared" si="6"/>
        <v>0</v>
      </c>
      <c r="J16" s="80">
        <f t="shared" si="2"/>
        <v>0</v>
      </c>
      <c r="K16" s="17">
        <f t="shared" si="3"/>
        <v>0</v>
      </c>
    </row>
    <row r="17" spans="1:11" x14ac:dyDescent="0.35">
      <c r="A17" s="13" t="s">
        <v>25</v>
      </c>
      <c r="B17" s="82" t="s">
        <v>276</v>
      </c>
      <c r="C17" s="81">
        <v>3.0999999999999999E-3</v>
      </c>
      <c r="D17" s="15">
        <f t="shared" si="4"/>
        <v>-78.0462406873703</v>
      </c>
      <c r="E17" s="16">
        <f t="shared" si="5"/>
        <v>-471.24209599803856</v>
      </c>
      <c r="F17" s="80">
        <f t="shared" si="0"/>
        <v>-1.3398788245284956</v>
      </c>
      <c r="G17" s="17">
        <f t="shared" si="1"/>
        <v>-472.58197482256708</v>
      </c>
      <c r="H17" s="15">
        <v>0</v>
      </c>
      <c r="I17" s="16">
        <f t="shared" si="6"/>
        <v>0</v>
      </c>
      <c r="J17" s="80">
        <f t="shared" si="2"/>
        <v>0</v>
      </c>
      <c r="K17" s="17">
        <f t="shared" si="3"/>
        <v>0</v>
      </c>
    </row>
    <row r="18" spans="1:11" x14ac:dyDescent="0.35">
      <c r="A18" s="13" t="s">
        <v>11</v>
      </c>
      <c r="B18" s="82" t="s">
        <v>276</v>
      </c>
      <c r="C18" s="81">
        <v>3.3E-3</v>
      </c>
      <c r="D18" s="15">
        <f t="shared" si="4"/>
        <v>-78.0462406873703</v>
      </c>
      <c r="E18" s="16">
        <f t="shared" si="5"/>
        <v>-550.62821550993738</v>
      </c>
      <c r="F18" s="80">
        <f t="shared" si="0"/>
        <v>-1.6882968140486323</v>
      </c>
      <c r="G18" s="17">
        <f t="shared" si="1"/>
        <v>-552.31651232398599</v>
      </c>
      <c r="H18" s="15">
        <v>0</v>
      </c>
      <c r="I18" s="16">
        <f t="shared" si="6"/>
        <v>0</v>
      </c>
      <c r="J18" s="80">
        <f t="shared" si="2"/>
        <v>0</v>
      </c>
      <c r="K18" s="17">
        <f t="shared" si="3"/>
        <v>0</v>
      </c>
    </row>
    <row r="19" spans="1:11" x14ac:dyDescent="0.35">
      <c r="A19" s="13" t="s">
        <v>12</v>
      </c>
      <c r="B19" s="82" t="s">
        <v>276</v>
      </c>
      <c r="C19" s="81">
        <v>3.3E-3</v>
      </c>
      <c r="D19" s="15">
        <f t="shared" si="4"/>
        <v>-78.0462406873703</v>
      </c>
      <c r="E19" s="16">
        <f t="shared" si="5"/>
        <v>-630.36275301135629</v>
      </c>
      <c r="F19" s="80">
        <f t="shared" si="0"/>
        <v>-1.9514207878033147</v>
      </c>
      <c r="G19" s="17">
        <f t="shared" si="1"/>
        <v>-632.31417379915956</v>
      </c>
      <c r="H19" s="15">
        <v>0</v>
      </c>
      <c r="I19" s="16">
        <f t="shared" si="6"/>
        <v>0</v>
      </c>
      <c r="J19" s="80">
        <f t="shared" si="2"/>
        <v>0</v>
      </c>
      <c r="K19" s="17">
        <f t="shared" si="3"/>
        <v>0</v>
      </c>
    </row>
    <row r="20" spans="1:11" x14ac:dyDescent="0.35">
      <c r="A20" s="13" t="s">
        <v>13</v>
      </c>
      <c r="B20" s="82" t="s">
        <v>276</v>
      </c>
      <c r="C20" s="81">
        <v>3.3E-3</v>
      </c>
      <c r="D20" s="15">
        <f t="shared" si="4"/>
        <v>-78.0462406873703</v>
      </c>
      <c r="E20" s="16">
        <f t="shared" si="5"/>
        <v>-710.36041448652986</v>
      </c>
      <c r="F20" s="80">
        <f t="shared" si="0"/>
        <v>-2.2154130706713877</v>
      </c>
      <c r="G20" s="17">
        <f t="shared" si="1"/>
        <v>-712.57582755720125</v>
      </c>
      <c r="H20" s="15">
        <v>0</v>
      </c>
      <c r="I20" s="16">
        <f t="shared" si="6"/>
        <v>0</v>
      </c>
      <c r="J20" s="80">
        <f t="shared" si="2"/>
        <v>0</v>
      </c>
      <c r="K20" s="17">
        <f t="shared" si="3"/>
        <v>0</v>
      </c>
    </row>
    <row r="21" spans="1:11" x14ac:dyDescent="0.35">
      <c r="A21" s="13" t="s">
        <v>15</v>
      </c>
      <c r="B21" s="82" t="s">
        <v>276</v>
      </c>
      <c r="C21" s="81">
        <v>3.5000000000000001E-3</v>
      </c>
      <c r="D21" s="15">
        <f t="shared" si="4"/>
        <v>-78.0462406873703</v>
      </c>
      <c r="E21" s="16">
        <f t="shared" si="5"/>
        <v>-790.62206824457155</v>
      </c>
      <c r="F21" s="80">
        <f t="shared" si="0"/>
        <v>-2.6305963176531026</v>
      </c>
      <c r="G21" s="17">
        <f t="shared" si="1"/>
        <v>-793.25266456222471</v>
      </c>
      <c r="H21" s="15">
        <v>0</v>
      </c>
      <c r="I21" s="16">
        <f t="shared" si="6"/>
        <v>0</v>
      </c>
      <c r="J21" s="80">
        <f t="shared" si="2"/>
        <v>0</v>
      </c>
      <c r="K21" s="17">
        <f t="shared" si="3"/>
        <v>0</v>
      </c>
    </row>
    <row r="22" spans="1:11" x14ac:dyDescent="0.35">
      <c r="A22" s="13" t="s">
        <v>14</v>
      </c>
      <c r="B22" s="82" t="s">
        <v>276</v>
      </c>
      <c r="C22" s="81">
        <v>3.5000000000000001E-3</v>
      </c>
      <c r="D22" s="15">
        <f t="shared" si="4"/>
        <v>-78.0462406873703</v>
      </c>
      <c r="E22" s="16">
        <f t="shared" si="5"/>
        <v>-871.29890524959501</v>
      </c>
      <c r="F22" s="80">
        <f t="shared" si="0"/>
        <v>-2.9129652471706846</v>
      </c>
      <c r="G22" s="17">
        <f t="shared" si="1"/>
        <v>-874.21187049676564</v>
      </c>
      <c r="H22" s="15">
        <v>0</v>
      </c>
      <c r="I22" s="16">
        <f t="shared" si="6"/>
        <v>0</v>
      </c>
      <c r="J22" s="80">
        <f t="shared" si="2"/>
        <v>0</v>
      </c>
      <c r="K22" s="17">
        <f t="shared" si="3"/>
        <v>0</v>
      </c>
    </row>
    <row r="23" spans="1:11" x14ac:dyDescent="0.35">
      <c r="A23" s="13" t="s">
        <v>6</v>
      </c>
      <c r="B23" s="82" t="s">
        <v>276</v>
      </c>
      <c r="C23" s="81">
        <v>3.5000000000000001E-3</v>
      </c>
      <c r="D23" s="15">
        <f t="shared" si="4"/>
        <v>-78.0462406873703</v>
      </c>
      <c r="E23" s="16">
        <f t="shared" si="5"/>
        <v>-952.25811118413594</v>
      </c>
      <c r="F23" s="80">
        <f t="shared" si="0"/>
        <v>-3.1963224679415778</v>
      </c>
      <c r="G23" s="16">
        <f t="shared" si="1"/>
        <v>-955.45443365207757</v>
      </c>
      <c r="H23" s="49">
        <v>0</v>
      </c>
      <c r="I23" s="16">
        <f t="shared" si="6"/>
        <v>0</v>
      </c>
      <c r="J23" s="80">
        <f t="shared" si="2"/>
        <v>0</v>
      </c>
      <c r="K23" s="17">
        <f t="shared" si="3"/>
        <v>0</v>
      </c>
    </row>
    <row r="24" spans="1:11" x14ac:dyDescent="0.35">
      <c r="A24" s="13" t="s">
        <v>7</v>
      </c>
      <c r="B24" s="96" t="s">
        <v>294</v>
      </c>
      <c r="C24" s="81">
        <v>3.5000000000000001E-3</v>
      </c>
      <c r="D24" s="15">
        <v>0</v>
      </c>
      <c r="E24" s="16">
        <f t="shared" si="5"/>
        <v>-955.45443365207757</v>
      </c>
      <c r="F24" s="80">
        <f t="shared" si="0"/>
        <v>-3.3440905177822717</v>
      </c>
      <c r="G24" s="17">
        <f>E24+F24</f>
        <v>-958.79852416985989</v>
      </c>
      <c r="H24" s="15">
        <f>'WP-2018 True Up TRR Adj'!D8/12</f>
        <v>-106.26724179585774</v>
      </c>
      <c r="I24" s="16">
        <f t="shared" si="6"/>
        <v>-106.26724179585774</v>
      </c>
      <c r="J24" s="80">
        <f t="shared" si="2"/>
        <v>-0.18596767314275106</v>
      </c>
      <c r="K24" s="17">
        <f>I24+J24</f>
        <v>-106.4532094690005</v>
      </c>
    </row>
    <row r="25" spans="1:11" x14ac:dyDescent="0.35">
      <c r="A25" s="13" t="s">
        <v>8</v>
      </c>
      <c r="B25" s="96" t="s">
        <v>294</v>
      </c>
      <c r="C25" s="81">
        <v>3.5000000000000001E-3</v>
      </c>
      <c r="D25" s="15">
        <v>0</v>
      </c>
      <c r="E25" s="16">
        <f t="shared" si="5"/>
        <v>-958.79852416985989</v>
      </c>
      <c r="F25" s="80">
        <f t="shared" si="0"/>
        <v>-3.3557948345945099</v>
      </c>
      <c r="G25" s="17">
        <f t="shared" ref="G25:G35" si="7">E25+F25</f>
        <v>-962.15431900445435</v>
      </c>
      <c r="H25" s="15">
        <f t="shared" ref="H25:H35" si="8">H24</f>
        <v>-106.26724179585774</v>
      </c>
      <c r="I25" s="16">
        <f t="shared" si="6"/>
        <v>-212.72045126485824</v>
      </c>
      <c r="J25" s="80">
        <f t="shared" si="2"/>
        <v>-0.55855390628425283</v>
      </c>
      <c r="K25" s="17">
        <f t="shared" ref="K25:K35" si="9">I25+J25</f>
        <v>-213.2790051711425</v>
      </c>
    </row>
    <row r="26" spans="1:11" x14ac:dyDescent="0.35">
      <c r="A26" s="13" t="s">
        <v>18</v>
      </c>
      <c r="B26" s="96" t="s">
        <v>294</v>
      </c>
      <c r="C26" s="81">
        <v>3.5000000000000001E-3</v>
      </c>
      <c r="D26" s="15">
        <v>0</v>
      </c>
      <c r="E26" s="16">
        <f t="shared" si="5"/>
        <v>-962.15431900445435</v>
      </c>
      <c r="F26" s="80">
        <f t="shared" si="0"/>
        <v>-3.3675401165155905</v>
      </c>
      <c r="G26" s="17">
        <f t="shared" si="7"/>
        <v>-965.52185912096991</v>
      </c>
      <c r="H26" s="15">
        <f t="shared" si="8"/>
        <v>-106.26724179585774</v>
      </c>
      <c r="I26" s="16">
        <f t="shared" si="6"/>
        <v>-319.54624696700023</v>
      </c>
      <c r="J26" s="80">
        <f t="shared" si="2"/>
        <v>-0.93244419124174993</v>
      </c>
      <c r="K26" s="17">
        <f t="shared" si="9"/>
        <v>-320.47869115824199</v>
      </c>
    </row>
    <row r="27" spans="1:11" x14ac:dyDescent="0.35">
      <c r="A27" s="13" t="s">
        <v>9</v>
      </c>
      <c r="B27" s="96" t="s">
        <v>294</v>
      </c>
      <c r="C27" s="81">
        <v>3.7000000000000002E-3</v>
      </c>
      <c r="D27" s="15">
        <v>0</v>
      </c>
      <c r="E27" s="16">
        <f t="shared" si="5"/>
        <v>-965.52185912096991</v>
      </c>
      <c r="F27" s="80">
        <f t="shared" si="0"/>
        <v>-3.5724308787475887</v>
      </c>
      <c r="G27" s="17">
        <f t="shared" si="7"/>
        <v>-969.09428999971749</v>
      </c>
      <c r="H27" s="15">
        <f t="shared" si="8"/>
        <v>-106.26724179585774</v>
      </c>
      <c r="I27" s="16">
        <f t="shared" si="6"/>
        <v>-426.74593295409971</v>
      </c>
      <c r="J27" s="80">
        <f t="shared" si="2"/>
        <v>-1.3823655546078322</v>
      </c>
      <c r="K27" s="17">
        <f t="shared" si="9"/>
        <v>-428.12829850870753</v>
      </c>
    </row>
    <row r="28" spans="1:11" x14ac:dyDescent="0.35">
      <c r="A28" s="13" t="s">
        <v>10</v>
      </c>
      <c r="B28" s="96" t="s">
        <v>294</v>
      </c>
      <c r="C28" s="81">
        <v>3.7000000000000002E-3</v>
      </c>
      <c r="D28" s="15">
        <v>0</v>
      </c>
      <c r="E28" s="16">
        <f t="shared" si="5"/>
        <v>-969.09428999971749</v>
      </c>
      <c r="F28" s="80">
        <f t="shared" si="0"/>
        <v>-3.5856488729989549</v>
      </c>
      <c r="G28" s="17">
        <f t="shared" si="7"/>
        <v>-972.67993887271643</v>
      </c>
      <c r="H28" s="15">
        <f t="shared" si="8"/>
        <v>-106.26724179585774</v>
      </c>
      <c r="I28" s="16">
        <f t="shared" si="6"/>
        <v>-534.39554030456532</v>
      </c>
      <c r="J28" s="80">
        <f t="shared" si="2"/>
        <v>-1.7806691018045548</v>
      </c>
      <c r="K28" s="17">
        <f t="shared" si="9"/>
        <v>-536.17620940636982</v>
      </c>
    </row>
    <row r="29" spans="1:11" x14ac:dyDescent="0.35">
      <c r="A29" s="13" t="s">
        <v>25</v>
      </c>
      <c r="B29" s="96" t="s">
        <v>294</v>
      </c>
      <c r="C29" s="81">
        <v>3.7000000000000002E-3</v>
      </c>
      <c r="D29" s="15">
        <v>0</v>
      </c>
      <c r="E29" s="16">
        <f t="shared" si="5"/>
        <v>-972.67993887271643</v>
      </c>
      <c r="F29" s="80">
        <f t="shared" si="0"/>
        <v>-3.5989157738290509</v>
      </c>
      <c r="G29" s="17">
        <f t="shared" si="7"/>
        <v>-976.27885464654548</v>
      </c>
      <c r="H29" s="15">
        <f t="shared" si="8"/>
        <v>-106.26724179585774</v>
      </c>
      <c r="I29" s="16">
        <f t="shared" si="6"/>
        <v>-642.44345120222761</v>
      </c>
      <c r="J29" s="80">
        <f t="shared" si="2"/>
        <v>-2.1804463721259051</v>
      </c>
      <c r="K29" s="17">
        <f t="shared" si="9"/>
        <v>-644.62389757435346</v>
      </c>
    </row>
    <row r="30" spans="1:11" x14ac:dyDescent="0.35">
      <c r="A30" s="13" t="s">
        <v>11</v>
      </c>
      <c r="B30" s="96" t="s">
        <v>294</v>
      </c>
      <c r="C30" s="14">
        <v>3.8999999999999998E-3</v>
      </c>
      <c r="D30" s="15">
        <v>0</v>
      </c>
      <c r="E30" s="16">
        <f t="shared" si="5"/>
        <v>-976.27885464654548</v>
      </c>
      <c r="F30" s="80">
        <f t="shared" si="0"/>
        <v>-3.807487533121527</v>
      </c>
      <c r="G30" s="17">
        <f t="shared" si="7"/>
        <v>-980.08634217966699</v>
      </c>
      <c r="H30" s="15">
        <f t="shared" si="8"/>
        <v>-106.26724179585774</v>
      </c>
      <c r="I30" s="16">
        <f t="shared" si="6"/>
        <v>-750.89113937021125</v>
      </c>
      <c r="J30" s="80">
        <f t="shared" si="2"/>
        <v>-2.7212543220419008</v>
      </c>
      <c r="K30" s="17">
        <f t="shared" si="9"/>
        <v>-753.61239369225314</v>
      </c>
    </row>
    <row r="31" spans="1:11" x14ac:dyDescent="0.35">
      <c r="A31" s="13" t="s">
        <v>12</v>
      </c>
      <c r="B31" s="96" t="s">
        <v>294</v>
      </c>
      <c r="C31" s="14">
        <v>3.8999999999999998E-3</v>
      </c>
      <c r="D31" s="15">
        <v>0</v>
      </c>
      <c r="E31" s="16">
        <f t="shared" si="5"/>
        <v>-980.08634217966699</v>
      </c>
      <c r="F31" s="80">
        <f t="shared" si="0"/>
        <v>-3.8223367345007011</v>
      </c>
      <c r="G31" s="17">
        <f t="shared" si="7"/>
        <v>-983.90867891416769</v>
      </c>
      <c r="H31" s="15">
        <f t="shared" si="8"/>
        <v>-106.26724179585774</v>
      </c>
      <c r="I31" s="16">
        <f t="shared" si="6"/>
        <v>-859.87963548811092</v>
      </c>
      <c r="J31" s="80">
        <f t="shared" si="2"/>
        <v>-3.1463094569017098</v>
      </c>
      <c r="K31" s="17">
        <f t="shared" si="9"/>
        <v>-863.02594494501261</v>
      </c>
    </row>
    <row r="32" spans="1:11" x14ac:dyDescent="0.35">
      <c r="A32" s="13" t="s">
        <v>13</v>
      </c>
      <c r="B32" s="96" t="s">
        <v>294</v>
      </c>
      <c r="C32" s="14">
        <v>3.8999999999999998E-3</v>
      </c>
      <c r="D32" s="15">
        <v>0</v>
      </c>
      <c r="E32" s="16">
        <f t="shared" si="5"/>
        <v>-983.90867891416769</v>
      </c>
      <c r="F32" s="80">
        <f t="shared" si="0"/>
        <v>-3.837243847765254</v>
      </c>
      <c r="G32" s="17">
        <f t="shared" si="7"/>
        <v>-987.745922761933</v>
      </c>
      <c r="H32" s="15">
        <f t="shared" si="8"/>
        <v>-106.26724179585774</v>
      </c>
      <c r="I32" s="16">
        <f t="shared" si="6"/>
        <v>-969.2931867408704</v>
      </c>
      <c r="J32" s="80">
        <f t="shared" si="2"/>
        <v>-3.5730223067874713</v>
      </c>
      <c r="K32" s="17">
        <f t="shared" si="9"/>
        <v>-972.86620904765789</v>
      </c>
    </row>
    <row r="33" spans="1:11" x14ac:dyDescent="0.35">
      <c r="A33" s="13" t="s">
        <v>15</v>
      </c>
      <c r="B33" s="96" t="s">
        <v>294</v>
      </c>
      <c r="C33" s="14">
        <v>4.1000000000000003E-3</v>
      </c>
      <c r="D33" s="15">
        <v>0</v>
      </c>
      <c r="E33" s="16">
        <f t="shared" si="5"/>
        <v>-987.745922761933</v>
      </c>
      <c r="F33" s="80">
        <f t="shared" si="0"/>
        <v>-4.0497582833239258</v>
      </c>
      <c r="G33" s="17">
        <f t="shared" si="7"/>
        <v>-991.79568104525697</v>
      </c>
      <c r="H33" s="15">
        <f t="shared" si="8"/>
        <v>-106.26724179585774</v>
      </c>
      <c r="I33" s="16">
        <f t="shared" si="6"/>
        <v>-1079.1334508435157</v>
      </c>
      <c r="J33" s="80">
        <f t="shared" si="2"/>
        <v>-4.2065993027769055</v>
      </c>
      <c r="K33" s="17">
        <f t="shared" si="9"/>
        <v>-1083.3400501462925</v>
      </c>
    </row>
    <row r="34" spans="1:11" x14ac:dyDescent="0.35">
      <c r="A34" s="13" t="s">
        <v>14</v>
      </c>
      <c r="B34" s="96" t="s">
        <v>294</v>
      </c>
      <c r="C34" s="14">
        <v>4.1000000000000003E-3</v>
      </c>
      <c r="D34" s="15">
        <v>0</v>
      </c>
      <c r="E34" s="16">
        <f t="shared" si="5"/>
        <v>-991.79568104525697</v>
      </c>
      <c r="F34" s="80">
        <f t="shared" si="0"/>
        <v>-4.0663622922855538</v>
      </c>
      <c r="G34" s="17">
        <f t="shared" si="7"/>
        <v>-995.86204333754256</v>
      </c>
      <c r="H34" s="15">
        <f t="shared" si="8"/>
        <v>-106.26724179585774</v>
      </c>
      <c r="I34" s="16">
        <f t="shared" si="6"/>
        <v>-1189.6072919421501</v>
      </c>
      <c r="J34" s="80">
        <f t="shared" si="2"/>
        <v>-4.6595420512813073</v>
      </c>
      <c r="K34" s="17">
        <f t="shared" si="9"/>
        <v>-1194.2668339934314</v>
      </c>
    </row>
    <row r="35" spans="1:11" x14ac:dyDescent="0.35">
      <c r="A35" s="13" t="s">
        <v>6</v>
      </c>
      <c r="B35" s="96" t="s">
        <v>294</v>
      </c>
      <c r="C35" s="14">
        <v>4.1000000000000003E-3</v>
      </c>
      <c r="D35" s="15">
        <v>0</v>
      </c>
      <c r="E35" s="16">
        <f t="shared" si="5"/>
        <v>-995.86204333754256</v>
      </c>
      <c r="F35" s="80">
        <f t="shared" si="0"/>
        <v>-4.0830343776839246</v>
      </c>
      <c r="G35" s="16">
        <f t="shared" si="7"/>
        <v>-999.94507771522649</v>
      </c>
      <c r="H35" s="49">
        <f t="shared" si="8"/>
        <v>-106.26724179585774</v>
      </c>
      <c r="I35" s="16">
        <f t="shared" si="6"/>
        <v>-1300.5340757892891</v>
      </c>
      <c r="J35" s="80">
        <f t="shared" si="2"/>
        <v>-5.1143418650545778</v>
      </c>
      <c r="K35" s="17">
        <f t="shared" si="9"/>
        <v>-1305.6484176543436</v>
      </c>
    </row>
    <row r="36" spans="1:11" s="52" customFormat="1" ht="15" thickBot="1" x14ac:dyDescent="0.4">
      <c r="A36" s="63"/>
      <c r="B36" s="64"/>
      <c r="C36" s="64"/>
      <c r="D36" s="65">
        <f>SUM(D12:D35)</f>
        <v>-936.5548882484436</v>
      </c>
      <c r="E36" s="54"/>
      <c r="F36" s="50" t="s">
        <v>30</v>
      </c>
      <c r="G36" s="65">
        <f>G35</f>
        <v>-999.94507771522649</v>
      </c>
      <c r="H36" s="66">
        <f>SUM(H12:H35)</f>
        <v>-1275.206901550293</v>
      </c>
      <c r="I36" s="54"/>
      <c r="J36" s="168" t="s">
        <v>30</v>
      </c>
      <c r="K36" s="51">
        <f>K35</f>
        <v>-1305.6484176543436</v>
      </c>
    </row>
    <row r="37" spans="1:11" ht="26.25" customHeight="1" thickBot="1" x14ac:dyDescent="0.55000000000000004">
      <c r="A37" s="32"/>
      <c r="B37" s="33"/>
      <c r="C37" s="33"/>
      <c r="D37" s="33"/>
      <c r="E37" s="33"/>
      <c r="F37" s="33"/>
      <c r="G37" s="33"/>
      <c r="H37" s="55"/>
      <c r="I37" s="55"/>
      <c r="J37" s="172" t="s">
        <v>331</v>
      </c>
      <c r="K37" s="169">
        <f>G36+K36</f>
        <v>-2305.5934953695701</v>
      </c>
    </row>
    <row r="38" spans="1:11" x14ac:dyDescent="0.35">
      <c r="I38" s="52"/>
      <c r="J38" s="52"/>
      <c r="K38" s="52"/>
    </row>
    <row r="39" spans="1:11" x14ac:dyDescent="0.35">
      <c r="E39" s="18"/>
    </row>
    <row r="41" spans="1:11" x14ac:dyDescent="0.35">
      <c r="A41" s="19"/>
      <c r="F41" s="39"/>
    </row>
    <row r="42" spans="1:11" x14ac:dyDescent="0.35">
      <c r="E42" s="20"/>
    </row>
    <row r="47" spans="1:11" x14ac:dyDescent="0.35">
      <c r="A47" s="19"/>
    </row>
    <row r="51" spans="4:6" x14ac:dyDescent="0.35">
      <c r="D51" s="21"/>
      <c r="F51" s="22"/>
    </row>
    <row r="52" spans="4:6" x14ac:dyDescent="0.35">
      <c r="E52" s="23"/>
    </row>
    <row r="53" spans="4:6" x14ac:dyDescent="0.35">
      <c r="F53" s="24"/>
    </row>
    <row r="55" spans="4:6" x14ac:dyDescent="0.35">
      <c r="E55" s="23"/>
      <c r="F55" s="22"/>
    </row>
  </sheetData>
  <mergeCells count="2">
    <mergeCell ref="H5:K5"/>
    <mergeCell ref="A5:G5"/>
  </mergeCells>
  <phoneticPr fontId="62" type="noConversion"/>
  <printOptions horizontalCentered="1"/>
  <pageMargins left="0.7" right="0.7" top="0.75" bottom="0.75" header="0.3" footer="0.3"/>
  <pageSetup scale="82" fitToHeight="0" orientation="landscape" cellComments="asDisplayed" r:id="rId1"/>
  <headerFooter>
    <oddHeader>&amp;RTO2021 Draft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dimension ref="A2:H15"/>
  <sheetViews>
    <sheetView zoomScaleNormal="100" workbookViewId="0">
      <selection activeCell="E7" sqref="E7:G7"/>
    </sheetView>
  </sheetViews>
  <sheetFormatPr defaultColWidth="9.1796875" defaultRowHeight="14.5" x14ac:dyDescent="0.35"/>
  <cols>
    <col min="1" max="2" width="9.1796875" style="85"/>
    <col min="3" max="3" width="18.54296875" style="85" customWidth="1"/>
    <col min="4" max="4" width="14.26953125" style="85" bestFit="1" customWidth="1"/>
    <col min="5" max="5" width="12.54296875" style="85" customWidth="1"/>
    <col min="6" max="6" width="12" style="85" customWidth="1"/>
    <col min="7" max="7" width="13.81640625" style="85" customWidth="1"/>
    <col min="8" max="16384" width="9.1796875" style="85"/>
  </cols>
  <sheetData>
    <row r="2" spans="1:8" ht="21" customHeight="1" x14ac:dyDescent="0.35"/>
    <row r="3" spans="1:8" ht="15" customHeight="1" x14ac:dyDescent="0.35">
      <c r="A3" s="194" t="s">
        <v>278</v>
      </c>
      <c r="B3" s="194"/>
      <c r="C3" s="194"/>
      <c r="D3" s="194"/>
      <c r="E3" s="194"/>
      <c r="F3" s="194"/>
      <c r="G3" s="194"/>
    </row>
    <row r="4" spans="1:8" ht="15" customHeight="1" x14ac:dyDescent="0.35">
      <c r="A4" s="194"/>
      <c r="B4" s="194"/>
      <c r="C4" s="194"/>
      <c r="D4" s="194"/>
      <c r="E4" s="194"/>
      <c r="F4" s="194"/>
      <c r="G4" s="194"/>
    </row>
    <row r="5" spans="1:8" x14ac:dyDescent="0.35">
      <c r="A5" s="195" t="s">
        <v>31</v>
      </c>
      <c r="B5" s="195"/>
      <c r="C5" s="195"/>
      <c r="D5" s="86" t="s">
        <v>32</v>
      </c>
      <c r="E5" s="196" t="s">
        <v>33</v>
      </c>
      <c r="F5" s="196"/>
      <c r="G5" s="196"/>
      <c r="H5" s="87"/>
    </row>
    <row r="6" spans="1:8" ht="49.5" customHeight="1" x14ac:dyDescent="0.35">
      <c r="A6" s="189" t="s">
        <v>295</v>
      </c>
      <c r="B6" s="190"/>
      <c r="C6" s="191"/>
      <c r="D6" s="88">
        <f>'WP-2017 Sch4-TUTRR'!J71</f>
        <v>1014519565.1585541</v>
      </c>
      <c r="E6" s="192" t="s">
        <v>302</v>
      </c>
      <c r="F6" s="193"/>
      <c r="G6" s="193"/>
    </row>
    <row r="7" spans="1:8" ht="50.25" customHeight="1" x14ac:dyDescent="0.35">
      <c r="A7" s="189" t="s">
        <v>296</v>
      </c>
      <c r="B7" s="190"/>
      <c r="C7" s="191"/>
      <c r="D7" s="89">
        <f>'WP-2017 Sch4-TUTRR'!E73</f>
        <v>1014518628.6036658</v>
      </c>
      <c r="E7" s="192" t="s">
        <v>303</v>
      </c>
      <c r="F7" s="193"/>
      <c r="G7" s="193"/>
    </row>
    <row r="8" spans="1:8" x14ac:dyDescent="0.35">
      <c r="A8" s="184" t="s">
        <v>34</v>
      </c>
      <c r="B8" s="184"/>
      <c r="C8" s="185"/>
      <c r="D8" s="90">
        <f>D7-D6</f>
        <v>-936.5548882484436</v>
      </c>
      <c r="E8" s="186"/>
      <c r="F8" s="186"/>
      <c r="G8" s="186"/>
    </row>
    <row r="11" spans="1:8" x14ac:dyDescent="0.35">
      <c r="A11" s="85" t="s">
        <v>273</v>
      </c>
    </row>
    <row r="12" spans="1:8" x14ac:dyDescent="0.35">
      <c r="A12" s="187" t="s">
        <v>279</v>
      </c>
      <c r="B12" s="188"/>
      <c r="C12" s="188"/>
      <c r="D12" s="188"/>
      <c r="E12" s="188"/>
      <c r="F12" s="188"/>
      <c r="G12" s="188"/>
      <c r="H12" s="188"/>
    </row>
    <row r="13" spans="1:8" x14ac:dyDescent="0.35">
      <c r="A13" s="188"/>
      <c r="B13" s="188"/>
      <c r="C13" s="188"/>
      <c r="D13" s="188"/>
      <c r="E13" s="188"/>
      <c r="F13" s="188"/>
      <c r="G13" s="188"/>
      <c r="H13" s="188"/>
    </row>
    <row r="15" spans="1:8" x14ac:dyDescent="0.35">
      <c r="A15" s="188"/>
      <c r="B15" s="188"/>
      <c r="C15" s="188"/>
      <c r="D15" s="188"/>
      <c r="E15" s="188"/>
      <c r="F15" s="188"/>
      <c r="G15" s="188"/>
      <c r="H15" s="188"/>
    </row>
  </sheetData>
  <mergeCells count="12">
    <mergeCell ref="A7:C7"/>
    <mergeCell ref="E7:G7"/>
    <mergeCell ref="A3:G4"/>
    <mergeCell ref="A5:C5"/>
    <mergeCell ref="E5:G5"/>
    <mergeCell ref="A6:C6"/>
    <mergeCell ref="E6:G6"/>
    <mergeCell ref="A8:C8"/>
    <mergeCell ref="E8:G8"/>
    <mergeCell ref="A12:H12"/>
    <mergeCell ref="A13:H13"/>
    <mergeCell ref="A15:H15"/>
  </mergeCells>
  <pageMargins left="0.7" right="0.7" top="0.75" bottom="0.75" header="0.3" footer="0.3"/>
  <pageSetup orientation="portrait" r:id="rId1"/>
  <headerFooter>
    <oddHeader>&amp;RTO2021 Draft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504D3-3C7F-4B50-8648-785DAB5AEAE7}">
  <dimension ref="A1:M172"/>
  <sheetViews>
    <sheetView topLeftCell="A112" zoomScaleNormal="100" workbookViewId="0">
      <selection activeCell="G73" sqref="G73"/>
    </sheetView>
  </sheetViews>
  <sheetFormatPr defaultRowHeight="12.5" x14ac:dyDescent="0.25"/>
  <cols>
    <col min="1" max="2" width="4.7265625" style="98" customWidth="1"/>
    <col min="3" max="3" width="18.7265625" style="98" customWidth="1"/>
    <col min="4" max="4" width="10.26953125" style="98" bestFit="1" customWidth="1"/>
    <col min="5" max="7" width="15.7265625" style="98" customWidth="1"/>
    <col min="8" max="8" width="24.7265625" style="98" customWidth="1"/>
    <col min="9" max="9" width="4.54296875" style="98" customWidth="1"/>
    <col min="10" max="10" width="15.7265625" style="98" customWidth="1"/>
    <col min="11" max="11" width="17.26953125" style="98" customWidth="1"/>
    <col min="12" max="12" width="17.1796875" style="98" customWidth="1"/>
    <col min="13" max="16384" width="8.7265625" style="98"/>
  </cols>
  <sheetData>
    <row r="1" spans="1:10" ht="13" x14ac:dyDescent="0.3">
      <c r="A1" s="97" t="s">
        <v>35</v>
      </c>
    </row>
    <row r="3" spans="1:10" ht="13" x14ac:dyDescent="0.3">
      <c r="B3" s="99" t="s">
        <v>36</v>
      </c>
    </row>
    <row r="4" spans="1:10" ht="13" x14ac:dyDescent="0.3">
      <c r="B4" s="100"/>
      <c r="F4" s="101" t="s">
        <v>37</v>
      </c>
      <c r="G4" s="101"/>
      <c r="H4" s="101" t="s">
        <v>38</v>
      </c>
    </row>
    <row r="5" spans="1:10" ht="13" x14ac:dyDescent="0.3">
      <c r="A5" s="102" t="s">
        <v>39</v>
      </c>
      <c r="B5" s="103"/>
      <c r="C5" s="104" t="s">
        <v>40</v>
      </c>
      <c r="F5" s="105" t="s">
        <v>41</v>
      </c>
      <c r="G5" s="105" t="s">
        <v>42</v>
      </c>
      <c r="H5" s="105" t="s">
        <v>43</v>
      </c>
      <c r="J5" s="105" t="s">
        <v>32</v>
      </c>
    </row>
    <row r="6" spans="1:10" ht="13" x14ac:dyDescent="0.3">
      <c r="A6" s="101">
        <v>1</v>
      </c>
      <c r="C6" s="106" t="s">
        <v>44</v>
      </c>
      <c r="F6" s="98" t="s">
        <v>45</v>
      </c>
      <c r="H6" s="106" t="str">
        <f>"6-PlantInService, Line "&amp;'[15]6-PlantInService'!A42&amp;""</f>
        <v>6-PlantInService, Line 18</v>
      </c>
      <c r="J6" s="107">
        <f>'[15]6-PlantInService'!D42</f>
        <v>8389794318.0711689</v>
      </c>
    </row>
    <row r="7" spans="1:10" ht="13" x14ac:dyDescent="0.3">
      <c r="A7" s="101">
        <f>A6+1</f>
        <v>2</v>
      </c>
      <c r="C7" s="106" t="s">
        <v>46</v>
      </c>
      <c r="F7" s="98" t="s">
        <v>47</v>
      </c>
      <c r="H7" s="106" t="str">
        <f>"6-PlantInService, Line "&amp;'[15]6-PlantInService'!A58&amp;""</f>
        <v>6-PlantInService, Line 24</v>
      </c>
      <c r="J7" s="107">
        <f>'[15]6-PlantInService'!F58</f>
        <v>252097756.36140126</v>
      </c>
    </row>
    <row r="8" spans="1:10" ht="13" x14ac:dyDescent="0.3">
      <c r="A8" s="101">
        <f>A7+1</f>
        <v>3</v>
      </c>
      <c r="C8" s="106" t="s">
        <v>48</v>
      </c>
      <c r="F8" s="98" t="s">
        <v>47</v>
      </c>
      <c r="H8" s="98" t="str">
        <f>"11-PHFU, Line "&amp;'[15]11-PHFU'!A41&amp;""</f>
        <v>11-PHFU, Line 9</v>
      </c>
      <c r="J8" s="107">
        <f>'[15]11-PHFU'!D41</f>
        <v>9942155</v>
      </c>
    </row>
    <row r="9" spans="1:10" ht="13" x14ac:dyDescent="0.3">
      <c r="A9" s="101">
        <f>A8+1</f>
        <v>4</v>
      </c>
      <c r="C9" s="106" t="s">
        <v>49</v>
      </c>
      <c r="F9" s="98" t="s">
        <v>47</v>
      </c>
      <c r="H9" s="98" t="str">
        <f>"12-AbandonedPlant Line "&amp;'[15]12-AbandonedPlant'!A21&amp;""</f>
        <v>12-AbandonedPlant Line 4</v>
      </c>
      <c r="J9" s="107">
        <f>'[15]12-AbandonedPlant'!G21</f>
        <v>0</v>
      </c>
    </row>
    <row r="10" spans="1:10" ht="13" x14ac:dyDescent="0.3">
      <c r="A10" s="101"/>
      <c r="C10" s="106"/>
      <c r="J10" s="107"/>
    </row>
    <row r="11" spans="1:10" ht="13" x14ac:dyDescent="0.3">
      <c r="A11" s="101"/>
      <c r="C11" s="108" t="s">
        <v>50</v>
      </c>
      <c r="J11" s="107"/>
    </row>
    <row r="12" spans="1:10" ht="13" x14ac:dyDescent="0.3">
      <c r="A12" s="101">
        <f>A9+1</f>
        <v>5</v>
      </c>
      <c r="C12" s="103" t="s">
        <v>51</v>
      </c>
      <c r="F12" s="98" t="s">
        <v>45</v>
      </c>
      <c r="H12" s="106" t="str">
        <f>"13-WorkCap, Line "&amp;'[15]13-WorkCap'!A27&amp;""</f>
        <v>13-WorkCap, Line 17</v>
      </c>
      <c r="J12" s="107">
        <f>'[15]13-WorkCap'!F27</f>
        <v>13057096.81033094</v>
      </c>
    </row>
    <row r="13" spans="1:10" ht="13" x14ac:dyDescent="0.3">
      <c r="A13" s="101">
        <f>A12+1</f>
        <v>6</v>
      </c>
      <c r="C13" s="103" t="s">
        <v>52</v>
      </c>
      <c r="F13" s="98" t="s">
        <v>45</v>
      </c>
      <c r="H13" s="106" t="str">
        <f>"13-WorkCap, Line "&amp;'[15]13-WorkCap'!A51&amp;""</f>
        <v>13-WorkCap, Line 33</v>
      </c>
      <c r="J13" s="107">
        <f>'[15]13-WorkCap'!F51</f>
        <v>10647092.7937865</v>
      </c>
    </row>
    <row r="14" spans="1:10" ht="13" x14ac:dyDescent="0.3">
      <c r="A14" s="101">
        <f>A13+1</f>
        <v>7</v>
      </c>
      <c r="C14" s="103" t="s">
        <v>53</v>
      </c>
      <c r="F14" s="98" t="s">
        <v>54</v>
      </c>
      <c r="H14" s="98" t="str">
        <f>"1-Base TRR Line "&amp;'[15]1-BaseTRR'!A17&amp;""</f>
        <v>1-Base TRR Line 7</v>
      </c>
      <c r="J14" s="109">
        <f>'[15]1-BaseTRR'!K17</f>
        <v>7824719.5138572352</v>
      </c>
    </row>
    <row r="15" spans="1:10" ht="13" x14ac:dyDescent="0.3">
      <c r="A15" s="101">
        <f>A14+1</f>
        <v>8</v>
      </c>
      <c r="C15" s="103" t="s">
        <v>55</v>
      </c>
      <c r="H15" s="98" t="str">
        <f>"Line "&amp;A12&amp;" + Line "&amp;A13&amp;" + Line "&amp;A14&amp;""</f>
        <v>Line 5 + Line 6 + Line 7</v>
      </c>
      <c r="J15" s="110">
        <f>SUM(J12:J14)</f>
        <v>31528909.117974672</v>
      </c>
    </row>
    <row r="16" spans="1:10" ht="13" x14ac:dyDescent="0.3">
      <c r="A16" s="101"/>
      <c r="C16" s="103"/>
      <c r="J16" s="107"/>
    </row>
    <row r="17" spans="1:10" ht="13" x14ac:dyDescent="0.3">
      <c r="A17" s="101"/>
      <c r="C17" s="111" t="s">
        <v>56</v>
      </c>
      <c r="J17" s="107"/>
    </row>
    <row r="18" spans="1:10" ht="13" x14ac:dyDescent="0.3">
      <c r="A18" s="101">
        <f>A15+1</f>
        <v>9</v>
      </c>
      <c r="C18" s="103" t="s">
        <v>57</v>
      </c>
      <c r="F18" s="98" t="s">
        <v>45</v>
      </c>
      <c r="G18" s="98" t="s">
        <v>58</v>
      </c>
      <c r="H18" s="106" t="str">
        <f>"8-AccDep, Line "&amp;'[15]8-AccDep'!A25&amp;", Col. 12"</f>
        <v>8-AccDep, Line 14, Col. 12</v>
      </c>
      <c r="J18" s="107">
        <f>-'[15]8-AccDep'!N25</f>
        <v>-1549914566.8389716</v>
      </c>
    </row>
    <row r="19" spans="1:10" ht="13" x14ac:dyDescent="0.3">
      <c r="A19" s="101">
        <f>A18+1</f>
        <v>10</v>
      </c>
      <c r="C19" s="103" t="s">
        <v>59</v>
      </c>
      <c r="F19" s="98" t="s">
        <v>47</v>
      </c>
      <c r="G19" s="98" t="s">
        <v>58</v>
      </c>
      <c r="H19" s="106" t="str">
        <f>"8-AccDep, Line "&amp;'[15]8-AccDep'!A35&amp;", Col. 5"</f>
        <v>8-AccDep, Line 17, Col. 5</v>
      </c>
      <c r="J19" s="107">
        <f>-'[15]8-AccDep'!G35</f>
        <v>0</v>
      </c>
    </row>
    <row r="20" spans="1:10" ht="13" x14ac:dyDescent="0.3">
      <c r="A20" s="101">
        <f>A19+1</f>
        <v>11</v>
      </c>
      <c r="C20" s="103" t="s">
        <v>60</v>
      </c>
      <c r="D20" s="112"/>
      <c r="F20" s="98" t="s">
        <v>47</v>
      </c>
      <c r="G20" s="98" t="s">
        <v>58</v>
      </c>
      <c r="H20" s="106" t="str">
        <f>"8-AccDep, Line "&amp;'[15]8-AccDep'!A53&amp;""</f>
        <v>8-AccDep, Line 23</v>
      </c>
      <c r="J20" s="113">
        <f>-'[15]8-AccDep'!F53</f>
        <v>-102849091.48355895</v>
      </c>
    </row>
    <row r="21" spans="1:10" ht="13" x14ac:dyDescent="0.3">
      <c r="A21" s="101">
        <f>A20+1</f>
        <v>12</v>
      </c>
      <c r="C21" s="114" t="s">
        <v>61</v>
      </c>
      <c r="D21" s="112"/>
      <c r="H21" s="98" t="str">
        <f>"Line "&amp;A18&amp;" + Line "&amp;A19&amp;" + Line "&amp;A20&amp;""</f>
        <v>Line 9 + Line 10 + Line 11</v>
      </c>
      <c r="J21" s="107">
        <f>SUM(J18:J20)</f>
        <v>-1652763658.3225305</v>
      </c>
    </row>
    <row r="22" spans="1:10" ht="13" x14ac:dyDescent="0.3">
      <c r="A22" s="101"/>
      <c r="J22" s="107"/>
    </row>
    <row r="23" spans="1:10" ht="13" x14ac:dyDescent="0.3">
      <c r="A23" s="101">
        <f>A21+1</f>
        <v>13</v>
      </c>
      <c r="C23" s="106" t="s">
        <v>62</v>
      </c>
      <c r="F23" s="98" t="s">
        <v>47</v>
      </c>
      <c r="H23" s="106" t="str">
        <f>"9-ADIT, Line "&amp;'[15]9-ADIT'!A24&amp;""</f>
        <v>9-ADIT, Line 15</v>
      </c>
      <c r="J23" s="107">
        <f>'[15]9-ADIT'!D24</f>
        <v>-1600478571.7718422</v>
      </c>
    </row>
    <row r="24" spans="1:10" ht="13" x14ac:dyDescent="0.3">
      <c r="A24" s="101">
        <f>A23+1</f>
        <v>14</v>
      </c>
      <c r="C24" s="106" t="s">
        <v>63</v>
      </c>
      <c r="F24" s="98" t="s">
        <v>45</v>
      </c>
      <c r="H24" s="106" t="str">
        <f>"14-IncentivePlant, L "&amp;'[15]14-IncentivePlant'!A38&amp;", C2"</f>
        <v>14-IncentivePlant, L 13, C2</v>
      </c>
      <c r="J24" s="107">
        <f>'[15]14-IncentivePlant'!F38</f>
        <v>106414658.18538462</v>
      </c>
    </row>
    <row r="25" spans="1:10" ht="13" x14ac:dyDescent="0.3">
      <c r="A25" s="101">
        <f>A24+1</f>
        <v>15</v>
      </c>
      <c r="C25" s="106" t="s">
        <v>64</v>
      </c>
      <c r="F25" s="98" t="s">
        <v>47</v>
      </c>
      <c r="G25" s="98" t="s">
        <v>58</v>
      </c>
      <c r="H25" s="106" t="str">
        <f>"22-NUCs, Line "&amp;'[15]22-NUCs'!A17&amp;""</f>
        <v>22-NUCs, Line 9</v>
      </c>
      <c r="J25" s="107">
        <f>-'[15]22-NUCs'!E17</f>
        <v>-106562330.36</v>
      </c>
    </row>
    <row r="26" spans="1:10" ht="13" x14ac:dyDescent="0.3">
      <c r="A26" s="101" t="s">
        <v>65</v>
      </c>
      <c r="C26" s="106" t="s">
        <v>66</v>
      </c>
      <c r="H26" s="98" t="str">
        <f>"34-UnfundedReserves, Line "&amp;'[15]34-UnfundedReserves'!A10&amp;""</f>
        <v>34-UnfundedReserves, Line 7</v>
      </c>
      <c r="J26" s="107">
        <f>'[15]34-UnfundedReserves'!K10</f>
        <v>-10165090.793968515</v>
      </c>
    </row>
    <row r="27" spans="1:10" ht="13" x14ac:dyDescent="0.3">
      <c r="A27" s="101">
        <v>16</v>
      </c>
      <c r="C27" s="106" t="s">
        <v>67</v>
      </c>
      <c r="F27" s="98" t="s">
        <v>47</v>
      </c>
      <c r="H27" s="106" t="str">
        <f>"23-RegAssets, Line "&amp;'[15]23-RegAssets'!A18&amp;""</f>
        <v>23-RegAssets, Line 15</v>
      </c>
      <c r="J27" s="107">
        <f>'[15]23-RegAssets'!E18</f>
        <v>0</v>
      </c>
    </row>
    <row r="28" spans="1:10" ht="13" x14ac:dyDescent="0.3">
      <c r="A28" s="101"/>
      <c r="C28" s="106"/>
    </row>
    <row r="29" spans="1:10" ht="13" x14ac:dyDescent="0.3">
      <c r="A29" s="101">
        <v>17</v>
      </c>
      <c r="C29" s="98" t="s">
        <v>68</v>
      </c>
      <c r="H29" s="98" t="str">
        <f>"L"&amp;A6&amp;"+L"&amp;A7&amp;"+L"&amp;A8&amp;"+L"&amp;A9&amp;"+L"&amp;A15&amp;"+L"&amp;A21&amp;"+"</f>
        <v>L1+L2+L3+L4+L8+L12+</v>
      </c>
      <c r="J29" s="110">
        <f>J6+ J7+J8+J9+J15+J21+J23+J24+J25+J26+J27</f>
        <v>5419808145.4875889</v>
      </c>
    </row>
    <row r="30" spans="1:10" ht="13" x14ac:dyDescent="0.3">
      <c r="A30" s="101"/>
      <c r="H30" s="98" t="str">
        <f>"L"&amp;A23&amp;"+L"&amp;A24&amp;"+L"&amp;A25&amp;"+L"&amp;A26&amp;"+L"&amp;A27&amp;""</f>
        <v>L13+L14+L15+L15a+L16</v>
      </c>
      <c r="J30" s="107"/>
    </row>
    <row r="31" spans="1:10" ht="13" x14ac:dyDescent="0.3">
      <c r="A31" s="101"/>
      <c r="B31" s="97" t="s">
        <v>69</v>
      </c>
      <c r="J31" s="107"/>
    </row>
    <row r="32" spans="1:10" ht="13" x14ac:dyDescent="0.3">
      <c r="A32" s="102" t="s">
        <v>39</v>
      </c>
      <c r="C32" s="97"/>
      <c r="J32" s="107"/>
    </row>
    <row r="33" spans="1:10" ht="13" x14ac:dyDescent="0.3">
      <c r="A33" s="101">
        <f>A29+1</f>
        <v>18</v>
      </c>
      <c r="C33" s="98" t="s">
        <v>70</v>
      </c>
      <c r="G33" s="98" t="s">
        <v>71</v>
      </c>
      <c r="H33" s="98" t="str">
        <f>"Instruction 1, Line "&amp;B98&amp;""</f>
        <v>Instruction 1, Line j</v>
      </c>
      <c r="J33" s="115">
        <f>E98</f>
        <v>7.2499706024635166E-2</v>
      </c>
    </row>
    <row r="34" spans="1:10" ht="13" x14ac:dyDescent="0.3">
      <c r="A34" s="101">
        <f>A33+1</f>
        <v>19</v>
      </c>
      <c r="C34" s="98" t="s">
        <v>72</v>
      </c>
      <c r="H34" s="98" t="str">
        <f>"Line "&amp;A29&amp;" * Line "&amp;A33&amp;""</f>
        <v>Line 17 * Line 18</v>
      </c>
      <c r="J34" s="110">
        <f>J29*J33</f>
        <v>392934497.25777328</v>
      </c>
    </row>
    <row r="35" spans="1:10" ht="13" x14ac:dyDescent="0.3">
      <c r="A35" s="101"/>
      <c r="B35" s="103"/>
    </row>
    <row r="36" spans="1:10" ht="13" x14ac:dyDescent="0.3">
      <c r="A36" s="101"/>
      <c r="B36" s="97" t="s">
        <v>73</v>
      </c>
    </row>
    <row r="37" spans="1:10" ht="13" x14ac:dyDescent="0.3">
      <c r="A37" s="101"/>
      <c r="B37" s="103"/>
    </row>
    <row r="38" spans="1:10" ht="13" x14ac:dyDescent="0.3">
      <c r="A38" s="101">
        <f>A34+1</f>
        <v>20</v>
      </c>
      <c r="C38" s="98" t="s">
        <v>74</v>
      </c>
      <c r="J38" s="110">
        <f>(((J29*J42) + J45) *(J43/(1-J43)))+(J44/(1-J43))</f>
        <v>201958885.06201071</v>
      </c>
    </row>
    <row r="39" spans="1:10" ht="13" x14ac:dyDescent="0.3">
      <c r="A39" s="101"/>
    </row>
    <row r="40" spans="1:10" ht="13" x14ac:dyDescent="0.3">
      <c r="A40" s="101"/>
      <c r="D40" s="98" t="s">
        <v>75</v>
      </c>
    </row>
    <row r="41" spans="1:10" ht="13" x14ac:dyDescent="0.3">
      <c r="A41" s="101">
        <f>A38+1</f>
        <v>21</v>
      </c>
      <c r="D41" s="103" t="s">
        <v>76</v>
      </c>
      <c r="H41" s="98" t="str">
        <f>"Line "&amp;A29&amp;""</f>
        <v>Line 17</v>
      </c>
      <c r="J41" s="110">
        <f>J29</f>
        <v>5419808145.4875889</v>
      </c>
    </row>
    <row r="42" spans="1:10" ht="13" x14ac:dyDescent="0.3">
      <c r="A42" s="101">
        <f>A41+1</f>
        <v>22</v>
      </c>
      <c r="D42" s="103" t="s">
        <v>77</v>
      </c>
      <c r="G42" s="98" t="s">
        <v>78</v>
      </c>
      <c r="H42" s="98" t="str">
        <f>"Instruction 1, Line "&amp;B103&amp;""</f>
        <v>Instruction 1, Line k</v>
      </c>
      <c r="J42" s="115">
        <f>E103</f>
        <v>5.2592059258897372E-2</v>
      </c>
    </row>
    <row r="43" spans="1:10" ht="13" x14ac:dyDescent="0.3">
      <c r="A43" s="101">
        <f>A42+1</f>
        <v>23</v>
      </c>
      <c r="D43" s="103" t="s">
        <v>79</v>
      </c>
      <c r="H43" s="98" t="str">
        <f>"1-Base TRR L "&amp;'[15]1-BaseTRR'!A102&amp;""</f>
        <v>1-Base TRR L 58</v>
      </c>
      <c r="J43" s="115">
        <f>'[15]1-BaseTRR'!K102</f>
        <v>0.40745999999999999</v>
      </c>
    </row>
    <row r="44" spans="1:10" ht="13" x14ac:dyDescent="0.3">
      <c r="A44" s="101">
        <f>A43+1</f>
        <v>24</v>
      </c>
      <c r="D44" s="103" t="s">
        <v>80</v>
      </c>
      <c r="H44" s="98" t="str">
        <f>"1-Base TRR L "&amp;'[15]1-BaseTRR'!A108&amp;""</f>
        <v>1-Base TRR L 62</v>
      </c>
      <c r="J44" s="107">
        <f>'[15]1-BaseTRR'!K108</f>
        <v>2086200</v>
      </c>
    </row>
    <row r="45" spans="1:10" ht="13" x14ac:dyDescent="0.3">
      <c r="A45" s="101">
        <f>A44+1</f>
        <v>25</v>
      </c>
      <c r="D45" s="103" t="s">
        <v>81</v>
      </c>
      <c r="H45" s="98" t="str">
        <f>"1-Base TRR L "&amp;'[15]1-BaseTRR'!A112&amp;""</f>
        <v>1-Base TRR L 64</v>
      </c>
      <c r="J45" s="107">
        <f>'[15]1-BaseTRR'!K119</f>
        <v>3535511</v>
      </c>
    </row>
    <row r="46" spans="1:10" ht="13" x14ac:dyDescent="0.3">
      <c r="A46" s="101"/>
      <c r="B46" s="103"/>
    </row>
    <row r="47" spans="1:10" ht="13" x14ac:dyDescent="0.3">
      <c r="A47" s="101"/>
      <c r="B47" s="97" t="s">
        <v>82</v>
      </c>
    </row>
    <row r="48" spans="1:10" ht="13" x14ac:dyDescent="0.3">
      <c r="A48" s="101">
        <f>A45+1</f>
        <v>26</v>
      </c>
      <c r="B48" s="103"/>
      <c r="C48" s="98" t="s">
        <v>83</v>
      </c>
      <c r="H48" s="98" t="str">
        <f>"1-Base TRR L "&amp;'[15]1-BaseTRR'!A124&amp;""</f>
        <v>1-Base TRR L 65</v>
      </c>
      <c r="J48" s="107">
        <f>'[15]1-BaseTRR'!K124</f>
        <v>78644833.663867712</v>
      </c>
    </row>
    <row r="49" spans="1:10" ht="13" x14ac:dyDescent="0.3">
      <c r="A49" s="101">
        <f t="shared" ref="A49:A60" si="0">A48+1</f>
        <v>27</v>
      </c>
      <c r="B49" s="103"/>
      <c r="C49" s="98" t="s">
        <v>84</v>
      </c>
      <c r="H49" s="98" t="str">
        <f>"1-Base TRR L "&amp;'[15]1-BaseTRR'!A125&amp;""</f>
        <v>1-Base TRR L 66</v>
      </c>
      <c r="J49" s="110">
        <f>'[15]1-BaseTRR'!K125</f>
        <v>46550678.557848051</v>
      </c>
    </row>
    <row r="50" spans="1:10" ht="13" x14ac:dyDescent="0.3">
      <c r="A50" s="101" t="s">
        <v>154</v>
      </c>
      <c r="B50" s="103"/>
      <c r="C50" s="98" t="s">
        <v>155</v>
      </c>
      <c r="H50" s="98" t="str">
        <f>"35-PBOPs L "&amp;'[15]35-PBOPs'!A38&amp;""</f>
        <v>35-PBOPs L 14</v>
      </c>
      <c r="J50" s="107">
        <f>'[15]35-PBOPs'!G38</f>
        <v>-6504.559255276572</v>
      </c>
    </row>
    <row r="51" spans="1:10" ht="13" x14ac:dyDescent="0.3">
      <c r="A51" s="101">
        <f>A49+1</f>
        <v>28</v>
      </c>
      <c r="B51" s="103"/>
      <c r="C51" s="98" t="s">
        <v>85</v>
      </c>
      <c r="H51" s="98" t="str">
        <f>"1-Base TRR L "&amp;'[15]1-BaseTRR'!A126&amp;""</f>
        <v>1-Base TRR L 67</v>
      </c>
      <c r="J51" s="107">
        <f>'[15]1-BaseTRR'!K126</f>
        <v>6116850.9299999997</v>
      </c>
    </row>
    <row r="52" spans="1:10" ht="13" x14ac:dyDescent="0.3">
      <c r="A52" s="101">
        <f t="shared" si="0"/>
        <v>29</v>
      </c>
      <c r="B52" s="103"/>
      <c r="C52" s="98" t="s">
        <v>86</v>
      </c>
      <c r="H52" s="98" t="str">
        <f>"1-Base TRR L "&amp;'[15]1-BaseTRR'!A127&amp;""</f>
        <v>1-Base TRR L 68</v>
      </c>
      <c r="J52" s="107">
        <f>'[15]1-BaseTRR'!K127</f>
        <v>239582730.61420554</v>
      </c>
    </row>
    <row r="53" spans="1:10" ht="13" x14ac:dyDescent="0.3">
      <c r="A53" s="101">
        <f t="shared" si="0"/>
        <v>30</v>
      </c>
      <c r="B53" s="103"/>
      <c r="C53" s="98" t="s">
        <v>87</v>
      </c>
      <c r="H53" s="98" t="str">
        <f>"1-Base TRR L "&amp;'[15]1-BaseTRR'!A128&amp;""</f>
        <v>1-Base TRR L 69</v>
      </c>
      <c r="J53" s="107">
        <f>'[15]1-BaseTRR'!K128</f>
        <v>0</v>
      </c>
    </row>
    <row r="54" spans="1:10" ht="13" x14ac:dyDescent="0.3">
      <c r="A54" s="101">
        <f t="shared" si="0"/>
        <v>31</v>
      </c>
      <c r="B54" s="103"/>
      <c r="C54" s="98" t="s">
        <v>88</v>
      </c>
      <c r="H54" s="98" t="str">
        <f>"1-Base TRR L "&amp;'[15]1-BaseTRR'!A129&amp;""</f>
        <v>1-Base TRR L 70</v>
      </c>
      <c r="J54" s="107">
        <f>'[15]1-BaseTRR'!K129</f>
        <v>60990526.802731596</v>
      </c>
    </row>
    <row r="55" spans="1:10" ht="13" x14ac:dyDescent="0.3">
      <c r="A55" s="101">
        <f t="shared" si="0"/>
        <v>32</v>
      </c>
      <c r="B55" s="103"/>
      <c r="C55" s="98" t="s">
        <v>89</v>
      </c>
      <c r="H55" s="98" t="str">
        <f>"1-Base TRR L "&amp;'[15]1-BaseTRR'!A130&amp;""</f>
        <v>1-Base TRR L 71</v>
      </c>
      <c r="J55" s="107">
        <f>'[15]1-BaseTRR'!K130</f>
        <v>-58832605.54180719</v>
      </c>
    </row>
    <row r="56" spans="1:10" ht="13" x14ac:dyDescent="0.3">
      <c r="A56" s="101">
        <f t="shared" si="0"/>
        <v>33</v>
      </c>
      <c r="B56" s="103"/>
      <c r="C56" s="98" t="s">
        <v>90</v>
      </c>
      <c r="H56" s="98" t="str">
        <f>"Line "&amp;A34&amp;""</f>
        <v>Line 19</v>
      </c>
      <c r="J56" s="110">
        <f>J34</f>
        <v>392934497.25777328</v>
      </c>
    </row>
    <row r="57" spans="1:10" ht="13" x14ac:dyDescent="0.3">
      <c r="A57" s="101">
        <f t="shared" si="0"/>
        <v>34</v>
      </c>
      <c r="B57" s="103"/>
      <c r="C57" s="98" t="s">
        <v>91</v>
      </c>
      <c r="H57" s="98" t="str">
        <f>"Line "&amp;A38&amp;""</f>
        <v>Line 20</v>
      </c>
      <c r="J57" s="110">
        <f>J38</f>
        <v>201958885.06201071</v>
      </c>
    </row>
    <row r="58" spans="1:10" ht="13" x14ac:dyDescent="0.3">
      <c r="A58" s="101">
        <f t="shared" si="0"/>
        <v>35</v>
      </c>
      <c r="B58" s="103"/>
      <c r="C58" s="98" t="s">
        <v>92</v>
      </c>
      <c r="H58" s="98" t="str">
        <f>"1-Base TRR L "&amp;'[15]1-BaseTRR'!A133&amp;""</f>
        <v>1-Base TRR L 74</v>
      </c>
      <c r="J58" s="107">
        <f>'[15]1-BaseTRR'!K133</f>
        <v>0</v>
      </c>
    </row>
    <row r="59" spans="1:10" ht="13" x14ac:dyDescent="0.3">
      <c r="A59" s="101">
        <f t="shared" si="0"/>
        <v>36</v>
      </c>
      <c r="B59" s="103"/>
      <c r="C59" s="116" t="s">
        <v>93</v>
      </c>
      <c r="D59" s="116"/>
      <c r="H59" s="98" t="str">
        <f>"1-Base TRR L "&amp;'[15]1-BaseTRR'!A134&amp;""</f>
        <v>1-Base TRR L 75</v>
      </c>
      <c r="J59" s="113">
        <f>'[15]1-BaseTRR'!K134</f>
        <v>0</v>
      </c>
    </row>
    <row r="60" spans="1:10" ht="13" x14ac:dyDescent="0.3">
      <c r="A60" s="101">
        <f t="shared" si="0"/>
        <v>37</v>
      </c>
      <c r="B60" s="103"/>
      <c r="C60" s="98" t="s">
        <v>94</v>
      </c>
      <c r="H60" s="98" t="str">
        <f>"Sum Line "&amp;A48&amp;" to Line "&amp;A59&amp;""</f>
        <v>Sum Line 26 to Line 36</v>
      </c>
      <c r="J60" s="110">
        <f>SUM(J48:J59)</f>
        <v>967939892.7873745</v>
      </c>
    </row>
    <row r="61" spans="1:10" ht="13" x14ac:dyDescent="0.3">
      <c r="A61" s="101"/>
      <c r="B61" s="103"/>
      <c r="J61" s="107"/>
    </row>
    <row r="62" spans="1:10" ht="12.75" customHeight="1" x14ac:dyDescent="0.3">
      <c r="A62" s="101">
        <f>A60+1</f>
        <v>38</v>
      </c>
      <c r="B62" s="103"/>
      <c r="C62" s="98" t="s">
        <v>95</v>
      </c>
      <c r="H62" s="98" t="str">
        <f>"15-IncentiveAdder L "&amp;'[15]15-IncentiveAdder'!A59&amp;""</f>
        <v>15-IncentiveAdder L 20</v>
      </c>
      <c r="J62" s="107">
        <f>'[15]15-IncentiveAdder'!G59</f>
        <v>34932082.703325152</v>
      </c>
    </row>
    <row r="63" spans="1:10" ht="13" x14ac:dyDescent="0.3">
      <c r="A63" s="101"/>
      <c r="B63" s="103"/>
      <c r="J63" s="107"/>
    </row>
    <row r="64" spans="1:10" ht="13" x14ac:dyDescent="0.3">
      <c r="A64" s="101">
        <f>A62+1</f>
        <v>39</v>
      </c>
      <c r="B64" s="103"/>
      <c r="C64" s="98" t="s">
        <v>96</v>
      </c>
      <c r="H64" s="98" t="str">
        <f>"Line "&amp;A60&amp;" + Line "&amp;A62&amp;""</f>
        <v>Line 37 + Line 38</v>
      </c>
      <c r="J64" s="110">
        <f>J60+J62</f>
        <v>1002871975.4906996</v>
      </c>
    </row>
    <row r="65" spans="1:13" ht="13" x14ac:dyDescent="0.3">
      <c r="A65" s="101"/>
      <c r="B65" s="103"/>
      <c r="J65" s="107"/>
    </row>
    <row r="66" spans="1:13" ht="13" x14ac:dyDescent="0.3">
      <c r="A66" s="101"/>
      <c r="B66" s="99" t="s">
        <v>97</v>
      </c>
      <c r="J66" s="107"/>
    </row>
    <row r="67" spans="1:13" ht="13.5" thickBot="1" x14ac:dyDescent="0.35">
      <c r="A67" s="102" t="s">
        <v>39</v>
      </c>
      <c r="B67" s="106"/>
      <c r="G67" s="104" t="s">
        <v>98</v>
      </c>
    </row>
    <row r="68" spans="1:13" ht="13" x14ac:dyDescent="0.3">
      <c r="A68" s="101">
        <f>A64+1</f>
        <v>40</v>
      </c>
      <c r="B68" s="106"/>
      <c r="D68" s="117" t="s">
        <v>99</v>
      </c>
      <c r="E68" s="110">
        <f>J64</f>
        <v>1002871975.4906996</v>
      </c>
      <c r="G68" s="98" t="str">
        <f>"Line "&amp;A64&amp;""</f>
        <v>Line 39</v>
      </c>
      <c r="J68" s="118" t="s">
        <v>100</v>
      </c>
    </row>
    <row r="69" spans="1:13" ht="13" x14ac:dyDescent="0.3">
      <c r="A69" s="101">
        <f>A68+1</f>
        <v>41</v>
      </c>
      <c r="B69" s="106"/>
      <c r="D69" s="117" t="s">
        <v>101</v>
      </c>
      <c r="E69" s="119">
        <f>'[15]28-FFU'!D22</f>
        <v>9.2057000000000007E-3</v>
      </c>
      <c r="G69" s="98" t="str">
        <f>"28-FFU, L "&amp;'[15]28-FFU'!A22&amp;""</f>
        <v>28-FFU, L 5</v>
      </c>
      <c r="J69" s="120" t="s">
        <v>280</v>
      </c>
    </row>
    <row r="70" spans="1:13" ht="13" x14ac:dyDescent="0.3">
      <c r="A70" s="101">
        <f>A69+1</f>
        <v>42</v>
      </c>
      <c r="B70" s="106"/>
      <c r="D70" s="117" t="s">
        <v>102</v>
      </c>
      <c r="E70" s="110">
        <f>E68*'[15]28-FFU'!D22</f>
        <v>9232138.5447747353</v>
      </c>
      <c r="G70" s="98" t="str">
        <f>"Line "&amp;A68&amp;" * Line "&amp;A69&amp;""</f>
        <v>Line 40 * Line 41</v>
      </c>
      <c r="J70" s="121">
        <f>E73</f>
        <v>1014518628.6036658</v>
      </c>
    </row>
    <row r="71" spans="1:13" ht="24" customHeight="1" x14ac:dyDescent="0.3">
      <c r="A71" s="101">
        <f>A70+1</f>
        <v>43</v>
      </c>
      <c r="B71" s="106"/>
      <c r="D71" s="117" t="s">
        <v>103</v>
      </c>
      <c r="E71" s="119">
        <f>'[15]28-FFU'!E22</f>
        <v>2.4076000000000002E-3</v>
      </c>
      <c r="G71" s="98" t="str">
        <f>"28-FFU, L "&amp;'[15]28-FFU'!A22&amp;""</f>
        <v>28-FFU, L 5</v>
      </c>
      <c r="J71" s="122">
        <v>1014519565.1585541</v>
      </c>
      <c r="K71" s="197" t="s">
        <v>316</v>
      </c>
      <c r="L71" s="198"/>
      <c r="M71" s="165"/>
    </row>
    <row r="72" spans="1:13" ht="13.5" customHeight="1" thickBot="1" x14ac:dyDescent="0.35">
      <c r="A72" s="101">
        <f>A71+1</f>
        <v>44</v>
      </c>
      <c r="B72" s="106"/>
      <c r="D72" s="117" t="s">
        <v>104</v>
      </c>
      <c r="E72" s="110">
        <f>E68*'[15]28-FFU'!E22</f>
        <v>2414514.5681914086</v>
      </c>
      <c r="G72" s="98" t="str">
        <f>"Line "&amp;A70&amp;" * Line "&amp;A71&amp;""</f>
        <v>Line 42 * Line 43</v>
      </c>
      <c r="J72" s="123">
        <f>J70-J71</f>
        <v>-936.5548882484436</v>
      </c>
      <c r="K72" s="163"/>
      <c r="L72" s="164"/>
    </row>
    <row r="73" spans="1:13" ht="13" x14ac:dyDescent="0.3">
      <c r="A73" s="101">
        <f>A72+1</f>
        <v>45</v>
      </c>
      <c r="B73" s="106"/>
      <c r="D73" s="117" t="s">
        <v>105</v>
      </c>
      <c r="E73" s="110">
        <f>E68+E70+E72</f>
        <v>1014518628.6036658</v>
      </c>
      <c r="G73" s="98" t="str">
        <f>"L "&amp;A68&amp;" + L "&amp;A70&amp;" + L "&amp;A72&amp;""</f>
        <v>L 40 + L 42 + L 44</v>
      </c>
      <c r="K73" s="124">
        <v>-936.5548882484436</v>
      </c>
      <c r="L73" s="98" t="s">
        <v>301</v>
      </c>
    </row>
    <row r="74" spans="1:13" ht="13" x14ac:dyDescent="0.3">
      <c r="B74" s="99" t="s">
        <v>106</v>
      </c>
      <c r="D74" s="117"/>
      <c r="E74" s="107"/>
      <c r="H74" s="125"/>
      <c r="K74" s="107"/>
    </row>
    <row r="75" spans="1:13" ht="13" x14ac:dyDescent="0.3">
      <c r="A75" s="101"/>
      <c r="B75" s="98" t="s">
        <v>107</v>
      </c>
      <c r="C75" s="99"/>
      <c r="D75" s="117"/>
      <c r="E75" s="107"/>
    </row>
    <row r="76" spans="1:13" ht="13" x14ac:dyDescent="0.3">
      <c r="A76" s="101"/>
      <c r="B76" s="98" t="s">
        <v>108</v>
      </c>
      <c r="C76" s="99"/>
      <c r="D76" s="117"/>
      <c r="E76" s="107"/>
    </row>
    <row r="77" spans="1:13" ht="13" x14ac:dyDescent="0.3">
      <c r="A77" s="101"/>
      <c r="B77" s="106" t="s">
        <v>109</v>
      </c>
      <c r="D77" s="117"/>
      <c r="E77" s="107"/>
    </row>
    <row r="78" spans="1:13" ht="13" x14ac:dyDescent="0.3">
      <c r="A78" s="101"/>
      <c r="B78" s="106" t="s">
        <v>110</v>
      </c>
      <c r="D78" s="117"/>
      <c r="E78" s="107"/>
    </row>
    <row r="79" spans="1:13" ht="13" x14ac:dyDescent="0.3">
      <c r="A79" s="101"/>
    </row>
    <row r="80" spans="1:13" ht="13" x14ac:dyDescent="0.3">
      <c r="A80" s="101"/>
      <c r="B80" s="98" t="s">
        <v>111</v>
      </c>
    </row>
    <row r="81" spans="1:10" ht="13" x14ac:dyDescent="0.3">
      <c r="A81" s="101"/>
      <c r="C81" s="98" t="s">
        <v>112</v>
      </c>
    </row>
    <row r="82" spans="1:10" ht="13" x14ac:dyDescent="0.3">
      <c r="A82" s="101"/>
      <c r="J82" s="101" t="s">
        <v>113</v>
      </c>
    </row>
    <row r="83" spans="1:10" ht="13" x14ac:dyDescent="0.3">
      <c r="A83" s="101"/>
      <c r="E83" s="105" t="s">
        <v>114</v>
      </c>
      <c r="F83" s="104" t="s">
        <v>98</v>
      </c>
      <c r="G83" s="105" t="s">
        <v>115</v>
      </c>
      <c r="H83" s="105" t="s">
        <v>116</v>
      </c>
      <c r="J83" s="105" t="s">
        <v>117</v>
      </c>
    </row>
    <row r="84" spans="1:10" ht="13" x14ac:dyDescent="0.3">
      <c r="B84" s="126" t="s">
        <v>118</v>
      </c>
      <c r="C84" s="98" t="s">
        <v>119</v>
      </c>
      <c r="E84" s="127">
        <f>'[15]1-BaseTRR'!K85</f>
        <v>9.8000000000000004E-2</v>
      </c>
      <c r="F84" s="98" t="str">
        <f>"1-Base TRR L "&amp;'[15]1-BaseTRR'!A85&amp;""</f>
        <v>1-Base TRR L 49</v>
      </c>
      <c r="G84" s="128" t="s">
        <v>281</v>
      </c>
      <c r="H84" s="129" t="s">
        <v>282</v>
      </c>
      <c r="J84" s="130">
        <v>365</v>
      </c>
    </row>
    <row r="85" spans="1:10" ht="13" x14ac:dyDescent="0.3">
      <c r="B85" s="126" t="s">
        <v>120</v>
      </c>
      <c r="C85" s="98" t="s">
        <v>121</v>
      </c>
      <c r="E85" s="131">
        <v>9.8000000000000004E-2</v>
      </c>
      <c r="F85" s="98" t="s">
        <v>122</v>
      </c>
      <c r="G85" s="128"/>
      <c r="H85" s="129"/>
      <c r="J85" s="130"/>
    </row>
    <row r="86" spans="1:10" ht="13" x14ac:dyDescent="0.3">
      <c r="B86" s="126" t="s">
        <v>123</v>
      </c>
      <c r="E86" s="132"/>
      <c r="G86" s="133"/>
      <c r="H86" s="133"/>
      <c r="I86" s="117" t="s">
        <v>124</v>
      </c>
      <c r="J86" s="98">
        <f>SUM(J84:J85)</f>
        <v>365</v>
      </c>
    </row>
    <row r="87" spans="1:10" ht="13" x14ac:dyDescent="0.3">
      <c r="B87" s="126" t="s">
        <v>125</v>
      </c>
      <c r="C87" s="98" t="s">
        <v>126</v>
      </c>
      <c r="E87" s="127">
        <f>((E84*J84) + (E85* J85)) / J86</f>
        <v>9.8000000000000004E-2</v>
      </c>
      <c r="F87" s="98" t="s">
        <v>127</v>
      </c>
    </row>
    <row r="88" spans="1:10" ht="13" x14ac:dyDescent="0.3">
      <c r="A88" s="101"/>
    </row>
    <row r="89" spans="1:10" ht="13" x14ac:dyDescent="0.3">
      <c r="A89" s="101"/>
      <c r="B89" s="98" t="s">
        <v>128</v>
      </c>
    </row>
    <row r="90" spans="1:10" ht="13" x14ac:dyDescent="0.3">
      <c r="A90" s="101"/>
      <c r="E90" s="104" t="s">
        <v>98</v>
      </c>
    </row>
    <row r="91" spans="1:10" ht="13" x14ac:dyDescent="0.3">
      <c r="B91" s="126" t="s">
        <v>129</v>
      </c>
      <c r="C91" s="98" t="s">
        <v>130</v>
      </c>
      <c r="E91" s="130" t="s">
        <v>131</v>
      </c>
      <c r="F91" s="130"/>
      <c r="G91" s="130"/>
      <c r="H91" s="130"/>
      <c r="I91" s="130"/>
      <c r="J91" s="130"/>
    </row>
    <row r="92" spans="1:10" ht="13" x14ac:dyDescent="0.3">
      <c r="B92" s="126" t="s">
        <v>132</v>
      </c>
      <c r="C92" s="98" t="s">
        <v>133</v>
      </c>
      <c r="E92" s="130" t="s">
        <v>131</v>
      </c>
      <c r="F92" s="130"/>
      <c r="G92" s="130"/>
      <c r="H92" s="130"/>
      <c r="I92" s="130"/>
      <c r="J92" s="130"/>
    </row>
    <row r="93" spans="1:10" x14ac:dyDescent="0.25">
      <c r="E93" s="133"/>
    </row>
    <row r="94" spans="1:10" ht="13" x14ac:dyDescent="0.3">
      <c r="E94" s="105" t="s">
        <v>114</v>
      </c>
      <c r="F94" s="104" t="s">
        <v>98</v>
      </c>
    </row>
    <row r="95" spans="1:10" ht="13" x14ac:dyDescent="0.3">
      <c r="B95" s="126" t="s">
        <v>134</v>
      </c>
      <c r="C95" s="98" t="s">
        <v>135</v>
      </c>
      <c r="E95" s="115">
        <f>'[15]1-BaseTRR'!K88</f>
        <v>1.9907646765737794E-2</v>
      </c>
      <c r="F95" s="98" t="str">
        <f>"1-Base TRR L "&amp;'[15]1-BaseTRR'!A88&amp;""</f>
        <v>1-Base TRR L 50</v>
      </c>
    </row>
    <row r="96" spans="1:10" ht="13" x14ac:dyDescent="0.3">
      <c r="B96" s="126" t="s">
        <v>136</v>
      </c>
      <c r="C96" s="98" t="s">
        <v>137</v>
      </c>
      <c r="E96" s="115">
        <f>'[15]1-BaseTRR'!K89</f>
        <v>4.9514327156233075E-3</v>
      </c>
      <c r="F96" s="98" t="str">
        <f>"1-Base TRR L "&amp;'[15]1-BaseTRR'!A89&amp;""</f>
        <v>1-Base TRR L 51</v>
      </c>
    </row>
    <row r="97" spans="1:10" ht="13" x14ac:dyDescent="0.3">
      <c r="B97" s="126" t="s">
        <v>138</v>
      </c>
      <c r="C97" s="98" t="s">
        <v>139</v>
      </c>
      <c r="E97" s="134">
        <f>('[15]1-BaseTRR'!K80) * E87</f>
        <v>4.7640626543274063E-2</v>
      </c>
      <c r="F97" s="98" t="str">
        <f>"1-Base TRR L "&amp;'[15]1-BaseTRR'!A80&amp;" * Line d"</f>
        <v>1-Base TRR L 46 * Line d</v>
      </c>
    </row>
    <row r="98" spans="1:10" ht="13" x14ac:dyDescent="0.3">
      <c r="B98" s="101" t="s">
        <v>140</v>
      </c>
      <c r="C98" s="103" t="s">
        <v>70</v>
      </c>
      <c r="E98" s="115">
        <f>SUM(E95:E97)</f>
        <v>7.2499706024635166E-2</v>
      </c>
      <c r="F98" s="107" t="str">
        <f>"Sum of Lines "&amp;B92&amp;" to "&amp;B96&amp;""</f>
        <v>Sum of Lines f to h</v>
      </c>
      <c r="G98" s="135"/>
      <c r="J98" s="136"/>
    </row>
    <row r="99" spans="1:10" ht="13" x14ac:dyDescent="0.3">
      <c r="A99" s="101"/>
      <c r="C99" s="137"/>
      <c r="D99" s="138"/>
      <c r="E99" s="107"/>
      <c r="F99" s="107"/>
      <c r="G99" s="135"/>
      <c r="H99" s="107"/>
      <c r="J99" s="136"/>
    </row>
    <row r="100" spans="1:10" ht="13" x14ac:dyDescent="0.3">
      <c r="A100" s="101"/>
      <c r="B100" s="98" t="s">
        <v>141</v>
      </c>
    </row>
    <row r="101" spans="1:10" ht="13" x14ac:dyDescent="0.3">
      <c r="A101" s="101"/>
    </row>
    <row r="102" spans="1:10" ht="13" x14ac:dyDescent="0.3">
      <c r="A102" s="101"/>
      <c r="E102" s="105" t="s">
        <v>114</v>
      </c>
      <c r="F102" s="104" t="s">
        <v>98</v>
      </c>
    </row>
    <row r="103" spans="1:10" ht="13" x14ac:dyDescent="0.3">
      <c r="B103" s="126" t="s">
        <v>142</v>
      </c>
      <c r="E103" s="115">
        <f>E96+E97</f>
        <v>5.2592059258897372E-2</v>
      </c>
      <c r="F103" s="107" t="str">
        <f>"Sum of Lines "&amp;B95&amp;" to "&amp;B96&amp;""</f>
        <v>Sum of Lines g to h</v>
      </c>
    </row>
    <row r="104" spans="1:10" ht="13" x14ac:dyDescent="0.3">
      <c r="A104" s="101"/>
      <c r="E104" s="115"/>
      <c r="F104" s="107"/>
    </row>
    <row r="105" spans="1:10" ht="13" x14ac:dyDescent="0.3">
      <c r="A105" s="101"/>
      <c r="B105" s="106" t="s">
        <v>143</v>
      </c>
      <c r="E105" s="135"/>
      <c r="F105" s="135"/>
      <c r="G105" s="135"/>
      <c r="H105" s="107"/>
    </row>
    <row r="106" spans="1:10" ht="13" x14ac:dyDescent="0.3">
      <c r="A106" s="101"/>
      <c r="B106" s="98" t="s">
        <v>144</v>
      </c>
    </row>
    <row r="107" spans="1:10" ht="13" x14ac:dyDescent="0.3">
      <c r="A107" s="101"/>
      <c r="B107" s="98" t="s">
        <v>145</v>
      </c>
      <c r="D107" s="101"/>
      <c r="E107" s="101"/>
      <c r="F107" s="101"/>
      <c r="G107" s="101"/>
      <c r="H107" s="101"/>
    </row>
    <row r="108" spans="1:10" ht="13" x14ac:dyDescent="0.3">
      <c r="A108" s="101"/>
      <c r="B108" s="106" t="s">
        <v>146</v>
      </c>
      <c r="D108" s="101"/>
      <c r="E108" s="101"/>
      <c r="F108" s="101"/>
      <c r="G108" s="101"/>
      <c r="H108" s="101"/>
    </row>
    <row r="109" spans="1:10" ht="13" x14ac:dyDescent="0.3">
      <c r="A109" s="101"/>
      <c r="B109" s="98" t="s">
        <v>147</v>
      </c>
      <c r="C109" s="139"/>
      <c r="D109" s="139"/>
      <c r="E109" s="105"/>
      <c r="F109" s="105"/>
      <c r="G109" s="105"/>
      <c r="H109" s="105"/>
    </row>
    <row r="110" spans="1:10" ht="13" x14ac:dyDescent="0.3">
      <c r="A110" s="101"/>
    </row>
    <row r="111" spans="1:10" ht="13" x14ac:dyDescent="0.3">
      <c r="A111" s="101"/>
    </row>
    <row r="112" spans="1:10" ht="13" x14ac:dyDescent="0.3">
      <c r="A112" s="101"/>
    </row>
    <row r="113" spans="1:10" ht="13" x14ac:dyDescent="0.3">
      <c r="A113" s="101"/>
      <c r="C113" s="137"/>
      <c r="E113" s="107"/>
      <c r="F113" s="107"/>
      <c r="H113" s="107"/>
      <c r="J113" s="136"/>
    </row>
    <row r="114" spans="1:10" ht="13" x14ac:dyDescent="0.3">
      <c r="A114" s="101"/>
      <c r="C114" s="137"/>
      <c r="E114" s="107"/>
      <c r="F114" s="107"/>
      <c r="H114" s="107"/>
      <c r="J114" s="136"/>
    </row>
    <row r="115" spans="1:10" ht="13" x14ac:dyDescent="0.3">
      <c r="A115" s="102"/>
      <c r="C115" s="137"/>
      <c r="E115" s="107"/>
      <c r="F115" s="107"/>
      <c r="H115" s="107"/>
      <c r="J115" s="136"/>
    </row>
    <row r="116" spans="1:10" ht="13" x14ac:dyDescent="0.3">
      <c r="A116" s="101"/>
      <c r="D116" s="140"/>
      <c r="E116" s="107"/>
      <c r="F116" s="107"/>
      <c r="H116" s="107"/>
      <c r="J116" s="136"/>
    </row>
    <row r="117" spans="1:10" ht="13" x14ac:dyDescent="0.3">
      <c r="A117" s="101"/>
      <c r="C117" s="137"/>
      <c r="D117" s="117"/>
      <c r="E117" s="113"/>
      <c r="F117" s="107"/>
      <c r="H117" s="107"/>
      <c r="J117" s="136"/>
    </row>
    <row r="118" spans="1:10" ht="13" x14ac:dyDescent="0.3">
      <c r="A118" s="101"/>
      <c r="C118" s="137"/>
      <c r="D118" s="117"/>
      <c r="E118" s="107"/>
      <c r="F118" s="107"/>
      <c r="H118" s="107"/>
      <c r="J118" s="136"/>
    </row>
    <row r="119" spans="1:10" ht="13" x14ac:dyDescent="0.3">
      <c r="A119" s="101"/>
    </row>
    <row r="120" spans="1:10" ht="13" x14ac:dyDescent="0.3">
      <c r="A120" s="101"/>
      <c r="B120" s="97"/>
    </row>
    <row r="121" spans="1:10" ht="13" x14ac:dyDescent="0.3">
      <c r="A121" s="101"/>
    </row>
    <row r="122" spans="1:10" ht="13" x14ac:dyDescent="0.3">
      <c r="A122" s="101"/>
    </row>
    <row r="123" spans="1:10" ht="13" x14ac:dyDescent="0.3">
      <c r="A123" s="101"/>
      <c r="F123" s="101"/>
    </row>
    <row r="124" spans="1:10" ht="13" x14ac:dyDescent="0.3">
      <c r="A124" s="101"/>
      <c r="F124" s="101"/>
    </row>
    <row r="125" spans="1:10" ht="13" x14ac:dyDescent="0.3">
      <c r="A125" s="101"/>
      <c r="D125" s="101"/>
      <c r="E125" s="101"/>
      <c r="F125" s="101"/>
      <c r="H125" s="101"/>
    </row>
    <row r="126" spans="1:10" ht="13" x14ac:dyDescent="0.3">
      <c r="A126" s="101"/>
      <c r="D126" s="101"/>
      <c r="E126" s="101"/>
      <c r="F126" s="101"/>
      <c r="G126" s="101"/>
      <c r="H126" s="126"/>
    </row>
    <row r="127" spans="1:10" ht="13" x14ac:dyDescent="0.3">
      <c r="A127" s="102"/>
      <c r="C127" s="139"/>
      <c r="D127" s="139"/>
      <c r="E127" s="105"/>
      <c r="F127" s="141"/>
      <c r="G127" s="105"/>
      <c r="H127" s="126"/>
    </row>
    <row r="128" spans="1:10" ht="13" x14ac:dyDescent="0.3">
      <c r="A128" s="101"/>
      <c r="C128" s="137"/>
      <c r="D128" s="138"/>
      <c r="E128" s="107"/>
      <c r="F128" s="107"/>
      <c r="G128" s="127"/>
      <c r="H128" s="107"/>
    </row>
    <row r="129" spans="1:8" ht="13" x14ac:dyDescent="0.3">
      <c r="A129" s="101"/>
      <c r="C129" s="137"/>
      <c r="D129" s="138"/>
      <c r="E129" s="107"/>
      <c r="F129" s="107"/>
      <c r="G129" s="127"/>
      <c r="H129" s="107"/>
    </row>
    <row r="130" spans="1:8" ht="13" x14ac:dyDescent="0.3">
      <c r="A130" s="101"/>
      <c r="C130" s="137"/>
      <c r="D130" s="138"/>
      <c r="E130" s="107"/>
      <c r="F130" s="107"/>
      <c r="G130" s="127"/>
      <c r="H130" s="107"/>
    </row>
    <row r="131" spans="1:8" ht="13" x14ac:dyDescent="0.3">
      <c r="A131" s="101"/>
      <c r="C131" s="137"/>
      <c r="D131" s="138"/>
      <c r="E131" s="107"/>
      <c r="F131" s="107"/>
      <c r="G131" s="127"/>
      <c r="H131" s="107"/>
    </row>
    <row r="132" spans="1:8" ht="13" x14ac:dyDescent="0.3">
      <c r="A132" s="101"/>
      <c r="C132" s="137"/>
      <c r="D132" s="138"/>
      <c r="E132" s="107"/>
      <c r="F132" s="107"/>
      <c r="G132" s="127"/>
      <c r="H132" s="107"/>
    </row>
    <row r="133" spans="1:8" ht="13" x14ac:dyDescent="0.3">
      <c r="A133" s="101"/>
      <c r="C133" s="137"/>
      <c r="D133" s="138"/>
      <c r="E133" s="107"/>
      <c r="F133" s="107"/>
      <c r="G133" s="127"/>
      <c r="H133" s="107"/>
    </row>
    <row r="134" spans="1:8" ht="13" x14ac:dyDescent="0.3">
      <c r="A134" s="101"/>
      <c r="C134" s="137"/>
      <c r="D134" s="138"/>
      <c r="E134" s="107"/>
      <c r="F134" s="107"/>
      <c r="G134" s="127"/>
      <c r="H134" s="107"/>
    </row>
    <row r="135" spans="1:8" ht="13" x14ac:dyDescent="0.3">
      <c r="A135" s="101"/>
      <c r="C135" s="137"/>
      <c r="D135" s="138"/>
      <c r="E135" s="107"/>
      <c r="F135" s="107"/>
      <c r="G135" s="127"/>
      <c r="H135" s="107"/>
    </row>
    <row r="136" spans="1:8" ht="13" x14ac:dyDescent="0.3">
      <c r="A136" s="101"/>
      <c r="C136" s="137"/>
      <c r="D136" s="138"/>
      <c r="E136" s="107"/>
      <c r="F136" s="107"/>
      <c r="G136" s="127"/>
      <c r="H136" s="107"/>
    </row>
    <row r="137" spans="1:8" ht="13" x14ac:dyDescent="0.3">
      <c r="A137" s="101"/>
      <c r="C137" s="137"/>
      <c r="D137" s="138"/>
      <c r="E137" s="107"/>
      <c r="F137" s="107"/>
      <c r="G137" s="127"/>
      <c r="H137" s="107"/>
    </row>
    <row r="138" spans="1:8" ht="13" x14ac:dyDescent="0.3">
      <c r="A138" s="101"/>
      <c r="C138" s="137"/>
      <c r="D138" s="138"/>
      <c r="E138" s="107"/>
      <c r="F138" s="107"/>
      <c r="G138" s="127"/>
      <c r="H138" s="107"/>
    </row>
    <row r="139" spans="1:8" ht="13" x14ac:dyDescent="0.3">
      <c r="A139" s="101"/>
      <c r="C139" s="137"/>
      <c r="D139" s="138"/>
      <c r="E139" s="107"/>
      <c r="F139" s="107"/>
      <c r="G139" s="127"/>
      <c r="H139" s="113"/>
    </row>
    <row r="140" spans="1:8" ht="13" x14ac:dyDescent="0.3">
      <c r="A140" s="101"/>
      <c r="H140" s="107"/>
    </row>
    <row r="141" spans="1:8" ht="13" x14ac:dyDescent="0.3">
      <c r="A141" s="101"/>
      <c r="C141" s="137"/>
      <c r="D141" s="138"/>
      <c r="F141" s="142"/>
      <c r="G141" s="127"/>
      <c r="H141" s="142"/>
    </row>
    <row r="142" spans="1:8" ht="13" x14ac:dyDescent="0.3">
      <c r="A142" s="101"/>
      <c r="B142" s="97"/>
      <c r="C142" s="137"/>
      <c r="D142" s="138"/>
      <c r="F142" s="142"/>
      <c r="G142" s="127"/>
      <c r="H142" s="142"/>
    </row>
    <row r="143" spans="1:8" ht="13" x14ac:dyDescent="0.3">
      <c r="A143" s="102"/>
      <c r="B143" s="97"/>
      <c r="C143" s="137"/>
      <c r="D143" s="138"/>
      <c r="F143" s="142"/>
      <c r="G143" s="127"/>
      <c r="H143" s="142"/>
    </row>
    <row r="144" spans="1:8" ht="13" x14ac:dyDescent="0.3">
      <c r="A144" s="101"/>
      <c r="C144" s="137"/>
      <c r="D144" s="143"/>
      <c r="E144" s="107"/>
      <c r="F144" s="144"/>
      <c r="G144" s="127"/>
      <c r="H144" s="142"/>
    </row>
    <row r="145" spans="1:8" ht="13" x14ac:dyDescent="0.3">
      <c r="A145" s="101"/>
      <c r="C145" s="137"/>
      <c r="D145" s="117"/>
      <c r="E145" s="107"/>
      <c r="F145" s="144"/>
      <c r="G145" s="127"/>
      <c r="H145" s="142"/>
    </row>
    <row r="146" spans="1:8" ht="13" x14ac:dyDescent="0.3">
      <c r="A146" s="101"/>
      <c r="C146" s="137"/>
      <c r="D146" s="117"/>
      <c r="E146" s="113"/>
      <c r="F146" s="144"/>
      <c r="G146" s="127"/>
      <c r="H146" s="142"/>
    </row>
    <row r="147" spans="1:8" ht="13" x14ac:dyDescent="0.3">
      <c r="A147" s="101"/>
      <c r="C147" s="137"/>
      <c r="D147" s="143"/>
      <c r="E147" s="107"/>
      <c r="F147" s="142"/>
      <c r="G147" s="127"/>
      <c r="H147" s="142"/>
    </row>
    <row r="148" spans="1:8" ht="13" x14ac:dyDescent="0.3">
      <c r="A148" s="101"/>
      <c r="C148" s="137"/>
      <c r="D148" s="138"/>
      <c r="F148" s="142"/>
      <c r="G148" s="127"/>
      <c r="H148" s="142"/>
    </row>
    <row r="149" spans="1:8" ht="13" x14ac:dyDescent="0.3">
      <c r="A149" s="101"/>
    </row>
    <row r="150" spans="1:8" ht="13" x14ac:dyDescent="0.3">
      <c r="A150" s="101"/>
    </row>
    <row r="151" spans="1:8" ht="13" x14ac:dyDescent="0.3">
      <c r="A151" s="101"/>
    </row>
    <row r="152" spans="1:8" ht="13" x14ac:dyDescent="0.3">
      <c r="A152" s="101"/>
      <c r="B152" s="97"/>
    </row>
    <row r="153" spans="1:8" ht="13" x14ac:dyDescent="0.3">
      <c r="A153" s="101"/>
    </row>
    <row r="154" spans="1:8" ht="13" x14ac:dyDescent="0.3">
      <c r="A154" s="101"/>
    </row>
    <row r="155" spans="1:8" ht="13" x14ac:dyDescent="0.3">
      <c r="A155" s="101"/>
    </row>
    <row r="156" spans="1:8" ht="13" x14ac:dyDescent="0.3">
      <c r="A156" s="101"/>
    </row>
    <row r="157" spans="1:8" ht="13" x14ac:dyDescent="0.3">
      <c r="A157" s="101"/>
      <c r="B157" s="97"/>
    </row>
    <row r="158" spans="1:8" ht="13" x14ac:dyDescent="0.3">
      <c r="A158" s="101"/>
    </row>
    <row r="159" spans="1:8" ht="13" x14ac:dyDescent="0.3">
      <c r="A159" s="102"/>
      <c r="C159" s="139"/>
      <c r="D159" s="105"/>
    </row>
    <row r="160" spans="1:8" ht="13" x14ac:dyDescent="0.3">
      <c r="A160" s="101"/>
      <c r="C160" s="137"/>
      <c r="D160" s="145"/>
      <c r="F160" s="115"/>
    </row>
    <row r="161" spans="1:6" ht="13" x14ac:dyDescent="0.3">
      <c r="A161" s="101"/>
      <c r="C161" s="137"/>
      <c r="D161" s="145"/>
      <c r="F161" s="115"/>
    </row>
    <row r="162" spans="1:6" ht="13" x14ac:dyDescent="0.3">
      <c r="A162" s="101"/>
      <c r="C162" s="137"/>
      <c r="D162" s="145"/>
      <c r="F162" s="115"/>
    </row>
    <row r="163" spans="1:6" ht="13" x14ac:dyDescent="0.3">
      <c r="A163" s="101"/>
      <c r="C163" s="137"/>
      <c r="D163" s="145"/>
      <c r="F163" s="115"/>
    </row>
    <row r="164" spans="1:6" ht="13" x14ac:dyDescent="0.3">
      <c r="A164" s="101"/>
      <c r="C164" s="137"/>
      <c r="D164" s="145"/>
      <c r="F164" s="115"/>
    </row>
    <row r="165" spans="1:6" ht="13" x14ac:dyDescent="0.3">
      <c r="A165" s="101"/>
      <c r="C165" s="137"/>
      <c r="D165" s="145"/>
      <c r="F165" s="115"/>
    </row>
    <row r="166" spans="1:6" ht="13" x14ac:dyDescent="0.3">
      <c r="A166" s="101"/>
      <c r="C166" s="137"/>
      <c r="D166" s="145"/>
      <c r="F166" s="115"/>
    </row>
    <row r="167" spans="1:6" ht="13" x14ac:dyDescent="0.3">
      <c r="A167" s="101"/>
      <c r="C167" s="137"/>
      <c r="D167" s="145"/>
      <c r="F167" s="115"/>
    </row>
    <row r="168" spans="1:6" ht="13" x14ac:dyDescent="0.3">
      <c r="A168" s="101"/>
      <c r="C168" s="137"/>
      <c r="D168" s="145"/>
      <c r="F168" s="115"/>
    </row>
    <row r="169" spans="1:6" ht="13" x14ac:dyDescent="0.3">
      <c r="A169" s="101"/>
      <c r="C169" s="137"/>
      <c r="D169" s="145"/>
      <c r="F169" s="115"/>
    </row>
    <row r="170" spans="1:6" ht="13" x14ac:dyDescent="0.3">
      <c r="A170" s="101"/>
      <c r="C170" s="137"/>
      <c r="D170" s="145"/>
      <c r="F170" s="115"/>
    </row>
    <row r="171" spans="1:6" ht="13" x14ac:dyDescent="0.3">
      <c r="A171" s="101"/>
      <c r="C171" s="137"/>
      <c r="D171" s="146"/>
      <c r="F171" s="134"/>
    </row>
    <row r="172" spans="1:6" ht="13" x14ac:dyDescent="0.3">
      <c r="A172" s="101"/>
      <c r="C172" s="140"/>
      <c r="D172" s="145"/>
    </row>
  </sheetData>
  <mergeCells count="1">
    <mergeCell ref="K71:L71"/>
  </mergeCells>
  <phoneticPr fontId="62" type="noConversion"/>
  <pageMargins left="0.75" right="0.75" top="1" bottom="1" header="0.5" footer="0.5"/>
  <pageSetup scale="78" orientation="landscape" cellComments="asDisplayed" r:id="rId1"/>
  <headerFooter alignWithMargins="0">
    <oddHeader>&amp;CSchedule 4
True Up TRR
(TO2019-Attachment 5 TO13 TrueUpTRR)&amp;RTO2021 Draft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277FC-1139-4A26-98A3-709C8D2FDD13}">
  <dimension ref="A1:X113"/>
  <sheetViews>
    <sheetView zoomScaleNormal="100" zoomScaleSheetLayoutView="100" workbookViewId="0"/>
  </sheetViews>
  <sheetFormatPr defaultRowHeight="12.5" x14ac:dyDescent="0.25"/>
  <cols>
    <col min="1" max="1" width="4.7265625" style="98" customWidth="1"/>
    <col min="2" max="2" width="2.7265625" style="98" customWidth="1"/>
    <col min="3" max="3" width="6.7265625" style="98" customWidth="1"/>
    <col min="4" max="4" width="32.54296875" style="98" customWidth="1"/>
    <col min="5" max="5" width="14.7265625" style="98" customWidth="1"/>
    <col min="6" max="6" width="15.7265625" style="98" customWidth="1"/>
    <col min="7" max="8" width="14.7265625" style="98" customWidth="1"/>
    <col min="9" max="9" width="20" style="98" customWidth="1"/>
    <col min="10" max="10" width="18" style="98" customWidth="1"/>
    <col min="11" max="11" width="11" style="98" bestFit="1" customWidth="1"/>
    <col min="12" max="16384" width="8.7265625" style="98"/>
  </cols>
  <sheetData>
    <row r="1" spans="1:24" ht="13" x14ac:dyDescent="0.3">
      <c r="A1" s="97" t="s">
        <v>159</v>
      </c>
      <c r="F1" s="147" t="s">
        <v>156</v>
      </c>
      <c r="G1" s="130"/>
      <c r="H1" s="135"/>
      <c r="I1" s="135"/>
    </row>
    <row r="2" spans="1:24" ht="13" x14ac:dyDescent="0.3">
      <c r="E2" s="141" t="s">
        <v>148</v>
      </c>
      <c r="F2" s="141" t="s">
        <v>149</v>
      </c>
      <c r="G2" s="141" t="s">
        <v>150</v>
      </c>
      <c r="H2" s="141" t="s">
        <v>151</v>
      </c>
      <c r="I2" s="135"/>
    </row>
    <row r="3" spans="1:24" x14ac:dyDescent="0.25">
      <c r="G3" s="135" t="s">
        <v>160</v>
      </c>
    </row>
    <row r="4" spans="1:24" ht="13" x14ac:dyDescent="0.3">
      <c r="E4" s="101" t="s">
        <v>161</v>
      </c>
      <c r="F4" s="40" t="s">
        <v>157</v>
      </c>
      <c r="G4" s="101" t="s">
        <v>162</v>
      </c>
      <c r="I4" s="101"/>
    </row>
    <row r="5" spans="1:24" ht="13" x14ac:dyDescent="0.3">
      <c r="A5" s="102" t="s">
        <v>39</v>
      </c>
      <c r="B5" s="105"/>
      <c r="C5" s="105" t="s">
        <v>163</v>
      </c>
      <c r="D5" s="105" t="s">
        <v>31</v>
      </c>
      <c r="E5" s="105" t="s">
        <v>32</v>
      </c>
      <c r="F5" s="139" t="s">
        <v>33</v>
      </c>
      <c r="G5" s="105" t="s">
        <v>164</v>
      </c>
      <c r="H5" s="105" t="s">
        <v>84</v>
      </c>
      <c r="I5" s="105" t="s">
        <v>42</v>
      </c>
      <c r="K5" s="105"/>
      <c r="L5" s="105"/>
      <c r="M5" s="105"/>
      <c r="N5" s="105"/>
      <c r="O5" s="105"/>
      <c r="P5" s="105"/>
      <c r="Q5" s="105"/>
      <c r="R5" s="105"/>
      <c r="S5" s="105"/>
      <c r="T5" s="105"/>
      <c r="U5" s="105"/>
      <c r="V5" s="105"/>
      <c r="W5" s="105"/>
      <c r="X5" s="105"/>
    </row>
    <row r="6" spans="1:24" ht="13" x14ac:dyDescent="0.3">
      <c r="A6" s="101">
        <v>1</v>
      </c>
      <c r="C6" s="135">
        <v>920</v>
      </c>
      <c r="D6" s="98" t="s">
        <v>165</v>
      </c>
      <c r="E6" s="148">
        <v>354859044</v>
      </c>
      <c r="F6" s="135" t="s">
        <v>166</v>
      </c>
      <c r="G6" s="107">
        <f>D37</f>
        <v>69867000.913848624</v>
      </c>
      <c r="H6" s="107">
        <f t="shared" ref="H6:H19" si="0">E6-G6</f>
        <v>284992043.08615136</v>
      </c>
    </row>
    <row r="7" spans="1:24" ht="13" x14ac:dyDescent="0.3">
      <c r="A7" s="101">
        <f>A6+1</f>
        <v>2</v>
      </c>
      <c r="C7" s="135">
        <v>921</v>
      </c>
      <c r="D7" s="98" t="s">
        <v>167</v>
      </c>
      <c r="E7" s="148">
        <v>249803334</v>
      </c>
      <c r="F7" s="135" t="s">
        <v>168</v>
      </c>
      <c r="G7" s="107">
        <f t="shared" ref="G7:G19" si="1">D38</f>
        <v>5868285.4679282326</v>
      </c>
      <c r="H7" s="107">
        <f t="shared" si="0"/>
        <v>243935048.53207177</v>
      </c>
    </row>
    <row r="8" spans="1:24" ht="13" x14ac:dyDescent="0.3">
      <c r="A8" s="101">
        <f>A7+1</f>
        <v>3</v>
      </c>
      <c r="C8" s="135">
        <v>922</v>
      </c>
      <c r="D8" s="98" t="s">
        <v>169</v>
      </c>
      <c r="E8" s="148">
        <v>-145897634</v>
      </c>
      <c r="F8" s="135" t="s">
        <v>170</v>
      </c>
      <c r="G8" s="107">
        <f t="shared" si="1"/>
        <v>-48972720</v>
      </c>
      <c r="H8" s="107">
        <f t="shared" si="0"/>
        <v>-96924914</v>
      </c>
      <c r="I8" s="103" t="s">
        <v>171</v>
      </c>
    </row>
    <row r="9" spans="1:24" ht="13" x14ac:dyDescent="0.3">
      <c r="A9" s="101">
        <f t="shared" ref="A9:A20" si="2">A8+1</f>
        <v>4</v>
      </c>
      <c r="B9" s="101"/>
      <c r="C9" s="135">
        <v>923</v>
      </c>
      <c r="D9" s="98" t="s">
        <v>172</v>
      </c>
      <c r="E9" s="148">
        <v>54121017</v>
      </c>
      <c r="F9" s="135" t="s">
        <v>173</v>
      </c>
      <c r="G9" s="110">
        <f t="shared" si="1"/>
        <v>7758094.0199999996</v>
      </c>
      <c r="H9" s="110">
        <f t="shared" si="0"/>
        <v>46362922.980000004</v>
      </c>
    </row>
    <row r="10" spans="1:24" ht="13" x14ac:dyDescent="0.3">
      <c r="A10" s="101">
        <f t="shared" si="2"/>
        <v>5</v>
      </c>
      <c r="B10" s="101"/>
      <c r="C10" s="135">
        <v>924</v>
      </c>
      <c r="D10" s="98" t="s">
        <v>174</v>
      </c>
      <c r="E10" s="148">
        <v>14497978</v>
      </c>
      <c r="F10" s="135" t="s">
        <v>175</v>
      </c>
      <c r="G10" s="107">
        <f t="shared" si="1"/>
        <v>0</v>
      </c>
      <c r="H10" s="107">
        <f t="shared" si="0"/>
        <v>14497978</v>
      </c>
    </row>
    <row r="11" spans="1:24" ht="13" x14ac:dyDescent="0.3">
      <c r="A11" s="101">
        <f t="shared" si="2"/>
        <v>6</v>
      </c>
      <c r="B11" s="101"/>
      <c r="C11" s="135">
        <v>925</v>
      </c>
      <c r="D11" s="98" t="s">
        <v>176</v>
      </c>
      <c r="E11" s="148">
        <v>117581984</v>
      </c>
      <c r="F11" s="135" t="s">
        <v>177</v>
      </c>
      <c r="G11" s="107">
        <f t="shared" si="1"/>
        <v>-694137</v>
      </c>
      <c r="H11" s="107">
        <f t="shared" si="0"/>
        <v>118276121</v>
      </c>
    </row>
    <row r="12" spans="1:24" ht="13" x14ac:dyDescent="0.3">
      <c r="A12" s="101">
        <f t="shared" si="2"/>
        <v>7</v>
      </c>
      <c r="B12" s="101"/>
      <c r="C12" s="135">
        <v>926</v>
      </c>
      <c r="D12" s="98" t="s">
        <v>178</v>
      </c>
      <c r="E12" s="148">
        <v>142806958</v>
      </c>
      <c r="F12" s="135" t="s">
        <v>179</v>
      </c>
      <c r="G12" s="107">
        <f t="shared" si="1"/>
        <v>-15693853.432685971</v>
      </c>
      <c r="H12" s="107">
        <f t="shared" si="0"/>
        <v>158500811.43268597</v>
      </c>
    </row>
    <row r="13" spans="1:24" ht="13" x14ac:dyDescent="0.3">
      <c r="A13" s="101">
        <f t="shared" si="2"/>
        <v>8</v>
      </c>
      <c r="B13" s="101"/>
      <c r="C13" s="135">
        <v>927</v>
      </c>
      <c r="D13" s="98" t="s">
        <v>152</v>
      </c>
      <c r="E13" s="148">
        <v>110632750</v>
      </c>
      <c r="F13" s="135" t="s">
        <v>180</v>
      </c>
      <c r="G13" s="107">
        <f t="shared" si="1"/>
        <v>110632750</v>
      </c>
      <c r="H13" s="107">
        <f t="shared" si="0"/>
        <v>0</v>
      </c>
    </row>
    <row r="14" spans="1:24" ht="13" x14ac:dyDescent="0.3">
      <c r="A14" s="101">
        <f t="shared" si="2"/>
        <v>9</v>
      </c>
      <c r="B14" s="101"/>
      <c r="C14" s="135">
        <v>928</v>
      </c>
      <c r="D14" s="98" t="s">
        <v>181</v>
      </c>
      <c r="E14" s="148">
        <v>16012736</v>
      </c>
      <c r="F14" s="135" t="s">
        <v>182</v>
      </c>
      <c r="G14" s="107">
        <f t="shared" si="1"/>
        <v>17351998</v>
      </c>
      <c r="H14" s="107">
        <f t="shared" si="0"/>
        <v>-1339262</v>
      </c>
    </row>
    <row r="15" spans="1:24" ht="13" x14ac:dyDescent="0.3">
      <c r="A15" s="101">
        <f t="shared" si="2"/>
        <v>10</v>
      </c>
      <c r="B15" s="101"/>
      <c r="C15" s="135">
        <v>929</v>
      </c>
      <c r="D15" s="98" t="s">
        <v>183</v>
      </c>
      <c r="E15" s="148">
        <v>0</v>
      </c>
      <c r="F15" s="135" t="s">
        <v>184</v>
      </c>
      <c r="G15" s="107">
        <f t="shared" si="1"/>
        <v>0</v>
      </c>
      <c r="H15" s="107">
        <f t="shared" si="0"/>
        <v>0</v>
      </c>
    </row>
    <row r="16" spans="1:24" ht="13" x14ac:dyDescent="0.3">
      <c r="A16" s="101">
        <f t="shared" si="2"/>
        <v>11</v>
      </c>
      <c r="B16" s="101"/>
      <c r="C16" s="135">
        <v>930.1</v>
      </c>
      <c r="D16" s="98" t="s">
        <v>185</v>
      </c>
      <c r="E16" s="148">
        <v>5718074</v>
      </c>
      <c r="F16" s="135" t="s">
        <v>186</v>
      </c>
      <c r="G16" s="107">
        <f t="shared" si="1"/>
        <v>0</v>
      </c>
      <c r="H16" s="107">
        <f t="shared" si="0"/>
        <v>5718074</v>
      </c>
    </row>
    <row r="17" spans="1:8" ht="13" x14ac:dyDescent="0.3">
      <c r="A17" s="101">
        <f t="shared" si="2"/>
        <v>12</v>
      </c>
      <c r="B17" s="101"/>
      <c r="C17" s="135">
        <v>930.2</v>
      </c>
      <c r="D17" s="98" t="s">
        <v>187</v>
      </c>
      <c r="E17" s="148">
        <v>34422373</v>
      </c>
      <c r="F17" s="135" t="s">
        <v>188</v>
      </c>
      <c r="G17" s="107">
        <f t="shared" si="1"/>
        <v>24004995.530000001</v>
      </c>
      <c r="H17" s="107">
        <f t="shared" si="0"/>
        <v>10417377.469999999</v>
      </c>
    </row>
    <row r="18" spans="1:8" ht="13" x14ac:dyDescent="0.3">
      <c r="A18" s="101">
        <f t="shared" si="2"/>
        <v>13</v>
      </c>
      <c r="B18" s="101"/>
      <c r="C18" s="135">
        <v>931</v>
      </c>
      <c r="D18" s="98" t="s">
        <v>189</v>
      </c>
      <c r="E18" s="148">
        <v>6627867</v>
      </c>
      <c r="F18" s="135" t="s">
        <v>190</v>
      </c>
      <c r="G18" s="107">
        <f t="shared" si="1"/>
        <v>11411119</v>
      </c>
      <c r="H18" s="107">
        <f t="shared" si="0"/>
        <v>-4783252</v>
      </c>
    </row>
    <row r="19" spans="1:8" ht="13" x14ac:dyDescent="0.3">
      <c r="A19" s="101">
        <f t="shared" si="2"/>
        <v>14</v>
      </c>
      <c r="B19" s="101"/>
      <c r="C19" s="135">
        <v>935</v>
      </c>
      <c r="D19" s="98" t="s">
        <v>191</v>
      </c>
      <c r="E19" s="149">
        <v>13296044</v>
      </c>
      <c r="F19" s="135" t="s">
        <v>192</v>
      </c>
      <c r="G19" s="107">
        <f t="shared" si="1"/>
        <v>697671</v>
      </c>
      <c r="H19" s="113">
        <f t="shared" si="0"/>
        <v>12598373</v>
      </c>
    </row>
    <row r="20" spans="1:8" ht="13" x14ac:dyDescent="0.3">
      <c r="A20" s="101">
        <f t="shared" si="2"/>
        <v>15</v>
      </c>
      <c r="E20" s="107">
        <f>SUM(E6:E19)</f>
        <v>974482525</v>
      </c>
      <c r="G20" s="117" t="s">
        <v>193</v>
      </c>
      <c r="H20" s="110">
        <f>SUM(H6:H19)</f>
        <v>792251321.50090921</v>
      </c>
    </row>
    <row r="22" spans="1:8" ht="13" x14ac:dyDescent="0.3">
      <c r="F22" s="105" t="s">
        <v>32</v>
      </c>
      <c r="G22" s="105" t="s">
        <v>33</v>
      </c>
    </row>
    <row r="23" spans="1:8" ht="13" x14ac:dyDescent="0.3">
      <c r="A23" s="101">
        <f>A20+1</f>
        <v>16</v>
      </c>
      <c r="E23" s="117" t="s">
        <v>194</v>
      </c>
      <c r="F23" s="110">
        <f>H20</f>
        <v>792251321.50090921</v>
      </c>
      <c r="G23" s="103" t="str">
        <f>"Line "&amp;A20&amp;""</f>
        <v>Line 15</v>
      </c>
    </row>
    <row r="24" spans="1:8" ht="13" x14ac:dyDescent="0.3">
      <c r="A24" s="101">
        <f t="shared" ref="A24:A30" si="3">A23+1</f>
        <v>17</v>
      </c>
      <c r="E24" s="117" t="s">
        <v>195</v>
      </c>
      <c r="F24" s="113">
        <f>E10</f>
        <v>14497978</v>
      </c>
      <c r="G24" s="103" t="str">
        <f>"Line "&amp;A10&amp;""</f>
        <v>Line 5</v>
      </c>
    </row>
    <row r="25" spans="1:8" ht="13" x14ac:dyDescent="0.3">
      <c r="A25" s="101">
        <f t="shared" si="3"/>
        <v>18</v>
      </c>
      <c r="E25" s="117" t="s">
        <v>196</v>
      </c>
      <c r="F25" s="110">
        <f>F23-F24</f>
        <v>777753343.50090921</v>
      </c>
      <c r="G25" s="103" t="str">
        <f>"Line "&amp;A23&amp;" - Line "&amp;A24&amp;""</f>
        <v>Line 16 - Line 17</v>
      </c>
    </row>
    <row r="26" spans="1:8" ht="13" x14ac:dyDescent="0.3">
      <c r="A26" s="101">
        <f t="shared" si="3"/>
        <v>19</v>
      </c>
      <c r="E26" s="117" t="s">
        <v>197</v>
      </c>
      <c r="F26" s="134">
        <f>'[15]27-Allocators'!G15</f>
        <v>5.6290212846604806E-2</v>
      </c>
      <c r="G26" s="103" t="str">
        <f>"27-Allocators, Line "&amp;'[15]27-Allocators'!A15&amp;""</f>
        <v>27-Allocators, Line 9</v>
      </c>
    </row>
    <row r="27" spans="1:8" ht="13" x14ac:dyDescent="0.3">
      <c r="A27" s="101">
        <f t="shared" si="3"/>
        <v>20</v>
      </c>
      <c r="E27" s="117" t="s">
        <v>198</v>
      </c>
      <c r="F27" s="110">
        <f>F25*F26</f>
        <v>43779901.247824721</v>
      </c>
      <c r="G27" s="103" t="str">
        <f>"Line "&amp;A25&amp;" * Line "&amp;A26&amp;""</f>
        <v>Line 18 * Line 19</v>
      </c>
    </row>
    <row r="28" spans="1:8" ht="13" x14ac:dyDescent="0.3">
      <c r="A28" s="101">
        <f t="shared" si="3"/>
        <v>21</v>
      </c>
      <c r="E28" s="117" t="s">
        <v>199</v>
      </c>
      <c r="F28" s="115">
        <f>'[15]27-Allocators'!G28</f>
        <v>0.19111474096755637</v>
      </c>
      <c r="G28" s="103" t="str">
        <f>"27-Allocators, Line "&amp;'[15]27-Allocators'!A28&amp;""</f>
        <v>27-Allocators, Line 22</v>
      </c>
    </row>
    <row r="29" spans="1:8" ht="13" x14ac:dyDescent="0.3">
      <c r="A29" s="101">
        <f t="shared" si="3"/>
        <v>22</v>
      </c>
      <c r="E29" s="117" t="s">
        <v>200</v>
      </c>
      <c r="F29" s="113">
        <f>H10*F28</f>
        <v>2770777.3100233311</v>
      </c>
      <c r="G29" s="103" t="str">
        <f>"Line "&amp;A10&amp;" Col 4 * Line "&amp;A28&amp;""</f>
        <v>Line 5 Col 4 * Line 21</v>
      </c>
    </row>
    <row r="30" spans="1:8" ht="13" x14ac:dyDescent="0.3">
      <c r="A30" s="101">
        <f t="shared" si="3"/>
        <v>23</v>
      </c>
      <c r="E30" s="117" t="s">
        <v>201</v>
      </c>
      <c r="F30" s="110">
        <f>F27+F29</f>
        <v>46550678.557848051</v>
      </c>
      <c r="G30" s="103" t="str">
        <f>"Line "&amp;A27&amp;" + Line "&amp;A29&amp;""</f>
        <v>Line 20 + Line 22</v>
      </c>
    </row>
    <row r="32" spans="1:8" ht="13" x14ac:dyDescent="0.3">
      <c r="B32" s="97" t="s">
        <v>202</v>
      </c>
      <c r="E32" s="141" t="s">
        <v>148</v>
      </c>
      <c r="F32" s="141" t="s">
        <v>149</v>
      </c>
      <c r="G32" s="141" t="s">
        <v>150</v>
      </c>
      <c r="H32" s="141" t="s">
        <v>151</v>
      </c>
    </row>
    <row r="33" spans="1:11" ht="13" x14ac:dyDescent="0.3">
      <c r="B33" s="97"/>
      <c r="E33" s="101" t="s">
        <v>203</v>
      </c>
      <c r="F33" s="141"/>
      <c r="G33" s="141"/>
      <c r="H33" s="141"/>
    </row>
    <row r="34" spans="1:11" ht="13" x14ac:dyDescent="0.3">
      <c r="E34" s="101" t="s">
        <v>204</v>
      </c>
    </row>
    <row r="35" spans="1:11" ht="13" x14ac:dyDescent="0.3">
      <c r="D35" s="101" t="s">
        <v>205</v>
      </c>
      <c r="E35" s="101" t="s">
        <v>206</v>
      </c>
      <c r="F35" s="101" t="s">
        <v>207</v>
      </c>
      <c r="G35" s="101"/>
      <c r="H35" s="101"/>
    </row>
    <row r="36" spans="1:11" ht="13" x14ac:dyDescent="0.3">
      <c r="C36" s="105" t="s">
        <v>163</v>
      </c>
      <c r="D36" s="141" t="s">
        <v>208</v>
      </c>
      <c r="E36" s="105" t="s">
        <v>209</v>
      </c>
      <c r="F36" s="105" t="s">
        <v>210</v>
      </c>
      <c r="G36" s="105" t="s">
        <v>211</v>
      </c>
      <c r="H36" s="105" t="s">
        <v>212</v>
      </c>
      <c r="I36" s="105" t="s">
        <v>42</v>
      </c>
    </row>
    <row r="37" spans="1:11" ht="13" x14ac:dyDescent="0.3">
      <c r="A37" s="101">
        <f>A30+1</f>
        <v>24</v>
      </c>
      <c r="C37" s="135">
        <v>920</v>
      </c>
      <c r="D37" s="150">
        <f>SUM(E37:H37)</f>
        <v>69867000.913848624</v>
      </c>
      <c r="E37" s="151">
        <v>-11516850.328934595</v>
      </c>
      <c r="F37" s="151"/>
      <c r="G37" s="107">
        <f>G59</f>
        <v>81383851.242783219</v>
      </c>
      <c r="H37" s="151"/>
      <c r="I37" s="103" t="s">
        <v>213</v>
      </c>
    </row>
    <row r="38" spans="1:11" ht="13" x14ac:dyDescent="0.3">
      <c r="A38" s="101">
        <f>A37+1</f>
        <v>25</v>
      </c>
      <c r="C38" s="135">
        <v>921</v>
      </c>
      <c r="D38" s="150">
        <f t="shared" ref="D38:D50" si="4">SUM(E38:H38)</f>
        <v>5868285.4679282326</v>
      </c>
      <c r="E38" s="151">
        <v>5868285.4679282326</v>
      </c>
      <c r="F38" s="151"/>
      <c r="G38" s="151">
        <v>0</v>
      </c>
      <c r="H38" s="151"/>
      <c r="I38" s="103"/>
    </row>
    <row r="39" spans="1:11" ht="13.5" thickBot="1" x14ac:dyDescent="0.35">
      <c r="A39" s="101">
        <f t="shared" ref="A39:A50" si="5">A38+1</f>
        <v>26</v>
      </c>
      <c r="C39" s="135">
        <v>922</v>
      </c>
      <c r="D39" s="150">
        <f t="shared" si="4"/>
        <v>-48972720</v>
      </c>
      <c r="E39" s="151">
        <v>-7655813</v>
      </c>
      <c r="F39" s="151"/>
      <c r="G39" s="152">
        <v>-41316907</v>
      </c>
      <c r="H39" s="151"/>
      <c r="I39" s="103"/>
    </row>
    <row r="40" spans="1:11" ht="13.5" thickBot="1" x14ac:dyDescent="0.35">
      <c r="A40" s="101">
        <f t="shared" si="5"/>
        <v>27</v>
      </c>
      <c r="C40" s="135">
        <v>923</v>
      </c>
      <c r="D40" s="153">
        <f t="shared" si="4"/>
        <v>7758094.0199999996</v>
      </c>
      <c r="E40" s="215">
        <v>7758094.0199999996</v>
      </c>
      <c r="F40" s="151"/>
      <c r="G40" s="151">
        <v>0</v>
      </c>
      <c r="H40" s="151"/>
      <c r="I40" s="103"/>
      <c r="J40" s="105"/>
      <c r="K40" s="105"/>
    </row>
    <row r="41" spans="1:11" ht="13" x14ac:dyDescent="0.3">
      <c r="A41" s="101">
        <f t="shared" si="5"/>
        <v>28</v>
      </c>
      <c r="C41" s="135">
        <v>924</v>
      </c>
      <c r="D41" s="150">
        <f t="shared" si="4"/>
        <v>0</v>
      </c>
      <c r="E41" s="151">
        <v>0</v>
      </c>
      <c r="F41" s="151"/>
      <c r="G41" s="151">
        <v>0</v>
      </c>
      <c r="H41" s="151"/>
      <c r="I41" s="103"/>
      <c r="K41" s="107"/>
    </row>
    <row r="42" spans="1:11" ht="13" x14ac:dyDescent="0.3">
      <c r="A42" s="101">
        <f t="shared" si="5"/>
        <v>29</v>
      </c>
      <c r="C42" s="135">
        <v>925</v>
      </c>
      <c r="D42" s="150">
        <f t="shared" si="4"/>
        <v>-694137</v>
      </c>
      <c r="E42" s="151">
        <v>-694137</v>
      </c>
      <c r="F42" s="151"/>
      <c r="G42" s="151">
        <v>0</v>
      </c>
      <c r="H42" s="151"/>
      <c r="I42" s="103"/>
      <c r="K42" s="107"/>
    </row>
    <row r="43" spans="1:11" ht="13" x14ac:dyDescent="0.3">
      <c r="A43" s="101">
        <f t="shared" si="5"/>
        <v>30</v>
      </c>
      <c r="C43" s="135">
        <v>926</v>
      </c>
      <c r="D43" s="150">
        <f t="shared" si="4"/>
        <v>-15693853.432685971</v>
      </c>
      <c r="E43" s="151">
        <v>19430852.567314029</v>
      </c>
      <c r="F43" s="151"/>
      <c r="G43" s="151">
        <v>0</v>
      </c>
      <c r="H43" s="107">
        <f>E71</f>
        <v>-35124706</v>
      </c>
      <c r="I43" s="103" t="s">
        <v>153</v>
      </c>
      <c r="K43" s="107"/>
    </row>
    <row r="44" spans="1:11" ht="13" x14ac:dyDescent="0.3">
      <c r="A44" s="101">
        <f t="shared" si="5"/>
        <v>31</v>
      </c>
      <c r="C44" s="135">
        <v>927</v>
      </c>
      <c r="D44" s="150">
        <f t="shared" si="4"/>
        <v>110632750</v>
      </c>
      <c r="E44" s="107">
        <v>0</v>
      </c>
      <c r="F44" s="107">
        <f>E13</f>
        <v>110632750</v>
      </c>
      <c r="G44" s="107">
        <v>0</v>
      </c>
      <c r="H44" s="107">
        <v>0</v>
      </c>
      <c r="I44" s="103" t="s">
        <v>214</v>
      </c>
      <c r="K44" s="107"/>
    </row>
    <row r="45" spans="1:11" ht="13" x14ac:dyDescent="0.3">
      <c r="A45" s="101">
        <f t="shared" si="5"/>
        <v>32</v>
      </c>
      <c r="C45" s="135">
        <v>928</v>
      </c>
      <c r="D45" s="150">
        <f t="shared" si="4"/>
        <v>17351998</v>
      </c>
      <c r="E45" s="151">
        <v>17351998</v>
      </c>
      <c r="F45" s="151"/>
      <c r="G45" s="152">
        <v>0</v>
      </c>
      <c r="H45" s="151"/>
      <c r="I45" s="103"/>
      <c r="K45" s="107"/>
    </row>
    <row r="46" spans="1:11" ht="13" x14ac:dyDescent="0.3">
      <c r="A46" s="101">
        <f t="shared" si="5"/>
        <v>33</v>
      </c>
      <c r="C46" s="135">
        <v>929</v>
      </c>
      <c r="D46" s="150">
        <f t="shared" si="4"/>
        <v>0</v>
      </c>
      <c r="E46" s="151">
        <v>0</v>
      </c>
      <c r="F46" s="151"/>
      <c r="G46" s="152">
        <v>0</v>
      </c>
      <c r="H46" s="151"/>
      <c r="I46" s="103"/>
      <c r="K46" s="107"/>
    </row>
    <row r="47" spans="1:11" ht="13" x14ac:dyDescent="0.3">
      <c r="A47" s="101">
        <f t="shared" si="5"/>
        <v>34</v>
      </c>
      <c r="C47" s="135">
        <v>930.1</v>
      </c>
      <c r="D47" s="150">
        <f t="shared" si="4"/>
        <v>0</v>
      </c>
      <c r="E47" s="151">
        <v>0</v>
      </c>
      <c r="F47" s="151"/>
      <c r="G47" s="152">
        <v>0</v>
      </c>
      <c r="H47" s="151"/>
      <c r="I47" s="103"/>
      <c r="K47" s="107"/>
    </row>
    <row r="48" spans="1:11" ht="13" x14ac:dyDescent="0.3">
      <c r="A48" s="101">
        <f t="shared" si="5"/>
        <v>35</v>
      </c>
      <c r="C48" s="135">
        <v>930.2</v>
      </c>
      <c r="D48" s="150">
        <f t="shared" si="4"/>
        <v>24004995.530000001</v>
      </c>
      <c r="E48" s="151">
        <v>24004995.530000001</v>
      </c>
      <c r="F48" s="151"/>
      <c r="G48" s="152">
        <v>0</v>
      </c>
      <c r="H48" s="151"/>
      <c r="I48" s="103"/>
      <c r="J48" s="107"/>
    </row>
    <row r="49" spans="1:10" ht="13" x14ac:dyDescent="0.3">
      <c r="A49" s="101">
        <f t="shared" si="5"/>
        <v>36</v>
      </c>
      <c r="C49" s="135">
        <v>931</v>
      </c>
      <c r="D49" s="150">
        <f t="shared" si="4"/>
        <v>11411119</v>
      </c>
      <c r="E49" s="151">
        <v>11411119</v>
      </c>
      <c r="F49" s="151"/>
      <c r="G49" s="152">
        <v>0</v>
      </c>
      <c r="H49" s="151"/>
      <c r="I49" s="103"/>
      <c r="J49" s="107"/>
    </row>
    <row r="50" spans="1:10" ht="13" x14ac:dyDescent="0.3">
      <c r="A50" s="101">
        <f t="shared" si="5"/>
        <v>37</v>
      </c>
      <c r="C50" s="135">
        <v>935</v>
      </c>
      <c r="D50" s="150">
        <f t="shared" si="4"/>
        <v>697671</v>
      </c>
      <c r="E50" s="151">
        <v>697671</v>
      </c>
      <c r="F50" s="151"/>
      <c r="G50" s="152">
        <v>0</v>
      </c>
      <c r="H50" s="151"/>
      <c r="I50" s="103"/>
    </row>
    <row r="51" spans="1:10" ht="13" x14ac:dyDescent="0.3">
      <c r="A51" s="101"/>
      <c r="C51" s="135"/>
      <c r="D51" s="150"/>
      <c r="E51" s="107"/>
      <c r="F51" s="107"/>
      <c r="G51" s="154"/>
      <c r="H51" s="107"/>
      <c r="I51" s="103"/>
    </row>
    <row r="52" spans="1:10" ht="13" x14ac:dyDescent="0.3">
      <c r="B52" s="97" t="s">
        <v>215</v>
      </c>
    </row>
    <row r="53" spans="1:10" ht="13" x14ac:dyDescent="0.3">
      <c r="B53" s="97"/>
      <c r="C53" s="98" t="s">
        <v>216</v>
      </c>
    </row>
    <row r="54" spans="1:10" ht="13" x14ac:dyDescent="0.3">
      <c r="B54" s="97"/>
      <c r="C54" s="98" t="s">
        <v>217</v>
      </c>
      <c r="G54" s="101"/>
      <c r="H54" s="101"/>
    </row>
    <row r="55" spans="1:10" ht="13" x14ac:dyDescent="0.3">
      <c r="B55" s="97"/>
      <c r="C55" s="125" t="s">
        <v>218</v>
      </c>
      <c r="D55" s="125"/>
      <c r="E55" s="125"/>
      <c r="G55" s="101"/>
      <c r="H55" s="101"/>
    </row>
    <row r="56" spans="1:10" ht="13" x14ac:dyDescent="0.3">
      <c r="B56" s="97"/>
      <c r="G56" s="105" t="s">
        <v>32</v>
      </c>
      <c r="H56" s="105" t="s">
        <v>33</v>
      </c>
    </row>
    <row r="57" spans="1:10" ht="13" x14ac:dyDescent="0.3">
      <c r="A57" s="101"/>
      <c r="B57" s="101" t="s">
        <v>118</v>
      </c>
      <c r="F57" s="117" t="s">
        <v>219</v>
      </c>
      <c r="G57" s="151">
        <v>103811324.56999999</v>
      </c>
      <c r="H57" s="103" t="s">
        <v>220</v>
      </c>
    </row>
    <row r="58" spans="1:10" ht="13" x14ac:dyDescent="0.3">
      <c r="A58" s="101"/>
      <c r="B58" s="101" t="s">
        <v>120</v>
      </c>
      <c r="F58" s="117" t="s">
        <v>221</v>
      </c>
      <c r="G58" s="113">
        <f>E62</f>
        <v>22427473.327216774</v>
      </c>
      <c r="H58" s="103" t="str">
        <f>"Note 2, "&amp;B62&amp;""</f>
        <v>Note 2, d</v>
      </c>
    </row>
    <row r="59" spans="1:10" ht="13" x14ac:dyDescent="0.3">
      <c r="A59" s="101"/>
      <c r="B59" s="101" t="s">
        <v>123</v>
      </c>
      <c r="F59" s="117" t="s">
        <v>222</v>
      </c>
      <c r="G59" s="107">
        <f>G57-G58</f>
        <v>81383851.242783219</v>
      </c>
    </row>
    <row r="60" spans="1:10" ht="13" x14ac:dyDescent="0.3">
      <c r="A60" s="101"/>
      <c r="C60" s="125" t="s">
        <v>223</v>
      </c>
      <c r="D60" s="125"/>
      <c r="E60" s="125"/>
      <c r="G60" s="107"/>
    </row>
    <row r="61" spans="1:10" ht="13" x14ac:dyDescent="0.3">
      <c r="A61" s="101"/>
      <c r="D61" s="104" t="s">
        <v>224</v>
      </c>
      <c r="E61" s="105" t="s">
        <v>32</v>
      </c>
      <c r="F61" s="105" t="s">
        <v>33</v>
      </c>
      <c r="G61" s="107"/>
    </row>
    <row r="62" spans="1:10" ht="13" x14ac:dyDescent="0.3">
      <c r="A62" s="101"/>
      <c r="B62" s="101" t="s">
        <v>125</v>
      </c>
      <c r="D62" s="98" t="s">
        <v>225</v>
      </c>
      <c r="E62" s="152">
        <v>22427473.327216774</v>
      </c>
      <c r="F62" s="103" t="s">
        <v>226</v>
      </c>
      <c r="G62" s="107"/>
    </row>
    <row r="63" spans="1:10" ht="13" x14ac:dyDescent="0.3">
      <c r="A63" s="101"/>
      <c r="B63" s="101" t="s">
        <v>129</v>
      </c>
      <c r="D63" s="98" t="s">
        <v>227</v>
      </c>
      <c r="E63" s="152">
        <v>10140103.249080425</v>
      </c>
      <c r="F63" s="103" t="s">
        <v>226</v>
      </c>
      <c r="G63" s="107"/>
      <c r="I63" s="155"/>
    </row>
    <row r="64" spans="1:10" ht="13" x14ac:dyDescent="0.3">
      <c r="A64" s="101"/>
      <c r="B64" s="101" t="s">
        <v>132</v>
      </c>
      <c r="D64" s="98" t="s">
        <v>228</v>
      </c>
      <c r="E64" s="70">
        <v>33565144.913702808</v>
      </c>
      <c r="F64" s="103" t="s">
        <v>226</v>
      </c>
      <c r="G64" s="107"/>
      <c r="I64" s="107"/>
    </row>
    <row r="65" spans="1:7" ht="13" x14ac:dyDescent="0.3">
      <c r="A65" s="101"/>
      <c r="B65" s="101" t="s">
        <v>134</v>
      </c>
      <c r="D65" s="117" t="s">
        <v>158</v>
      </c>
      <c r="E65" s="107">
        <f>SUM(E62:E64)</f>
        <v>66132721.49000001</v>
      </c>
      <c r="F65" s="103" t="str">
        <f>"Sum of "&amp;B62&amp;" to "&amp;B64&amp;""</f>
        <v>Sum of d to f</v>
      </c>
      <c r="G65" s="107"/>
    </row>
    <row r="67" spans="1:7" ht="13" x14ac:dyDescent="0.3">
      <c r="B67" s="97" t="s">
        <v>229</v>
      </c>
    </row>
    <row r="68" spans="1:7" ht="13" x14ac:dyDescent="0.3">
      <c r="E68" s="105" t="s">
        <v>32</v>
      </c>
      <c r="F68" s="104" t="s">
        <v>230</v>
      </c>
    </row>
    <row r="69" spans="1:7" ht="13" x14ac:dyDescent="0.3">
      <c r="A69" s="101"/>
      <c r="B69" s="101" t="s">
        <v>118</v>
      </c>
      <c r="D69" s="117" t="s">
        <v>231</v>
      </c>
      <c r="E69" s="156">
        <v>40171333</v>
      </c>
      <c r="F69" s="103" t="s">
        <v>232</v>
      </c>
    </row>
    <row r="70" spans="1:7" ht="13" x14ac:dyDescent="0.3">
      <c r="A70" s="101"/>
      <c r="B70" s="101" t="s">
        <v>120</v>
      </c>
      <c r="D70" s="117" t="s">
        <v>233</v>
      </c>
      <c r="E70" s="157">
        <v>5046627</v>
      </c>
      <c r="F70" s="103" t="s">
        <v>220</v>
      </c>
    </row>
    <row r="71" spans="1:7" ht="13" x14ac:dyDescent="0.3">
      <c r="A71" s="101"/>
      <c r="B71" s="101" t="s">
        <v>123</v>
      </c>
      <c r="D71" s="117" t="s">
        <v>234</v>
      </c>
      <c r="E71" s="107">
        <f>E70-E69</f>
        <v>-35124706</v>
      </c>
      <c r="F71" s="103" t="str">
        <f>""&amp;B70&amp;" - "&amp;B69&amp;""</f>
        <v>b - a</v>
      </c>
    </row>
    <row r="72" spans="1:7" ht="13" x14ac:dyDescent="0.3">
      <c r="A72" s="101"/>
      <c r="B72" s="97" t="s">
        <v>235</v>
      </c>
      <c r="D72" s="117"/>
      <c r="E72" s="107"/>
      <c r="F72" s="103"/>
    </row>
    <row r="73" spans="1:7" ht="13" x14ac:dyDescent="0.3">
      <c r="A73" s="101"/>
      <c r="B73" s="97"/>
      <c r="C73" s="98" t="str">
        <f>"Amount in Line "&amp;A44&amp;", column 2 equals amount in Line "&amp;A13&amp;", column 1 because all Franchise Requirements Expenses are excluded"</f>
        <v>Amount in Line 31, column 2 equals amount in Line 8, column 1 because all Franchise Requirements Expenses are excluded</v>
      </c>
      <c r="D73" s="117"/>
      <c r="E73" s="107"/>
      <c r="F73" s="103"/>
    </row>
    <row r="74" spans="1:7" ht="13" x14ac:dyDescent="0.3">
      <c r="A74" s="101"/>
      <c r="B74" s="97"/>
      <c r="C74" s="98" t="s">
        <v>236</v>
      </c>
      <c r="D74" s="117"/>
      <c r="E74" s="107"/>
      <c r="F74" s="103"/>
    </row>
    <row r="76" spans="1:7" ht="13" x14ac:dyDescent="0.3">
      <c r="B76" s="97" t="s">
        <v>106</v>
      </c>
    </row>
    <row r="77" spans="1:7" x14ac:dyDescent="0.25">
      <c r="C77" s="98" t="str">
        <f>"1) Enter amounts of A&amp;G expenses from FERC Form 1 in Lines "&amp;A6&amp;" to "&amp;A19&amp;"."</f>
        <v>1) Enter amounts of A&amp;G expenses from FERC Form 1 in Lines 1 to 14.</v>
      </c>
    </row>
    <row r="78" spans="1:7" x14ac:dyDescent="0.25">
      <c r="C78" s="98" t="s">
        <v>237</v>
      </c>
      <c r="G78" s="98" t="str">
        <f>"Column 3, Line "&amp;A37&amp;""</f>
        <v>Column 3, Line 24</v>
      </c>
    </row>
    <row r="79" spans="1:7" x14ac:dyDescent="0.25">
      <c r="C79" s="103" t="str">
        <f>"is calculated in Note 2.  The PBOPs exclusion in Column 4, Line "&amp;A43&amp;" is calculated in Note 3."</f>
        <v>is calculated in Note 2.  The PBOPs exclusion in Column 4, Line 30 is calculated in Note 3.</v>
      </c>
    </row>
    <row r="80" spans="1:7" x14ac:dyDescent="0.25">
      <c r="C80" s="103" t="s">
        <v>238</v>
      </c>
    </row>
    <row r="81" spans="3:7" x14ac:dyDescent="0.25">
      <c r="C81" s="103" t="s">
        <v>239</v>
      </c>
      <c r="D81" s="117"/>
      <c r="E81" s="107"/>
      <c r="F81" s="103"/>
    </row>
    <row r="82" spans="3:7" x14ac:dyDescent="0.25">
      <c r="C82" s="103" t="s">
        <v>240</v>
      </c>
      <c r="D82" s="117"/>
      <c r="E82" s="107"/>
      <c r="F82" s="103"/>
    </row>
    <row r="83" spans="3:7" x14ac:dyDescent="0.25">
      <c r="C83" s="103" t="s">
        <v>241</v>
      </c>
    </row>
    <row r="84" spans="3:7" x14ac:dyDescent="0.25">
      <c r="C84" s="103" t="s">
        <v>242</v>
      </c>
    </row>
    <row r="85" spans="3:7" x14ac:dyDescent="0.25">
      <c r="C85" s="103" t="s">
        <v>243</v>
      </c>
    </row>
    <row r="86" spans="3:7" x14ac:dyDescent="0.25">
      <c r="C86" s="103" t="s">
        <v>244</v>
      </c>
    </row>
    <row r="87" spans="3:7" x14ac:dyDescent="0.25">
      <c r="C87" s="103" t="s">
        <v>245</v>
      </c>
    </row>
    <row r="88" spans="3:7" x14ac:dyDescent="0.25">
      <c r="C88" s="103" t="s">
        <v>246</v>
      </c>
      <c r="E88" s="158"/>
      <c r="F88" s="158"/>
      <c r="G88" s="158"/>
    </row>
    <row r="89" spans="3:7" x14ac:dyDescent="0.25">
      <c r="C89" s="159" t="s">
        <v>247</v>
      </c>
      <c r="E89" s="158"/>
      <c r="F89" s="158"/>
      <c r="G89" s="158"/>
    </row>
    <row r="90" spans="3:7" x14ac:dyDescent="0.25">
      <c r="C90" s="159" t="s">
        <v>248</v>
      </c>
      <c r="E90" s="158"/>
      <c r="F90" s="158"/>
      <c r="G90" s="158"/>
    </row>
    <row r="91" spans="3:7" x14ac:dyDescent="0.25">
      <c r="C91" s="159" t="s">
        <v>249</v>
      </c>
      <c r="E91" s="158"/>
      <c r="F91" s="158"/>
      <c r="G91" s="158"/>
    </row>
    <row r="92" spans="3:7" x14ac:dyDescent="0.25">
      <c r="C92" s="103" t="s">
        <v>250</v>
      </c>
      <c r="E92" s="158"/>
      <c r="F92" s="158"/>
      <c r="G92" s="158"/>
    </row>
    <row r="93" spans="3:7" x14ac:dyDescent="0.25">
      <c r="C93" s="159" t="s">
        <v>251</v>
      </c>
      <c r="E93" s="158"/>
      <c r="F93" s="158"/>
      <c r="G93" s="158"/>
    </row>
    <row r="94" spans="3:7" x14ac:dyDescent="0.25">
      <c r="C94" s="159" t="s">
        <v>252</v>
      </c>
      <c r="E94" s="158"/>
      <c r="F94" s="158"/>
      <c r="G94" s="158"/>
    </row>
    <row r="95" spans="3:7" x14ac:dyDescent="0.25">
      <c r="C95" s="159" t="s">
        <v>253</v>
      </c>
      <c r="E95" s="158"/>
      <c r="F95" s="158"/>
      <c r="G95" s="158"/>
    </row>
    <row r="96" spans="3:7" x14ac:dyDescent="0.25">
      <c r="C96" s="159" t="s">
        <v>254</v>
      </c>
      <c r="E96" s="158"/>
      <c r="F96" s="158"/>
      <c r="G96" s="158"/>
    </row>
    <row r="97" spans="3:10" x14ac:dyDescent="0.25">
      <c r="C97" s="103" t="s">
        <v>255</v>
      </c>
      <c r="E97" s="158"/>
      <c r="F97" s="158"/>
      <c r="G97" s="158"/>
      <c r="H97" s="158"/>
    </row>
    <row r="98" spans="3:10" x14ac:dyDescent="0.25">
      <c r="C98" s="159" t="s">
        <v>256</v>
      </c>
      <c r="E98" s="158"/>
      <c r="F98" s="158"/>
      <c r="G98" s="158"/>
    </row>
    <row r="99" spans="3:10" x14ac:dyDescent="0.25">
      <c r="C99" s="160" t="s">
        <v>257</v>
      </c>
      <c r="E99" s="158"/>
      <c r="F99" s="158"/>
      <c r="G99" s="158"/>
    </row>
    <row r="100" spans="3:10" x14ac:dyDescent="0.25">
      <c r="C100" s="160" t="s">
        <v>258</v>
      </c>
      <c r="E100" s="158"/>
      <c r="F100" s="158"/>
      <c r="G100" s="158"/>
    </row>
    <row r="101" spans="3:10" x14ac:dyDescent="0.25">
      <c r="C101" s="160" t="s">
        <v>259</v>
      </c>
      <c r="E101" s="158"/>
      <c r="F101" s="158"/>
      <c r="G101" s="158"/>
    </row>
    <row r="102" spans="3:10" x14ac:dyDescent="0.25">
      <c r="C102" s="160" t="s">
        <v>258</v>
      </c>
      <c r="E102" s="158"/>
      <c r="F102" s="158"/>
      <c r="G102" s="158"/>
    </row>
    <row r="103" spans="3:10" x14ac:dyDescent="0.25">
      <c r="C103" s="160" t="s">
        <v>260</v>
      </c>
      <c r="E103" s="158"/>
      <c r="F103" s="158"/>
      <c r="G103" s="158"/>
    </row>
    <row r="104" spans="3:10" x14ac:dyDescent="0.25">
      <c r="C104" s="159" t="s">
        <v>261</v>
      </c>
      <c r="E104" s="158"/>
      <c r="F104" s="158"/>
      <c r="G104" s="158"/>
    </row>
    <row r="105" spans="3:10" x14ac:dyDescent="0.25">
      <c r="C105" s="159" t="s">
        <v>262</v>
      </c>
      <c r="E105" s="158"/>
      <c r="F105" s="158"/>
      <c r="G105" s="158"/>
    </row>
    <row r="106" spans="3:10" ht="13" x14ac:dyDescent="0.3">
      <c r="C106" s="137" t="s">
        <v>263</v>
      </c>
      <c r="D106" s="125"/>
      <c r="E106" s="125"/>
      <c r="F106" s="125"/>
      <c r="G106" s="125"/>
      <c r="H106" s="125"/>
      <c r="I106" s="125"/>
      <c r="J106" s="125"/>
    </row>
    <row r="107" spans="3:10" x14ac:dyDescent="0.25">
      <c r="C107" s="98" t="s">
        <v>264</v>
      </c>
    </row>
    <row r="108" spans="3:10" x14ac:dyDescent="0.25">
      <c r="C108" s="137" t="s">
        <v>265</v>
      </c>
      <c r="D108" s="125"/>
      <c r="E108" s="125"/>
      <c r="F108" s="125"/>
      <c r="G108" s="125"/>
      <c r="H108" s="125"/>
      <c r="I108" s="125"/>
    </row>
    <row r="109" spans="3:10" x14ac:dyDescent="0.25">
      <c r="C109" s="98" t="str">
        <f>"4) Determine the PBOPs exclusion.  The authorized amount of PBOPs expense (line "&amp;B69&amp;") may only be revised"</f>
        <v>4) Determine the PBOPs exclusion.  The authorized amount of PBOPs expense (line a) may only be revised</v>
      </c>
    </row>
    <row r="110" spans="3:10" x14ac:dyDescent="0.25">
      <c r="C110" s="98" t="s">
        <v>266</v>
      </c>
    </row>
    <row r="111" spans="3:10" x14ac:dyDescent="0.25">
      <c r="C111" s="98" t="s">
        <v>267</v>
      </c>
    </row>
    <row r="112" spans="3:10" x14ac:dyDescent="0.25">
      <c r="C112" s="98" t="s">
        <v>268</v>
      </c>
      <c r="I112" s="130" t="s">
        <v>283</v>
      </c>
      <c r="J112" s="130"/>
    </row>
    <row r="113" spans="3:3" x14ac:dyDescent="0.25">
      <c r="C113" s="98" t="s">
        <v>269</v>
      </c>
    </row>
  </sheetData>
  <pageMargins left="0.75" right="0.75" top="1" bottom="1" header="0.5" footer="0.5"/>
  <pageSetup scale="71" orientation="landscape" cellComments="asDisplayed" r:id="rId1"/>
  <headerFooter alignWithMargins="0">
    <oddHeader>&amp;CSchedule 20
Administrative and General Expenses
(TO2019-Attachment 5 TO13 TrueUpTRR)&amp;RTO2021 Draft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3CC2A-71A0-433F-BBCF-EFCBE4A8317B}">
  <dimension ref="A2:H15"/>
  <sheetViews>
    <sheetView zoomScaleNormal="100" workbookViewId="0">
      <selection activeCell="E7" sqref="E7:G7"/>
    </sheetView>
  </sheetViews>
  <sheetFormatPr defaultColWidth="9.1796875" defaultRowHeight="14.5" x14ac:dyDescent="0.35"/>
  <cols>
    <col min="1" max="2" width="9.1796875" style="91"/>
    <col min="3" max="3" width="17.81640625" style="91" customWidth="1"/>
    <col min="4" max="4" width="14.26953125" style="91" bestFit="1" customWidth="1"/>
    <col min="5" max="6" width="9.1796875" style="91"/>
    <col min="7" max="7" width="13.81640625" style="91" customWidth="1"/>
    <col min="8" max="16384" width="9.1796875" style="91"/>
  </cols>
  <sheetData>
    <row r="2" spans="1:8" ht="21" customHeight="1" x14ac:dyDescent="0.35"/>
    <row r="3" spans="1:8" ht="15" customHeight="1" x14ac:dyDescent="0.35">
      <c r="A3" s="194" t="s">
        <v>297</v>
      </c>
      <c r="B3" s="194"/>
      <c r="C3" s="194"/>
      <c r="D3" s="194"/>
      <c r="E3" s="194"/>
      <c r="F3" s="194"/>
      <c r="G3" s="194"/>
    </row>
    <row r="4" spans="1:8" ht="15" customHeight="1" x14ac:dyDescent="0.35">
      <c r="A4" s="194"/>
      <c r="B4" s="194"/>
      <c r="C4" s="194"/>
      <c r="D4" s="194"/>
      <c r="E4" s="194"/>
      <c r="F4" s="194"/>
      <c r="G4" s="194"/>
    </row>
    <row r="5" spans="1:8" x14ac:dyDescent="0.35">
      <c r="A5" s="195" t="s">
        <v>31</v>
      </c>
      <c r="B5" s="195"/>
      <c r="C5" s="195"/>
      <c r="D5" s="86" t="s">
        <v>32</v>
      </c>
      <c r="E5" s="196" t="s">
        <v>33</v>
      </c>
      <c r="F5" s="196"/>
      <c r="G5" s="196"/>
      <c r="H5" s="92"/>
    </row>
    <row r="6" spans="1:8" ht="47.25" customHeight="1" x14ac:dyDescent="0.35">
      <c r="A6" s="208" t="s">
        <v>299</v>
      </c>
      <c r="B6" s="209"/>
      <c r="C6" s="210"/>
      <c r="D6" s="93">
        <f>'WP-2018 Sch4-TUTRR'!J71</f>
        <v>1078540190.2918077</v>
      </c>
      <c r="E6" s="211" t="s">
        <v>329</v>
      </c>
      <c r="F6" s="212"/>
      <c r="G6" s="213"/>
    </row>
    <row r="7" spans="1:8" ht="50.25" customHeight="1" x14ac:dyDescent="0.35">
      <c r="A7" s="203" t="s">
        <v>300</v>
      </c>
      <c r="B7" s="204"/>
      <c r="C7" s="205"/>
      <c r="D7" s="94">
        <f>'WP-2018 Sch4-TUTRR'!E73</f>
        <v>1078538915.0849061</v>
      </c>
      <c r="E7" s="206" t="s">
        <v>332</v>
      </c>
      <c r="F7" s="207"/>
      <c r="G7" s="207"/>
    </row>
    <row r="8" spans="1:8" x14ac:dyDescent="0.35">
      <c r="A8" s="199" t="s">
        <v>34</v>
      </c>
      <c r="B8" s="199"/>
      <c r="C8" s="200"/>
      <c r="D8" s="95">
        <f>D7-D6</f>
        <v>-1275.206901550293</v>
      </c>
      <c r="E8" s="201"/>
      <c r="F8" s="201"/>
      <c r="G8" s="202"/>
    </row>
    <row r="11" spans="1:8" x14ac:dyDescent="0.35">
      <c r="A11" s="85" t="s">
        <v>273</v>
      </c>
    </row>
    <row r="12" spans="1:8" ht="15" customHeight="1" x14ac:dyDescent="0.35">
      <c r="A12" s="187" t="s">
        <v>298</v>
      </c>
      <c r="B12" s="188"/>
      <c r="C12" s="188"/>
      <c r="D12" s="188"/>
      <c r="E12" s="188"/>
      <c r="F12" s="188"/>
      <c r="G12" s="188"/>
      <c r="H12" s="188"/>
    </row>
    <row r="13" spans="1:8" ht="15" customHeight="1" x14ac:dyDescent="0.35">
      <c r="A13" s="188"/>
      <c r="B13" s="188"/>
      <c r="C13" s="188"/>
      <c r="D13" s="188"/>
      <c r="E13" s="188"/>
      <c r="F13" s="188"/>
      <c r="G13" s="188"/>
      <c r="H13" s="188"/>
    </row>
    <row r="14" spans="1:8" x14ac:dyDescent="0.35">
      <c r="A14" s="85"/>
      <c r="B14" s="85"/>
      <c r="C14" s="85"/>
      <c r="D14" s="85"/>
      <c r="E14" s="85"/>
      <c r="F14" s="85"/>
      <c r="G14" s="85"/>
      <c r="H14" s="85"/>
    </row>
    <row r="15" spans="1:8" ht="15" customHeight="1" x14ac:dyDescent="0.35">
      <c r="A15" s="188"/>
      <c r="B15" s="188"/>
      <c r="C15" s="188"/>
      <c r="D15" s="188"/>
      <c r="E15" s="188"/>
      <c r="F15" s="188"/>
      <c r="G15" s="188"/>
      <c r="H15" s="188"/>
    </row>
  </sheetData>
  <mergeCells count="12">
    <mergeCell ref="A7:C7"/>
    <mergeCell ref="E7:G7"/>
    <mergeCell ref="A3:G4"/>
    <mergeCell ref="A5:C5"/>
    <mergeCell ref="E5:G5"/>
    <mergeCell ref="A6:C6"/>
    <mergeCell ref="E6:G6"/>
    <mergeCell ref="A8:C8"/>
    <mergeCell ref="E8:G8"/>
    <mergeCell ref="A12:H12"/>
    <mergeCell ref="A13:H13"/>
    <mergeCell ref="A15:H15"/>
  </mergeCells>
  <printOptions horizontalCentered="1"/>
  <pageMargins left="0.7" right="0.7" top="0.75" bottom="0.75" header="0.3" footer="0.3"/>
  <pageSetup orientation="portrait" r:id="rId1"/>
  <headerFooter>
    <oddHeader>&amp;RTO2021 Draft Annual Update
Attachment 4
WP-Schedule 3-One Time Adj Prior Period
Page &amp;P of &amp;N</oddHeader>
    <oddFooter>&amp;R&amp;A</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740C2-482B-44D8-85AF-2CD23EBA1C1E}">
  <dimension ref="A1:N172"/>
  <sheetViews>
    <sheetView zoomScaleNormal="100" workbookViewId="0">
      <selection activeCell="C23" sqref="C23"/>
    </sheetView>
  </sheetViews>
  <sheetFormatPr defaultRowHeight="12.5" x14ac:dyDescent="0.25"/>
  <cols>
    <col min="1" max="2" width="4.7265625" style="98" customWidth="1"/>
    <col min="3" max="3" width="18.7265625" style="98" customWidth="1"/>
    <col min="4" max="4" width="10.26953125" style="98" bestFit="1" customWidth="1"/>
    <col min="5" max="7" width="15.7265625" style="98" customWidth="1"/>
    <col min="8" max="8" width="24.7265625" style="98" customWidth="1"/>
    <col min="9" max="9" width="4.54296875" style="98" customWidth="1"/>
    <col min="10" max="10" width="15.7265625" style="98" customWidth="1"/>
    <col min="11" max="11" width="11.36328125" style="98" customWidth="1"/>
    <col min="12" max="12" width="15.90625" style="98" customWidth="1"/>
    <col min="13" max="13" width="4.453125" style="98" customWidth="1"/>
    <col min="14" max="14" width="15.26953125" style="98" customWidth="1"/>
    <col min="15" max="16384" width="8.7265625" style="98"/>
  </cols>
  <sheetData>
    <row r="1" spans="1:14" ht="13" x14ac:dyDescent="0.3">
      <c r="A1" s="97" t="s">
        <v>35</v>
      </c>
    </row>
    <row r="3" spans="1:14" ht="13" x14ac:dyDescent="0.3">
      <c r="B3" s="99" t="s">
        <v>36</v>
      </c>
      <c r="L3" s="101"/>
    </row>
    <row r="4" spans="1:14" ht="13" x14ac:dyDescent="0.3">
      <c r="B4" s="100"/>
      <c r="F4" s="101" t="s">
        <v>37</v>
      </c>
      <c r="G4" s="101"/>
      <c r="H4" s="101" t="s">
        <v>38</v>
      </c>
      <c r="L4" s="101"/>
      <c r="N4" s="101"/>
    </row>
    <row r="5" spans="1:14" ht="13" x14ac:dyDescent="0.3">
      <c r="A5" s="102" t="s">
        <v>39</v>
      </c>
      <c r="B5" s="103"/>
      <c r="C5" s="104" t="s">
        <v>40</v>
      </c>
      <c r="F5" s="105" t="s">
        <v>41</v>
      </c>
      <c r="G5" s="105" t="s">
        <v>42</v>
      </c>
      <c r="H5" s="105" t="s">
        <v>43</v>
      </c>
      <c r="J5" s="105" t="s">
        <v>32</v>
      </c>
      <c r="L5" s="105"/>
      <c r="N5" s="105"/>
    </row>
    <row r="6" spans="1:14" ht="13" x14ac:dyDescent="0.3">
      <c r="A6" s="101">
        <v>1</v>
      </c>
      <c r="C6" s="106" t="s">
        <v>44</v>
      </c>
      <c r="F6" s="98" t="s">
        <v>45</v>
      </c>
      <c r="H6" s="106" t="str">
        <f>"6-PlantInService, Line "&amp;'[16]6-PlantInService'!A42&amp;""</f>
        <v>6-PlantInService, Line 18</v>
      </c>
      <c r="J6" s="107">
        <f>'[16]6-PlantInService'!D42</f>
        <v>8666375346.7182045</v>
      </c>
      <c r="L6" s="105"/>
      <c r="N6" s="107"/>
    </row>
    <row r="7" spans="1:14" ht="13" x14ac:dyDescent="0.3">
      <c r="A7" s="101">
        <f>A6+1</f>
        <v>2</v>
      </c>
      <c r="C7" s="106" t="s">
        <v>46</v>
      </c>
      <c r="F7" s="98" t="s">
        <v>47</v>
      </c>
      <c r="H7" s="106" t="str">
        <f>"6-PlantInService, Line "&amp;'[16]6-PlantInService'!A58&amp;""</f>
        <v>6-PlantInService, Line 24</v>
      </c>
      <c r="J7" s="107">
        <f>'[16]6-PlantInService'!F58</f>
        <v>250784298.74780104</v>
      </c>
      <c r="L7" s="105"/>
      <c r="N7" s="107"/>
    </row>
    <row r="8" spans="1:14" ht="13" x14ac:dyDescent="0.3">
      <c r="A8" s="101">
        <f>A7+1</f>
        <v>3</v>
      </c>
      <c r="C8" s="106" t="s">
        <v>48</v>
      </c>
      <c r="F8" s="98" t="s">
        <v>47</v>
      </c>
      <c r="H8" s="98" t="str">
        <f>"11-PHFU, Line "&amp;'[16]11-PHFU'!A41&amp;""</f>
        <v>11-PHFU, Line 9</v>
      </c>
      <c r="J8" s="107">
        <f>'[16]11-PHFU'!D41</f>
        <v>9942155</v>
      </c>
      <c r="L8" s="105"/>
      <c r="N8" s="107"/>
    </row>
    <row r="9" spans="1:14" ht="13" x14ac:dyDescent="0.3">
      <c r="A9" s="101">
        <f>A8+1</f>
        <v>4</v>
      </c>
      <c r="C9" s="106" t="s">
        <v>49</v>
      </c>
      <c r="F9" s="98" t="s">
        <v>47</v>
      </c>
      <c r="H9" s="98" t="str">
        <f>"12-AbandonedPlant Line "&amp;'[16]12-AbandonedPlant'!A21&amp;""</f>
        <v>12-AbandonedPlant Line 4</v>
      </c>
      <c r="J9" s="107">
        <f>'[16]12-AbandonedPlant'!G21</f>
        <v>0</v>
      </c>
      <c r="L9" s="105"/>
      <c r="N9" s="107"/>
    </row>
    <row r="10" spans="1:14" ht="13" x14ac:dyDescent="0.3">
      <c r="A10" s="101"/>
      <c r="C10" s="106"/>
      <c r="J10" s="107"/>
      <c r="L10" s="105"/>
      <c r="N10" s="107"/>
    </row>
    <row r="11" spans="1:14" ht="13" x14ac:dyDescent="0.3">
      <c r="A11" s="101"/>
      <c r="C11" s="108" t="s">
        <v>50</v>
      </c>
      <c r="J11" s="107"/>
      <c r="L11" s="105"/>
      <c r="N11" s="107"/>
    </row>
    <row r="12" spans="1:14" ht="13" x14ac:dyDescent="0.3">
      <c r="A12" s="101">
        <f>A9+1</f>
        <v>5</v>
      </c>
      <c r="C12" s="103" t="s">
        <v>51</v>
      </c>
      <c r="F12" s="98" t="s">
        <v>45</v>
      </c>
      <c r="H12" s="106" t="str">
        <f>"13-WorkCap, Line "&amp;'[16]13-WorkCap'!A27&amp;""</f>
        <v>13-WorkCap, Line 17</v>
      </c>
      <c r="J12" s="107">
        <f>'[16]13-WorkCap'!F27</f>
        <v>14561673.642511051</v>
      </c>
      <c r="L12" s="105"/>
      <c r="N12" s="107"/>
    </row>
    <row r="13" spans="1:14" ht="13" x14ac:dyDescent="0.3">
      <c r="A13" s="101">
        <f>A12+1</f>
        <v>6</v>
      </c>
      <c r="C13" s="103" t="s">
        <v>52</v>
      </c>
      <c r="F13" s="98" t="s">
        <v>45</v>
      </c>
      <c r="H13" s="106" t="str">
        <f>"13-WorkCap, Line "&amp;'[16]13-WorkCap'!A51&amp;""</f>
        <v>13-WorkCap, Line 33</v>
      </c>
      <c r="J13" s="107">
        <f>'[16]13-WorkCap'!F51</f>
        <v>11258426.521027757</v>
      </c>
      <c r="L13" s="105"/>
      <c r="N13" s="107"/>
    </row>
    <row r="14" spans="1:14" ht="13" x14ac:dyDescent="0.3">
      <c r="A14" s="101">
        <f>A13+1</f>
        <v>7</v>
      </c>
      <c r="C14" s="103" t="s">
        <v>53</v>
      </c>
      <c r="F14" s="98" t="s">
        <v>304</v>
      </c>
      <c r="H14" s="98" t="str">
        <f>"1-Base TRR Line "&amp;'[16]1-BaseTRR'!A17&amp;""</f>
        <v>1-Base TRR Line 7</v>
      </c>
      <c r="J14" s="109">
        <f>'[16]1-BaseTRR'!K17</f>
        <v>34370451.020784661</v>
      </c>
      <c r="L14" s="105"/>
      <c r="N14" s="107"/>
    </row>
    <row r="15" spans="1:14" ht="13" x14ac:dyDescent="0.3">
      <c r="A15" s="101">
        <f>A14+1</f>
        <v>8</v>
      </c>
      <c r="C15" s="103" t="s">
        <v>55</v>
      </c>
      <c r="H15" s="98" t="str">
        <f>"Line "&amp;A12&amp;" + Line "&amp;A13&amp;" + Line "&amp;A14&amp;""</f>
        <v>Line 5 + Line 6 + Line 7</v>
      </c>
      <c r="J15" s="110">
        <f>SUM(J12:J14)</f>
        <v>60190551.184323467</v>
      </c>
      <c r="L15" s="105"/>
      <c r="N15" s="107"/>
    </row>
    <row r="16" spans="1:14" ht="13" x14ac:dyDescent="0.3">
      <c r="A16" s="101"/>
      <c r="C16" s="103"/>
      <c r="J16" s="107"/>
      <c r="L16" s="105"/>
      <c r="N16" s="107"/>
    </row>
    <row r="17" spans="1:14" ht="13" x14ac:dyDescent="0.3">
      <c r="A17" s="101"/>
      <c r="C17" s="111" t="s">
        <v>56</v>
      </c>
      <c r="J17" s="107"/>
      <c r="L17" s="105"/>
      <c r="N17" s="107"/>
    </row>
    <row r="18" spans="1:14" ht="13" x14ac:dyDescent="0.3">
      <c r="A18" s="101">
        <f>A15+1</f>
        <v>9</v>
      </c>
      <c r="C18" s="103" t="s">
        <v>57</v>
      </c>
      <c r="F18" s="98" t="s">
        <v>45</v>
      </c>
      <c r="G18" s="98" t="s">
        <v>58</v>
      </c>
      <c r="H18" s="106" t="str">
        <f>"8-AccDep, Line "&amp;'[16]8-AccDep'!A25&amp;", Col. 12"</f>
        <v>8-AccDep, Line 14, Col. 12</v>
      </c>
      <c r="J18" s="107">
        <f>-'[16]8-AccDep'!N25</f>
        <v>-1696750194.7350788</v>
      </c>
      <c r="L18" s="105"/>
      <c r="N18" s="107"/>
    </row>
    <row r="19" spans="1:14" ht="13" x14ac:dyDescent="0.3">
      <c r="A19" s="101">
        <f>A18+1</f>
        <v>10</v>
      </c>
      <c r="C19" s="103" t="s">
        <v>59</v>
      </c>
      <c r="F19" s="98" t="s">
        <v>47</v>
      </c>
      <c r="G19" s="98" t="s">
        <v>58</v>
      </c>
      <c r="H19" s="106" t="str">
        <f>"8-AccDep, Line "&amp;'[16]8-AccDep'!A35&amp;", Col. 5"</f>
        <v>8-AccDep, Line 17, Col. 5</v>
      </c>
      <c r="J19" s="107">
        <f>-'[16]8-AccDep'!G35</f>
        <v>0</v>
      </c>
      <c r="L19" s="105"/>
      <c r="N19" s="107"/>
    </row>
    <row r="20" spans="1:14" ht="13" x14ac:dyDescent="0.3">
      <c r="A20" s="101">
        <f>A19+1</f>
        <v>11</v>
      </c>
      <c r="C20" s="103" t="s">
        <v>60</v>
      </c>
      <c r="D20" s="112"/>
      <c r="F20" s="98" t="s">
        <v>47</v>
      </c>
      <c r="G20" s="98" t="s">
        <v>58</v>
      </c>
      <c r="H20" s="106" t="str">
        <f>"8-AccDep, Line "&amp;'[16]8-AccDep'!A53&amp;""</f>
        <v>8-AccDep, Line 23</v>
      </c>
      <c r="J20" s="113">
        <f>-'[16]8-AccDep'!F53</f>
        <v>-96157604.895406127</v>
      </c>
      <c r="L20" s="105"/>
      <c r="N20" s="107"/>
    </row>
    <row r="21" spans="1:14" ht="13" x14ac:dyDescent="0.3">
      <c r="A21" s="101">
        <f>A20+1</f>
        <v>12</v>
      </c>
      <c r="C21" s="114" t="s">
        <v>61</v>
      </c>
      <c r="D21" s="112"/>
      <c r="H21" s="98" t="str">
        <f>"Line "&amp;A18&amp;" + Line "&amp;A19&amp;" + Line "&amp;A20&amp;""</f>
        <v>Line 9 + Line 10 + Line 11</v>
      </c>
      <c r="J21" s="107">
        <f>SUM(J18:J20)</f>
        <v>-1792907799.6304851</v>
      </c>
      <c r="L21" s="105"/>
      <c r="N21" s="107"/>
    </row>
    <row r="22" spans="1:14" ht="13" x14ac:dyDescent="0.3">
      <c r="A22" s="101"/>
      <c r="J22" s="107"/>
      <c r="L22" s="105"/>
      <c r="N22" s="107"/>
    </row>
    <row r="23" spans="1:14" ht="13" x14ac:dyDescent="0.3">
      <c r="A23" s="101">
        <f>A21+1</f>
        <v>13</v>
      </c>
      <c r="C23" s="106" t="s">
        <v>62</v>
      </c>
      <c r="F23" s="98" t="s">
        <v>47</v>
      </c>
      <c r="H23" s="106" t="str">
        <f>"9-ADIT, Line "&amp;'[16]9-ADIT'!A24&amp;""</f>
        <v>9-ADIT, Line 15</v>
      </c>
      <c r="J23" s="107">
        <f>'[16]9-ADIT'!D24</f>
        <v>-1646877466.9842367</v>
      </c>
      <c r="L23" s="105"/>
      <c r="N23" s="107"/>
    </row>
    <row r="24" spans="1:14" ht="13" x14ac:dyDescent="0.3">
      <c r="A24" s="101">
        <f>A23+1</f>
        <v>14</v>
      </c>
      <c r="C24" s="106" t="s">
        <v>63</v>
      </c>
      <c r="F24" s="98" t="s">
        <v>45</v>
      </c>
      <c r="H24" s="106" t="str">
        <f>"14-IncentivePlant, L "&amp;'[16]14-IncentivePlant'!A37&amp;", C2"</f>
        <v>14-IncentivePlant, L 12, C2</v>
      </c>
      <c r="J24" s="107">
        <f>'[16]14-IncentivePlant'!F37</f>
        <v>297221934.48615384</v>
      </c>
      <c r="L24" s="105"/>
      <c r="N24" s="107"/>
    </row>
    <row r="25" spans="1:14" ht="13" x14ac:dyDescent="0.3">
      <c r="A25" s="101">
        <f>A24+1</f>
        <v>15</v>
      </c>
      <c r="C25" s="106" t="s">
        <v>64</v>
      </c>
      <c r="F25" s="98" t="s">
        <v>47</v>
      </c>
      <c r="G25" s="98" t="s">
        <v>58</v>
      </c>
      <c r="H25" s="106" t="str">
        <f>"22-NUCs, Line "&amp;'[16]22-NUCs'!A15&amp;""</f>
        <v>22-NUCs, Line 7</v>
      </c>
      <c r="J25" s="107">
        <f>-'[16]22-NUCs'!E15</f>
        <v>-78952573</v>
      </c>
      <c r="L25" s="105"/>
      <c r="N25" s="107"/>
    </row>
    <row r="26" spans="1:14" ht="13" x14ac:dyDescent="0.3">
      <c r="A26" s="101">
        <f t="shared" ref="A26:A27" si="0">A25+1</f>
        <v>16</v>
      </c>
      <c r="C26" s="106" t="s">
        <v>66</v>
      </c>
      <c r="H26" s="98" t="str">
        <f>"34-UnfundedReserves, Line "&amp;'[16]34-UnfundedReserves'!A10&amp;""</f>
        <v>34-UnfundedReserves, Line 7</v>
      </c>
      <c r="J26" s="107">
        <f>'[16]34-UnfundedReserves'!K10</f>
        <v>-86758063.662293404</v>
      </c>
      <c r="L26" s="105"/>
      <c r="N26" s="107"/>
    </row>
    <row r="27" spans="1:14" ht="13" x14ac:dyDescent="0.3">
      <c r="A27" s="101">
        <f t="shared" si="0"/>
        <v>17</v>
      </c>
      <c r="C27" s="106" t="s">
        <v>67</v>
      </c>
      <c r="F27" s="98" t="s">
        <v>47</v>
      </c>
      <c r="H27" s="106" t="str">
        <f>"23-RegAssets, Line "&amp;'[16]23-RegAssets'!A18&amp;""</f>
        <v>23-RegAssets, Line 15</v>
      </c>
      <c r="J27" s="107">
        <f>'[16]23-RegAssets'!E18</f>
        <v>0</v>
      </c>
      <c r="L27" s="105"/>
      <c r="N27" s="107"/>
    </row>
    <row r="28" spans="1:14" ht="13" x14ac:dyDescent="0.3">
      <c r="A28" s="101"/>
      <c r="C28" s="106"/>
      <c r="L28" s="105"/>
      <c r="N28" s="107"/>
    </row>
    <row r="29" spans="1:14" ht="13" x14ac:dyDescent="0.3">
      <c r="A29" s="101">
        <f>A27+1</f>
        <v>18</v>
      </c>
      <c r="C29" s="98" t="s">
        <v>68</v>
      </c>
      <c r="H29" s="98" t="str">
        <f>"L"&amp;A6&amp;"+L"&amp;A7&amp;"+L"&amp;A8&amp;"+L"&amp;A9&amp;"+L"&amp;A15&amp;"+L"&amp;A21&amp;"+"</f>
        <v>L1+L2+L3+L4+L8+L12+</v>
      </c>
      <c r="J29" s="110">
        <f>J6+ J7+J8+J9+J15+J21+J23+J24+J25+J26+J27</f>
        <v>5679018382.8594675</v>
      </c>
      <c r="L29" s="105"/>
      <c r="N29" s="107"/>
    </row>
    <row r="30" spans="1:14" ht="13" x14ac:dyDescent="0.3">
      <c r="A30" s="101"/>
      <c r="H30" s="98" t="str">
        <f>"L"&amp;A23&amp;"+L"&amp;A24&amp;"+L"&amp;A25&amp;"+L"&amp;A26&amp;"+L"&amp;A27&amp;""</f>
        <v>L13+L14+L15+L16+L17</v>
      </c>
      <c r="J30" s="107"/>
      <c r="L30" s="105"/>
      <c r="N30" s="107"/>
    </row>
    <row r="31" spans="1:14" ht="13" x14ac:dyDescent="0.3">
      <c r="A31" s="101"/>
      <c r="B31" s="97" t="s">
        <v>69</v>
      </c>
      <c r="J31" s="107"/>
      <c r="L31" s="105"/>
      <c r="N31" s="107"/>
    </row>
    <row r="32" spans="1:14" ht="13" x14ac:dyDescent="0.3">
      <c r="A32" s="102" t="s">
        <v>39</v>
      </c>
      <c r="C32" s="97"/>
      <c r="J32" s="107"/>
      <c r="L32" s="105"/>
      <c r="N32" s="107"/>
    </row>
    <row r="33" spans="1:14" ht="13" x14ac:dyDescent="0.3">
      <c r="A33" s="101">
        <f>A29+1</f>
        <v>19</v>
      </c>
      <c r="C33" s="98" t="s">
        <v>70</v>
      </c>
      <c r="G33" s="98" t="s">
        <v>71</v>
      </c>
      <c r="H33" s="98" t="str">
        <f>"Instruction 1, Line "&amp;B98&amp;""</f>
        <v>Instruction 1, Line j</v>
      </c>
      <c r="J33" s="115">
        <f>E98</f>
        <v>7.8018766760959951E-2</v>
      </c>
      <c r="L33" s="105"/>
      <c r="M33" s="115"/>
      <c r="N33" s="107"/>
    </row>
    <row r="34" spans="1:14" ht="13" x14ac:dyDescent="0.3">
      <c r="A34" s="101">
        <f>A33+1</f>
        <v>20</v>
      </c>
      <c r="C34" s="98" t="s">
        <v>72</v>
      </c>
      <c r="H34" s="98" t="str">
        <f>"Line "&amp;A29&amp;" * Line "&amp;A33&amp;""</f>
        <v>Line 18 * Line 19</v>
      </c>
      <c r="J34" s="107">
        <f>J29*J33</f>
        <v>443070010.64351678</v>
      </c>
      <c r="L34" s="105"/>
      <c r="N34" s="107"/>
    </row>
    <row r="35" spans="1:14" ht="13" x14ac:dyDescent="0.3">
      <c r="A35" s="101"/>
      <c r="B35" s="103"/>
      <c r="L35" s="105"/>
      <c r="N35" s="107"/>
    </row>
    <row r="36" spans="1:14" ht="13" x14ac:dyDescent="0.3">
      <c r="A36" s="101"/>
      <c r="B36" s="97" t="s">
        <v>73</v>
      </c>
      <c r="L36" s="105"/>
      <c r="N36" s="107"/>
    </row>
    <row r="37" spans="1:14" ht="13" x14ac:dyDescent="0.3">
      <c r="A37" s="101"/>
      <c r="B37" s="103"/>
      <c r="L37" s="105"/>
      <c r="N37" s="107"/>
    </row>
    <row r="38" spans="1:14" ht="13" x14ac:dyDescent="0.3">
      <c r="A38" s="101">
        <f>A34+1</f>
        <v>21</v>
      </c>
      <c r="C38" s="98" t="s">
        <v>74</v>
      </c>
      <c r="J38" s="107">
        <f>(((J29*J42) + J45) *(J43/(1-J43)))+(J44/(1-J43))</f>
        <v>91558171.902911082</v>
      </c>
      <c r="L38" s="105"/>
      <c r="N38" s="107"/>
    </row>
    <row r="39" spans="1:14" ht="13" x14ac:dyDescent="0.3">
      <c r="A39" s="101"/>
      <c r="L39" s="105"/>
      <c r="N39" s="107"/>
    </row>
    <row r="40" spans="1:14" ht="13" x14ac:dyDescent="0.3">
      <c r="A40" s="101"/>
      <c r="D40" s="98" t="s">
        <v>75</v>
      </c>
      <c r="L40" s="105"/>
      <c r="N40" s="107"/>
    </row>
    <row r="41" spans="1:14" ht="13" x14ac:dyDescent="0.3">
      <c r="A41" s="101">
        <f>A38+1</f>
        <v>22</v>
      </c>
      <c r="D41" s="103" t="s">
        <v>76</v>
      </c>
      <c r="H41" s="98" t="str">
        <f>"Line "&amp;A29&amp;""</f>
        <v>Line 18</v>
      </c>
      <c r="J41" s="107">
        <f>J29</f>
        <v>5679018382.8594675</v>
      </c>
      <c r="L41" s="105"/>
      <c r="N41" s="107"/>
    </row>
    <row r="42" spans="1:14" ht="13" x14ac:dyDescent="0.3">
      <c r="A42" s="101">
        <f>A41+1</f>
        <v>23</v>
      </c>
      <c r="D42" s="103" t="s">
        <v>77</v>
      </c>
      <c r="G42" s="98" t="s">
        <v>78</v>
      </c>
      <c r="H42" s="98" t="str">
        <f>"Instruction 1, Line "&amp;B103&amp;""</f>
        <v>Instruction 1, Line k</v>
      </c>
      <c r="J42" s="115">
        <f>E103</f>
        <v>5.6848332774048153E-2</v>
      </c>
      <c r="L42" s="105"/>
      <c r="M42" s="115"/>
      <c r="N42" s="107"/>
    </row>
    <row r="43" spans="1:14" ht="13" x14ac:dyDescent="0.3">
      <c r="A43" s="101">
        <f>A42+1</f>
        <v>24</v>
      </c>
      <c r="D43" s="103" t="s">
        <v>79</v>
      </c>
      <c r="H43" s="98" t="str">
        <f>"1-Base TRR L "&amp;'[16]1-BaseTRR'!A102&amp;""</f>
        <v>1-Base TRR L 59</v>
      </c>
      <c r="J43" s="115">
        <f>'[16]1-BaseTRR'!K102</f>
        <v>0.27983599999999997</v>
      </c>
      <c r="L43" s="105"/>
      <c r="M43" s="115"/>
      <c r="N43" s="107"/>
    </row>
    <row r="44" spans="1:14" ht="13" x14ac:dyDescent="0.3">
      <c r="A44" s="101">
        <f>A43+1</f>
        <v>25</v>
      </c>
      <c r="D44" s="103" t="s">
        <v>80</v>
      </c>
      <c r="H44" s="98" t="str">
        <f>"1-Base TRR L "&amp;'[16]1-BaseTRR'!A108&amp;""</f>
        <v>1-Base TRR L 63</v>
      </c>
      <c r="J44" s="107">
        <f>'[16]1-BaseTRR'!K108</f>
        <v>-25416331</v>
      </c>
      <c r="L44" s="105"/>
      <c r="N44" s="107"/>
    </row>
    <row r="45" spans="1:14" ht="13" x14ac:dyDescent="0.3">
      <c r="A45" s="101">
        <f>A44+1</f>
        <v>26</v>
      </c>
      <c r="D45" s="103" t="s">
        <v>81</v>
      </c>
      <c r="H45" s="98" t="str">
        <f>"1-Base TRR L "&amp;'[16]1-BaseTRR'!A112&amp;""</f>
        <v>1-Base TRR L 65</v>
      </c>
      <c r="J45" s="107">
        <f>'[16]1-BaseTRR'!K119</f>
        <v>3610018</v>
      </c>
      <c r="L45" s="105"/>
      <c r="N45" s="107"/>
    </row>
    <row r="46" spans="1:14" ht="13" x14ac:dyDescent="0.3">
      <c r="A46" s="101"/>
      <c r="B46" s="103"/>
      <c r="L46" s="105"/>
      <c r="N46" s="107"/>
    </row>
    <row r="47" spans="1:14" ht="13" x14ac:dyDescent="0.3">
      <c r="A47" s="101"/>
      <c r="B47" s="97" t="s">
        <v>82</v>
      </c>
      <c r="L47" s="105"/>
      <c r="N47" s="107"/>
    </row>
    <row r="48" spans="1:14" ht="13" x14ac:dyDescent="0.3">
      <c r="A48" s="101">
        <f>A45+1</f>
        <v>27</v>
      </c>
      <c r="B48" s="103"/>
      <c r="C48" s="98" t="s">
        <v>83</v>
      </c>
      <c r="H48" s="98" t="str">
        <f>"1-Base TRR L "&amp;'[16]1-BaseTRR'!A124&amp;""</f>
        <v>1-Base TRR L 66</v>
      </c>
      <c r="J48" s="107">
        <f>'[16]1-BaseTRR'!K124</f>
        <v>68175046.600722671</v>
      </c>
      <c r="L48" s="105"/>
      <c r="N48" s="107"/>
    </row>
    <row r="49" spans="1:14" ht="13" x14ac:dyDescent="0.3">
      <c r="A49" s="101">
        <f t="shared" ref="A49:A59" si="1">A48+1</f>
        <v>28</v>
      </c>
      <c r="B49" s="103"/>
      <c r="C49" s="98" t="s">
        <v>84</v>
      </c>
      <c r="H49" s="98" t="str">
        <f>"1-Base TRR L "&amp;'[16]1-BaseTRR'!A125&amp;""</f>
        <v>1-Base TRR L 67</v>
      </c>
      <c r="J49" s="110">
        <f>'[16]1-BaseTRR'!K125</f>
        <v>206788561.56555459</v>
      </c>
      <c r="L49" s="105"/>
      <c r="N49" s="107"/>
    </row>
    <row r="50" spans="1:14" ht="13" x14ac:dyDescent="0.3">
      <c r="A50" s="101">
        <f>A49+1</f>
        <v>29</v>
      </c>
      <c r="B50" s="103"/>
      <c r="C50" s="98" t="s">
        <v>85</v>
      </c>
      <c r="H50" s="98" t="str">
        <f>"1-Base TRR L "&amp;'[16]1-BaseTRR'!A126&amp;""</f>
        <v>1-Base TRR L 68</v>
      </c>
      <c r="J50" s="107">
        <f>'[16]1-BaseTRR'!K126</f>
        <v>5429238</v>
      </c>
      <c r="L50" s="105"/>
      <c r="N50" s="107"/>
    </row>
    <row r="51" spans="1:14" ht="13" x14ac:dyDescent="0.3">
      <c r="A51" s="101">
        <f t="shared" si="1"/>
        <v>30</v>
      </c>
      <c r="B51" s="103"/>
      <c r="C51" s="98" t="s">
        <v>86</v>
      </c>
      <c r="H51" s="98" t="str">
        <f>"1-Base TRR L "&amp;'[16]1-BaseTRR'!A127&amp;""</f>
        <v>1-Base TRR L 69</v>
      </c>
      <c r="J51" s="107">
        <f>'[16]1-BaseTRR'!K127</f>
        <v>245884459.62477174</v>
      </c>
      <c r="L51" s="105"/>
      <c r="N51" s="107"/>
    </row>
    <row r="52" spans="1:14" ht="13" x14ac:dyDescent="0.3">
      <c r="A52" s="101">
        <f t="shared" si="1"/>
        <v>31</v>
      </c>
      <c r="B52" s="103"/>
      <c r="C52" s="98" t="s">
        <v>87</v>
      </c>
      <c r="H52" s="98" t="str">
        <f>"1-Base TRR L "&amp;'[16]1-BaseTRR'!A128&amp;""</f>
        <v>1-Base TRR L 70</v>
      </c>
      <c r="J52" s="107">
        <f>'[16]1-BaseTRR'!K128</f>
        <v>0</v>
      </c>
      <c r="L52" s="105"/>
      <c r="N52" s="107"/>
    </row>
    <row r="53" spans="1:14" ht="13" x14ac:dyDescent="0.3">
      <c r="A53" s="101">
        <f t="shared" si="1"/>
        <v>32</v>
      </c>
      <c r="B53" s="103"/>
      <c r="C53" s="98" t="s">
        <v>88</v>
      </c>
      <c r="H53" s="98" t="str">
        <f>"1-Base TRR L "&amp;'[16]1-BaseTRR'!A129&amp;""</f>
        <v>1-Base TRR L 71</v>
      </c>
      <c r="J53" s="107">
        <f>'[16]1-BaseTRR'!K129</f>
        <v>63673657.128531143</v>
      </c>
      <c r="L53" s="105"/>
      <c r="N53" s="107"/>
    </row>
    <row r="54" spans="1:14" ht="13" x14ac:dyDescent="0.3">
      <c r="A54" s="101">
        <f t="shared" si="1"/>
        <v>33</v>
      </c>
      <c r="B54" s="103"/>
      <c r="C54" s="98" t="s">
        <v>89</v>
      </c>
      <c r="H54" s="98" t="str">
        <f>"1-Base TRR L "&amp;'[16]1-BaseTRR'!A130&amp;""</f>
        <v>1-Base TRR L 72</v>
      </c>
      <c r="J54" s="107">
        <f>'[16]1-BaseTRR'!K130</f>
        <v>-58173790.509793751</v>
      </c>
      <c r="L54" s="105"/>
      <c r="N54" s="107"/>
    </row>
    <row r="55" spans="1:14" ht="13" x14ac:dyDescent="0.3">
      <c r="A55" s="101">
        <f t="shared" si="1"/>
        <v>34</v>
      </c>
      <c r="B55" s="103"/>
      <c r="C55" s="98" t="s">
        <v>90</v>
      </c>
      <c r="H55" s="98" t="str">
        <f>"Line "&amp;A34&amp;""</f>
        <v>Line 20</v>
      </c>
      <c r="J55" s="107">
        <f>J34</f>
        <v>443070010.64351678</v>
      </c>
      <c r="L55" s="105"/>
      <c r="N55" s="107"/>
    </row>
    <row r="56" spans="1:14" ht="13" x14ac:dyDescent="0.3">
      <c r="A56" s="101">
        <f t="shared" si="1"/>
        <v>35</v>
      </c>
      <c r="B56" s="103"/>
      <c r="C56" s="98" t="s">
        <v>91</v>
      </c>
      <c r="H56" s="98" t="str">
        <f>"Line "&amp;A38&amp;""</f>
        <v>Line 21</v>
      </c>
      <c r="J56" s="107">
        <f>J38</f>
        <v>91558171.902911082</v>
      </c>
      <c r="L56" s="105"/>
      <c r="N56" s="107"/>
    </row>
    <row r="57" spans="1:14" ht="13" x14ac:dyDescent="0.3">
      <c r="A57" s="101">
        <f t="shared" si="1"/>
        <v>36</v>
      </c>
      <c r="B57" s="103"/>
      <c r="C57" s="98" t="s">
        <v>92</v>
      </c>
      <c r="H57" s="98" t="str">
        <f>"1-Base TRR L "&amp;'[16]1-BaseTRR'!A133&amp;""</f>
        <v>1-Base TRR L 75</v>
      </c>
      <c r="J57" s="107">
        <f>'[16]1-BaseTRR'!K133</f>
        <v>0</v>
      </c>
      <c r="L57" s="105"/>
      <c r="N57" s="107"/>
    </row>
    <row r="58" spans="1:14" ht="13" x14ac:dyDescent="0.3">
      <c r="A58" s="101">
        <f t="shared" si="1"/>
        <v>37</v>
      </c>
      <c r="B58" s="103"/>
      <c r="C58" s="116" t="s">
        <v>93</v>
      </c>
      <c r="D58" s="116"/>
      <c r="H58" s="98" t="str">
        <f>"1-Base TRR L "&amp;'[16]1-BaseTRR'!A134&amp;""</f>
        <v>1-Base TRR L 76</v>
      </c>
      <c r="J58" s="113">
        <f>'[16]1-BaseTRR'!K134</f>
        <v>0</v>
      </c>
      <c r="L58" s="105"/>
      <c r="N58" s="107"/>
    </row>
    <row r="59" spans="1:14" ht="13" x14ac:dyDescent="0.3">
      <c r="A59" s="101">
        <f t="shared" si="1"/>
        <v>38</v>
      </c>
      <c r="B59" s="103"/>
      <c r="C59" s="98" t="s">
        <v>94</v>
      </c>
      <c r="H59" s="98" t="str">
        <f>"Sum Line "&amp;A48&amp;" to Line "&amp;A58&amp;""</f>
        <v>Sum Line 27 to Line 37</v>
      </c>
      <c r="J59" s="110">
        <f>SUM(J48:J58)</f>
        <v>1066405354.9562142</v>
      </c>
      <c r="L59" s="105"/>
      <c r="N59" s="107"/>
    </row>
    <row r="60" spans="1:14" ht="13" x14ac:dyDescent="0.3">
      <c r="A60" s="101"/>
      <c r="B60" s="103"/>
      <c r="J60" s="107"/>
      <c r="L60" s="105"/>
      <c r="N60" s="107"/>
    </row>
    <row r="61" spans="1:14" ht="12.75" customHeight="1" x14ac:dyDescent="0.3">
      <c r="A61" s="101">
        <f>A59+1</f>
        <v>39</v>
      </c>
      <c r="B61" s="103"/>
      <c r="C61" s="98" t="s">
        <v>95</v>
      </c>
      <c r="H61" s="98" t="str">
        <f>"15-IncentiveAdder L "&amp;'[16]15-IncentiveAdder'!A59&amp;""</f>
        <v>15-IncentiveAdder L 20</v>
      </c>
      <c r="J61" s="107">
        <f>'[16]15-IncentiveAdder'!G59</f>
        <v>26918854.433303144</v>
      </c>
      <c r="L61" s="105"/>
      <c r="N61" s="107"/>
    </row>
    <row r="62" spans="1:14" ht="12.75" customHeight="1" x14ac:dyDescent="0.3">
      <c r="A62" s="101" t="s">
        <v>318</v>
      </c>
      <c r="C62" s="98" t="s">
        <v>319</v>
      </c>
      <c r="H62" s="98" t="s">
        <v>320</v>
      </c>
      <c r="J62" s="107">
        <f>-J61</f>
        <v>-26918854.433303144</v>
      </c>
      <c r="L62" s="105"/>
      <c r="N62" s="107"/>
    </row>
    <row r="63" spans="1:14" ht="13" x14ac:dyDescent="0.3">
      <c r="A63" s="101"/>
      <c r="B63" s="103"/>
      <c r="J63" s="107"/>
      <c r="L63" s="105"/>
      <c r="N63" s="107"/>
    </row>
    <row r="64" spans="1:14" ht="13" x14ac:dyDescent="0.3">
      <c r="A64" s="101">
        <f>A61+1</f>
        <v>40</v>
      </c>
      <c r="B64" s="103"/>
      <c r="C64" s="98" t="s">
        <v>96</v>
      </c>
      <c r="H64" s="98" t="s">
        <v>321</v>
      </c>
      <c r="J64" s="110">
        <f>J59+J61+J62</f>
        <v>1066405354.9562142</v>
      </c>
      <c r="L64" s="105"/>
      <c r="N64" s="107"/>
    </row>
    <row r="65" spans="1:14" ht="13" x14ac:dyDescent="0.3">
      <c r="A65" s="101"/>
      <c r="B65" s="103"/>
      <c r="J65" s="107"/>
    </row>
    <row r="66" spans="1:14" ht="13" x14ac:dyDescent="0.3">
      <c r="A66" s="101"/>
      <c r="B66" s="99" t="s">
        <v>97</v>
      </c>
      <c r="J66" s="107"/>
      <c r="N66" s="101"/>
    </row>
    <row r="67" spans="1:14" ht="13.5" thickBot="1" x14ac:dyDescent="0.35">
      <c r="A67" s="102" t="s">
        <v>39</v>
      </c>
      <c r="B67" s="106"/>
      <c r="G67" s="104" t="s">
        <v>98</v>
      </c>
      <c r="N67" s="105"/>
    </row>
    <row r="68" spans="1:14" ht="13" x14ac:dyDescent="0.3">
      <c r="A68" s="101">
        <f>A64+1</f>
        <v>41</v>
      </c>
      <c r="B68" s="106"/>
      <c r="D68" s="117" t="s">
        <v>99</v>
      </c>
      <c r="E68" s="110">
        <f>J64</f>
        <v>1066405354.9562142</v>
      </c>
      <c r="G68" s="98" t="str">
        <f>"Line "&amp;A64&amp;""</f>
        <v>Line 40</v>
      </c>
      <c r="J68" s="118" t="s">
        <v>100</v>
      </c>
      <c r="N68" s="107"/>
    </row>
    <row r="69" spans="1:14" ht="13" x14ac:dyDescent="0.3">
      <c r="A69" s="101">
        <f>A68+1</f>
        <v>42</v>
      </c>
      <c r="B69" s="106"/>
      <c r="D69" s="117" t="s">
        <v>101</v>
      </c>
      <c r="E69" s="119">
        <f>'[16]28-FFU'!D22</f>
        <v>9.2440000000000005E-3</v>
      </c>
      <c r="G69" s="98" t="str">
        <f>"28-FFU, L "&amp;'[16]28-FFU'!A22&amp;""</f>
        <v>28-FFU, L 5</v>
      </c>
      <c r="J69" s="120" t="s">
        <v>305</v>
      </c>
      <c r="N69" s="115"/>
    </row>
    <row r="70" spans="1:14" ht="13" x14ac:dyDescent="0.3">
      <c r="A70" s="101">
        <f>A69+1</f>
        <v>43</v>
      </c>
      <c r="B70" s="106"/>
      <c r="D70" s="117" t="s">
        <v>102</v>
      </c>
      <c r="E70" s="107">
        <f>E68*'[16]28-FFU'!D22</f>
        <v>9857851.1012152452</v>
      </c>
      <c r="G70" s="98" t="str">
        <f>"Line "&amp;A68&amp;" * Line "&amp;A69&amp;""</f>
        <v>Line 41 * Line 42</v>
      </c>
      <c r="J70" s="121">
        <f>E73</f>
        <v>1078538915.0849061</v>
      </c>
      <c r="N70" s="107"/>
    </row>
    <row r="71" spans="1:14" ht="25.5" customHeight="1" x14ac:dyDescent="0.3">
      <c r="A71" s="101">
        <f>A70+1</f>
        <v>44</v>
      </c>
      <c r="B71" s="106"/>
      <c r="D71" s="117" t="s">
        <v>103</v>
      </c>
      <c r="E71" s="119">
        <f>'[16]28-FFU'!E22</f>
        <v>2.134E-3</v>
      </c>
      <c r="G71" s="98" t="str">
        <f>"28-FFU, L "&amp;'[16]28-FFU'!A22&amp;""</f>
        <v>28-FFU, L 5</v>
      </c>
      <c r="J71" s="122">
        <v>1078540190.2918077</v>
      </c>
      <c r="K71" s="197" t="s">
        <v>322</v>
      </c>
      <c r="L71" s="214"/>
      <c r="N71" s="115"/>
    </row>
    <row r="72" spans="1:14" ht="13.5" thickBot="1" x14ac:dyDescent="0.35">
      <c r="A72" s="101">
        <f>A71+1</f>
        <v>45</v>
      </c>
      <c r="B72" s="106"/>
      <c r="D72" s="117" t="s">
        <v>104</v>
      </c>
      <c r="E72" s="107">
        <f>E68*'[16]28-FFU'!E22</f>
        <v>2275709.0274765613</v>
      </c>
      <c r="G72" s="98" t="str">
        <f>"Line "&amp;A70&amp;" * Line "&amp;A71&amp;""</f>
        <v>Line 43 * Line 44</v>
      </c>
      <c r="J72" s="123">
        <f>J70-J71</f>
        <v>-1275.206901550293</v>
      </c>
      <c r="K72" s="163"/>
      <c r="L72" s="164"/>
      <c r="N72" s="107"/>
    </row>
    <row r="73" spans="1:14" ht="13" x14ac:dyDescent="0.3">
      <c r="A73" s="101">
        <f>A72+1</f>
        <v>46</v>
      </c>
      <c r="B73" s="106"/>
      <c r="D73" s="117" t="s">
        <v>105</v>
      </c>
      <c r="E73" s="110">
        <f>E68+E70+E72</f>
        <v>1078538915.0849061</v>
      </c>
      <c r="G73" s="98" t="str">
        <f>"L "&amp;A68&amp;" + L "&amp;A70&amp;" + L "&amp;A72&amp;""</f>
        <v>L 41 + L 43 + L 45</v>
      </c>
      <c r="K73" s="124">
        <v>-1275.206901550293</v>
      </c>
      <c r="L73" s="98" t="s">
        <v>301</v>
      </c>
      <c r="N73" s="107"/>
    </row>
    <row r="74" spans="1:14" ht="13" x14ac:dyDescent="0.3">
      <c r="B74" s="99" t="s">
        <v>106</v>
      </c>
      <c r="D74" s="117"/>
      <c r="E74" s="107"/>
      <c r="H74" s="125"/>
    </row>
    <row r="75" spans="1:14" ht="13" x14ac:dyDescent="0.3">
      <c r="A75" s="101"/>
      <c r="B75" s="98" t="s">
        <v>306</v>
      </c>
      <c r="C75" s="99"/>
      <c r="D75" s="117"/>
      <c r="E75" s="107"/>
    </row>
    <row r="76" spans="1:14" ht="13" x14ac:dyDescent="0.3">
      <c r="A76" s="101"/>
      <c r="B76" s="98" t="s">
        <v>307</v>
      </c>
      <c r="C76" s="99"/>
      <c r="D76" s="117"/>
      <c r="E76" s="107"/>
    </row>
    <row r="77" spans="1:14" ht="13" x14ac:dyDescent="0.3">
      <c r="A77" s="101"/>
      <c r="B77" s="106" t="s">
        <v>109</v>
      </c>
      <c r="D77" s="117"/>
      <c r="E77" s="107"/>
    </row>
    <row r="78" spans="1:14" ht="13" x14ac:dyDescent="0.3">
      <c r="A78" s="101"/>
      <c r="B78" s="106" t="s">
        <v>110</v>
      </c>
      <c r="D78" s="117"/>
      <c r="E78" s="107"/>
    </row>
    <row r="79" spans="1:14" ht="13" x14ac:dyDescent="0.3">
      <c r="A79" s="101"/>
    </row>
    <row r="80" spans="1:14" ht="13" x14ac:dyDescent="0.3">
      <c r="A80" s="101"/>
      <c r="B80" s="98" t="s">
        <v>111</v>
      </c>
    </row>
    <row r="81" spans="1:10" ht="13" x14ac:dyDescent="0.3">
      <c r="A81" s="101"/>
      <c r="C81" s="98" t="s">
        <v>112</v>
      </c>
    </row>
    <row r="82" spans="1:10" ht="13" x14ac:dyDescent="0.3">
      <c r="A82" s="101"/>
      <c r="J82" s="101" t="s">
        <v>113</v>
      </c>
    </row>
    <row r="83" spans="1:10" ht="13" x14ac:dyDescent="0.3">
      <c r="A83" s="101"/>
      <c r="E83" s="105" t="s">
        <v>114</v>
      </c>
      <c r="F83" s="104" t="s">
        <v>98</v>
      </c>
      <c r="G83" s="105" t="s">
        <v>115</v>
      </c>
      <c r="H83" s="105" t="s">
        <v>116</v>
      </c>
      <c r="J83" s="105" t="s">
        <v>117</v>
      </c>
    </row>
    <row r="84" spans="1:10" ht="13" x14ac:dyDescent="0.3">
      <c r="B84" s="126" t="s">
        <v>118</v>
      </c>
      <c r="C84" s="98" t="s">
        <v>119</v>
      </c>
      <c r="E84" s="173">
        <v>0.112</v>
      </c>
      <c r="F84" s="98" t="s">
        <v>122</v>
      </c>
      <c r="G84" s="161">
        <v>43101</v>
      </c>
      <c r="H84" s="161">
        <v>43465</v>
      </c>
      <c r="J84" s="130">
        <v>365</v>
      </c>
    </row>
    <row r="85" spans="1:10" ht="13" x14ac:dyDescent="0.3">
      <c r="B85" s="126" t="s">
        <v>120</v>
      </c>
      <c r="C85" s="98" t="s">
        <v>121</v>
      </c>
      <c r="E85" s="173">
        <v>0.112</v>
      </c>
      <c r="F85" s="98" t="s">
        <v>308</v>
      </c>
      <c r="G85" s="128"/>
      <c r="H85" s="129"/>
      <c r="J85" s="130"/>
    </row>
    <row r="86" spans="1:10" ht="13" x14ac:dyDescent="0.3">
      <c r="B86" s="126" t="s">
        <v>123</v>
      </c>
      <c r="E86" s="132"/>
      <c r="G86" s="133"/>
      <c r="H86" s="133"/>
      <c r="I86" s="117" t="s">
        <v>124</v>
      </c>
      <c r="J86" s="98">
        <f>SUM(J84:J85)</f>
        <v>365</v>
      </c>
    </row>
    <row r="87" spans="1:10" ht="13" x14ac:dyDescent="0.3">
      <c r="B87" s="126" t="s">
        <v>125</v>
      </c>
      <c r="C87" s="98" t="s">
        <v>126</v>
      </c>
      <c r="E87" s="127">
        <f>((E84*J84) + (E85* J85)) / J86</f>
        <v>0.112</v>
      </c>
      <c r="F87" s="98" t="s">
        <v>127</v>
      </c>
    </row>
    <row r="88" spans="1:10" ht="13" x14ac:dyDescent="0.3">
      <c r="A88" s="101"/>
    </row>
    <row r="89" spans="1:10" ht="13" x14ac:dyDescent="0.3">
      <c r="A89" s="101"/>
      <c r="B89" s="98" t="s">
        <v>128</v>
      </c>
    </row>
    <row r="90" spans="1:10" ht="13" x14ac:dyDescent="0.3">
      <c r="A90" s="101"/>
      <c r="E90" s="104" t="s">
        <v>98</v>
      </c>
    </row>
    <row r="91" spans="1:10" ht="13" x14ac:dyDescent="0.3">
      <c r="B91" s="126" t="s">
        <v>129</v>
      </c>
      <c r="C91" s="98" t="s">
        <v>130</v>
      </c>
      <c r="E91" s="174" t="s">
        <v>323</v>
      </c>
      <c r="F91" s="130"/>
      <c r="G91" s="130"/>
      <c r="H91" s="130"/>
      <c r="I91" s="130"/>
      <c r="J91" s="130"/>
    </row>
    <row r="92" spans="1:10" ht="13" x14ac:dyDescent="0.3">
      <c r="B92" s="126" t="s">
        <v>132</v>
      </c>
      <c r="C92" s="98" t="s">
        <v>133</v>
      </c>
      <c r="E92" s="174" t="s">
        <v>323</v>
      </c>
      <c r="F92" s="130"/>
      <c r="G92" s="130"/>
      <c r="H92" s="130"/>
      <c r="I92" s="130"/>
      <c r="J92" s="130"/>
    </row>
    <row r="93" spans="1:10" x14ac:dyDescent="0.25">
      <c r="E93" s="133"/>
    </row>
    <row r="94" spans="1:10" ht="13" x14ac:dyDescent="0.3">
      <c r="E94" s="105" t="s">
        <v>114</v>
      </c>
      <c r="F94" s="104" t="s">
        <v>98</v>
      </c>
    </row>
    <row r="95" spans="1:10" ht="13" x14ac:dyDescent="0.3">
      <c r="B95" s="126" t="s">
        <v>134</v>
      </c>
      <c r="C95" s="98" t="s">
        <v>135</v>
      </c>
      <c r="E95" s="115">
        <f>'[16]1-BaseTRR'!K88</f>
        <v>2.1170433986911801E-2</v>
      </c>
      <c r="F95" s="98" t="str">
        <f>"1-Base TRR L "&amp;'[16]1-BaseTRR'!A88&amp;""</f>
        <v>1-Base TRR L 51</v>
      </c>
    </row>
    <row r="96" spans="1:10" ht="13" x14ac:dyDescent="0.3">
      <c r="B96" s="126" t="s">
        <v>136</v>
      </c>
      <c r="C96" s="98" t="s">
        <v>137</v>
      </c>
      <c r="E96" s="115">
        <f>'[16]1-BaseTRR'!K89</f>
        <v>4.6008620927769249E-3</v>
      </c>
      <c r="F96" s="98" t="str">
        <f>"1-Base TRR L "&amp;'[16]1-BaseTRR'!A89&amp;""</f>
        <v>1-Base TRR L 52</v>
      </c>
    </row>
    <row r="97" spans="1:10" ht="13" x14ac:dyDescent="0.3">
      <c r="B97" s="126" t="s">
        <v>138</v>
      </c>
      <c r="C97" s="98" t="s">
        <v>139</v>
      </c>
      <c r="E97" s="134">
        <f>('[16]1-BaseTRR'!K80) * E87</f>
        <v>5.2247470681271231E-2</v>
      </c>
      <c r="F97" s="98" t="str">
        <f>"1-Base TRR L "&amp;'[16]1-BaseTRR'!A80&amp;" * Line d"</f>
        <v>1-Base TRR L 47 * Line d</v>
      </c>
    </row>
    <row r="98" spans="1:10" ht="13" x14ac:dyDescent="0.3">
      <c r="B98" s="101" t="s">
        <v>140</v>
      </c>
      <c r="C98" s="103" t="s">
        <v>70</v>
      </c>
      <c r="E98" s="115">
        <f>SUM(E95:E97)</f>
        <v>7.8018766760959951E-2</v>
      </c>
      <c r="F98" s="107" t="str">
        <f>"Sum of Lines "&amp;B95&amp;" to "&amp;B97&amp;""</f>
        <v>Sum of Lines g to i</v>
      </c>
      <c r="G98" s="135"/>
      <c r="J98" s="136"/>
    </row>
    <row r="99" spans="1:10" ht="13" x14ac:dyDescent="0.3">
      <c r="A99" s="101"/>
      <c r="C99" s="137"/>
      <c r="D99" s="138"/>
      <c r="E99" s="107"/>
      <c r="F99" s="107"/>
      <c r="G99" s="135"/>
      <c r="H99" s="107"/>
      <c r="J99" s="136"/>
    </row>
    <row r="100" spans="1:10" ht="13" x14ac:dyDescent="0.3">
      <c r="A100" s="101"/>
      <c r="B100" s="98" t="s">
        <v>141</v>
      </c>
    </row>
    <row r="101" spans="1:10" ht="13" x14ac:dyDescent="0.3">
      <c r="A101" s="101"/>
    </row>
    <row r="102" spans="1:10" ht="13" x14ac:dyDescent="0.3">
      <c r="A102" s="101"/>
      <c r="E102" s="105" t="s">
        <v>114</v>
      </c>
      <c r="F102" s="104" t="s">
        <v>98</v>
      </c>
    </row>
    <row r="103" spans="1:10" ht="13" x14ac:dyDescent="0.3">
      <c r="B103" s="126" t="s">
        <v>142</v>
      </c>
      <c r="E103" s="115">
        <f>E96+E97</f>
        <v>5.6848332774048153E-2</v>
      </c>
      <c r="F103" s="107" t="str">
        <f>"Sum of Lines "&amp;B96&amp;" to "&amp;B97&amp;""</f>
        <v>Sum of Lines h to i</v>
      </c>
    </row>
    <row r="104" spans="1:10" ht="13" x14ac:dyDescent="0.3">
      <c r="A104" s="101"/>
      <c r="E104" s="115"/>
      <c r="F104" s="107"/>
    </row>
    <row r="105" spans="1:10" ht="13" x14ac:dyDescent="0.3">
      <c r="A105" s="101"/>
      <c r="B105" s="166" t="s">
        <v>324</v>
      </c>
      <c r="E105" s="135"/>
      <c r="F105" s="135"/>
      <c r="G105" s="135"/>
      <c r="H105" s="107"/>
    </row>
    <row r="106" spans="1:10" ht="13" x14ac:dyDescent="0.3">
      <c r="A106" s="101"/>
      <c r="B106" s="166" t="s">
        <v>325</v>
      </c>
    </row>
    <row r="107" spans="1:10" ht="13" x14ac:dyDescent="0.3">
      <c r="A107" s="101"/>
      <c r="B107" s="166" t="s">
        <v>326</v>
      </c>
      <c r="D107" s="101"/>
      <c r="E107" s="101"/>
      <c r="F107" s="101"/>
      <c r="G107" s="101"/>
      <c r="H107" s="101"/>
    </row>
    <row r="108" spans="1:10" ht="13" x14ac:dyDescent="0.3">
      <c r="A108" s="101"/>
      <c r="B108" s="106"/>
      <c r="D108" s="101"/>
      <c r="E108" s="101"/>
      <c r="F108" s="101"/>
      <c r="G108" s="101"/>
      <c r="H108" s="101"/>
    </row>
    <row r="109" spans="1:10" ht="13" x14ac:dyDescent="0.3">
      <c r="A109" s="101"/>
      <c r="C109" s="139"/>
      <c r="D109" s="139"/>
      <c r="E109" s="105"/>
      <c r="F109" s="105"/>
      <c r="G109" s="105"/>
      <c r="H109" s="105"/>
    </row>
    <row r="110" spans="1:10" ht="13" x14ac:dyDescent="0.3">
      <c r="A110" s="101"/>
    </row>
    <row r="111" spans="1:10" ht="13" x14ac:dyDescent="0.3">
      <c r="A111" s="101"/>
    </row>
    <row r="112" spans="1:10" ht="13" x14ac:dyDescent="0.3">
      <c r="A112" s="101"/>
    </row>
    <row r="113" spans="1:10" ht="13" x14ac:dyDescent="0.3">
      <c r="A113" s="101"/>
      <c r="C113" s="137"/>
      <c r="E113" s="107"/>
      <c r="F113" s="107"/>
      <c r="H113" s="107"/>
      <c r="J113" s="136"/>
    </row>
    <row r="114" spans="1:10" ht="13" x14ac:dyDescent="0.3">
      <c r="A114" s="101"/>
      <c r="C114" s="137"/>
      <c r="E114" s="107"/>
      <c r="F114" s="107"/>
      <c r="H114" s="107"/>
      <c r="J114" s="136"/>
    </row>
    <row r="115" spans="1:10" ht="13" x14ac:dyDescent="0.3">
      <c r="A115" s="102"/>
      <c r="C115" s="137"/>
      <c r="E115" s="107"/>
      <c r="F115" s="107"/>
      <c r="H115" s="107"/>
      <c r="J115" s="136"/>
    </row>
    <row r="116" spans="1:10" ht="13" x14ac:dyDescent="0.3">
      <c r="A116" s="101"/>
      <c r="D116" s="140"/>
      <c r="E116" s="107"/>
      <c r="F116" s="107"/>
      <c r="H116" s="107"/>
      <c r="J116" s="136"/>
    </row>
    <row r="117" spans="1:10" ht="13" x14ac:dyDescent="0.3">
      <c r="A117" s="101"/>
      <c r="C117" s="137"/>
      <c r="D117" s="117"/>
      <c r="E117" s="113"/>
      <c r="F117" s="107"/>
      <c r="H117" s="107"/>
      <c r="J117" s="136"/>
    </row>
    <row r="118" spans="1:10" ht="13" x14ac:dyDescent="0.3">
      <c r="A118" s="101"/>
      <c r="C118" s="137"/>
      <c r="D118" s="117"/>
      <c r="E118" s="107"/>
      <c r="F118" s="107"/>
      <c r="H118" s="107"/>
      <c r="J118" s="136"/>
    </row>
    <row r="119" spans="1:10" ht="13" x14ac:dyDescent="0.3">
      <c r="A119" s="101"/>
    </row>
    <row r="120" spans="1:10" ht="13" x14ac:dyDescent="0.3">
      <c r="A120" s="101"/>
      <c r="B120" s="97"/>
    </row>
    <row r="121" spans="1:10" ht="13" x14ac:dyDescent="0.3">
      <c r="A121" s="101"/>
    </row>
    <row r="122" spans="1:10" ht="13" x14ac:dyDescent="0.3">
      <c r="A122" s="101"/>
    </row>
    <row r="123" spans="1:10" ht="13" x14ac:dyDescent="0.3">
      <c r="A123" s="101"/>
      <c r="F123" s="101"/>
    </row>
    <row r="124" spans="1:10" ht="13" x14ac:dyDescent="0.3">
      <c r="A124" s="101"/>
      <c r="F124" s="101"/>
    </row>
    <row r="125" spans="1:10" ht="13" x14ac:dyDescent="0.3">
      <c r="A125" s="101"/>
      <c r="D125" s="101"/>
      <c r="E125" s="101"/>
      <c r="F125" s="101"/>
      <c r="H125" s="101"/>
    </row>
    <row r="126" spans="1:10" ht="13" x14ac:dyDescent="0.3">
      <c r="A126" s="101"/>
      <c r="D126" s="101"/>
      <c r="E126" s="101"/>
      <c r="F126" s="101"/>
      <c r="G126" s="101"/>
      <c r="H126" s="126"/>
    </row>
    <row r="127" spans="1:10" ht="13" x14ac:dyDescent="0.3">
      <c r="A127" s="102"/>
      <c r="C127" s="139"/>
      <c r="D127" s="139"/>
      <c r="E127" s="105"/>
      <c r="F127" s="141"/>
      <c r="G127" s="105"/>
      <c r="H127" s="126"/>
    </row>
    <row r="128" spans="1:10" ht="13" x14ac:dyDescent="0.3">
      <c r="A128" s="101"/>
      <c r="C128" s="137"/>
      <c r="D128" s="138"/>
      <c r="E128" s="107"/>
      <c r="F128" s="107"/>
      <c r="G128" s="127"/>
      <c r="H128" s="107"/>
    </row>
    <row r="129" spans="1:8" ht="13" x14ac:dyDescent="0.3">
      <c r="A129" s="101"/>
      <c r="C129" s="137"/>
      <c r="D129" s="138"/>
      <c r="E129" s="107"/>
      <c r="F129" s="107"/>
      <c r="G129" s="127"/>
      <c r="H129" s="107"/>
    </row>
    <row r="130" spans="1:8" ht="13" x14ac:dyDescent="0.3">
      <c r="A130" s="101"/>
      <c r="C130" s="137"/>
      <c r="D130" s="138"/>
      <c r="E130" s="107"/>
      <c r="F130" s="107"/>
      <c r="G130" s="127"/>
      <c r="H130" s="107"/>
    </row>
    <row r="131" spans="1:8" ht="13" x14ac:dyDescent="0.3">
      <c r="A131" s="101"/>
      <c r="C131" s="137"/>
      <c r="D131" s="138"/>
      <c r="E131" s="107"/>
      <c r="F131" s="107"/>
      <c r="G131" s="127"/>
      <c r="H131" s="107"/>
    </row>
    <row r="132" spans="1:8" ht="13" x14ac:dyDescent="0.3">
      <c r="A132" s="101"/>
      <c r="C132" s="137"/>
      <c r="D132" s="138"/>
      <c r="E132" s="107"/>
      <c r="F132" s="107"/>
      <c r="G132" s="127"/>
      <c r="H132" s="107"/>
    </row>
    <row r="133" spans="1:8" ht="13" x14ac:dyDescent="0.3">
      <c r="A133" s="101"/>
      <c r="C133" s="137"/>
      <c r="D133" s="138"/>
      <c r="E133" s="107"/>
      <c r="F133" s="107"/>
      <c r="G133" s="127"/>
      <c r="H133" s="107"/>
    </row>
    <row r="134" spans="1:8" ht="13" x14ac:dyDescent="0.3">
      <c r="A134" s="101"/>
      <c r="C134" s="137"/>
      <c r="D134" s="138"/>
      <c r="E134" s="107"/>
      <c r="F134" s="107"/>
      <c r="G134" s="127"/>
      <c r="H134" s="107"/>
    </row>
    <row r="135" spans="1:8" ht="13" x14ac:dyDescent="0.3">
      <c r="A135" s="101"/>
      <c r="C135" s="137"/>
      <c r="D135" s="138"/>
      <c r="E135" s="107"/>
      <c r="F135" s="107"/>
      <c r="G135" s="127"/>
      <c r="H135" s="107"/>
    </row>
    <row r="136" spans="1:8" ht="13" x14ac:dyDescent="0.3">
      <c r="A136" s="101"/>
      <c r="C136" s="137"/>
      <c r="D136" s="138"/>
      <c r="E136" s="107"/>
      <c r="F136" s="107"/>
      <c r="G136" s="127"/>
      <c r="H136" s="107"/>
    </row>
    <row r="137" spans="1:8" ht="13" x14ac:dyDescent="0.3">
      <c r="A137" s="101"/>
      <c r="C137" s="137"/>
      <c r="D137" s="138"/>
      <c r="E137" s="107"/>
      <c r="F137" s="107"/>
      <c r="G137" s="127"/>
      <c r="H137" s="107"/>
    </row>
    <row r="138" spans="1:8" ht="13" x14ac:dyDescent="0.3">
      <c r="A138" s="101"/>
      <c r="C138" s="137"/>
      <c r="D138" s="138"/>
      <c r="E138" s="107"/>
      <c r="F138" s="107"/>
      <c r="G138" s="127"/>
      <c r="H138" s="107"/>
    </row>
    <row r="139" spans="1:8" ht="13" x14ac:dyDescent="0.3">
      <c r="A139" s="101"/>
      <c r="C139" s="137"/>
      <c r="D139" s="138"/>
      <c r="E139" s="107"/>
      <c r="F139" s="107"/>
      <c r="G139" s="127"/>
      <c r="H139" s="113"/>
    </row>
    <row r="140" spans="1:8" ht="13" x14ac:dyDescent="0.3">
      <c r="A140" s="101"/>
      <c r="H140" s="107"/>
    </row>
    <row r="141" spans="1:8" ht="13" x14ac:dyDescent="0.3">
      <c r="A141" s="101"/>
      <c r="C141" s="137"/>
      <c r="D141" s="138"/>
      <c r="F141" s="142"/>
      <c r="G141" s="127"/>
      <c r="H141" s="142"/>
    </row>
    <row r="142" spans="1:8" ht="13" x14ac:dyDescent="0.3">
      <c r="A142" s="101"/>
      <c r="B142" s="97"/>
      <c r="C142" s="137"/>
      <c r="D142" s="138"/>
      <c r="F142" s="142"/>
      <c r="G142" s="127"/>
      <c r="H142" s="142"/>
    </row>
    <row r="143" spans="1:8" ht="13" x14ac:dyDescent="0.3">
      <c r="A143" s="102"/>
      <c r="B143" s="97"/>
      <c r="C143" s="137"/>
      <c r="D143" s="138"/>
      <c r="F143" s="142"/>
      <c r="G143" s="127"/>
      <c r="H143" s="142"/>
    </row>
    <row r="144" spans="1:8" ht="13" x14ac:dyDescent="0.3">
      <c r="A144" s="101"/>
      <c r="C144" s="137"/>
      <c r="D144" s="143"/>
      <c r="E144" s="107"/>
      <c r="F144" s="144"/>
      <c r="G144" s="127"/>
      <c r="H144" s="142"/>
    </row>
    <row r="145" spans="1:8" ht="13" x14ac:dyDescent="0.3">
      <c r="A145" s="101"/>
      <c r="C145" s="137"/>
      <c r="D145" s="117"/>
      <c r="E145" s="107"/>
      <c r="F145" s="144"/>
      <c r="G145" s="127"/>
      <c r="H145" s="142"/>
    </row>
    <row r="146" spans="1:8" ht="13" x14ac:dyDescent="0.3">
      <c r="A146" s="101"/>
      <c r="C146" s="137"/>
      <c r="D146" s="117"/>
      <c r="E146" s="113"/>
      <c r="F146" s="144"/>
      <c r="G146" s="127"/>
      <c r="H146" s="142"/>
    </row>
    <row r="147" spans="1:8" ht="13" x14ac:dyDescent="0.3">
      <c r="A147" s="101"/>
      <c r="C147" s="137"/>
      <c r="D147" s="143"/>
      <c r="E147" s="107"/>
      <c r="F147" s="142"/>
      <c r="G147" s="127"/>
      <c r="H147" s="142"/>
    </row>
    <row r="148" spans="1:8" ht="13" x14ac:dyDescent="0.3">
      <c r="A148" s="101"/>
      <c r="C148" s="137"/>
      <c r="D148" s="138"/>
      <c r="F148" s="142"/>
      <c r="G148" s="127"/>
      <c r="H148" s="142"/>
    </row>
    <row r="149" spans="1:8" ht="13" x14ac:dyDescent="0.3">
      <c r="A149" s="101"/>
    </row>
    <row r="150" spans="1:8" ht="13" x14ac:dyDescent="0.3">
      <c r="A150" s="101"/>
    </row>
    <row r="151" spans="1:8" ht="13" x14ac:dyDescent="0.3">
      <c r="A151" s="101"/>
    </row>
    <row r="152" spans="1:8" ht="13" x14ac:dyDescent="0.3">
      <c r="A152" s="101"/>
      <c r="B152" s="97"/>
    </row>
    <row r="153" spans="1:8" ht="13" x14ac:dyDescent="0.3">
      <c r="A153" s="101"/>
    </row>
    <row r="154" spans="1:8" ht="13" x14ac:dyDescent="0.3">
      <c r="A154" s="101"/>
    </row>
    <row r="155" spans="1:8" ht="13" x14ac:dyDescent="0.3">
      <c r="A155" s="101"/>
    </row>
    <row r="156" spans="1:8" ht="13" x14ac:dyDescent="0.3">
      <c r="A156" s="101"/>
    </row>
    <row r="157" spans="1:8" ht="13" x14ac:dyDescent="0.3">
      <c r="A157" s="101"/>
      <c r="B157" s="97"/>
    </row>
    <row r="158" spans="1:8" ht="13" x14ac:dyDescent="0.3">
      <c r="A158" s="101"/>
    </row>
    <row r="159" spans="1:8" ht="13" x14ac:dyDescent="0.3">
      <c r="A159" s="102"/>
      <c r="C159" s="139"/>
      <c r="D159" s="105"/>
    </row>
    <row r="160" spans="1:8" ht="13" x14ac:dyDescent="0.3">
      <c r="A160" s="101"/>
      <c r="C160" s="137"/>
      <c r="D160" s="145"/>
      <c r="F160" s="115"/>
    </row>
    <row r="161" spans="1:6" ht="13" x14ac:dyDescent="0.3">
      <c r="A161" s="101"/>
      <c r="C161" s="137"/>
      <c r="D161" s="145"/>
      <c r="F161" s="115"/>
    </row>
    <row r="162" spans="1:6" ht="13" x14ac:dyDescent="0.3">
      <c r="A162" s="101"/>
      <c r="C162" s="137"/>
      <c r="D162" s="145"/>
      <c r="F162" s="115"/>
    </row>
    <row r="163" spans="1:6" ht="13" x14ac:dyDescent="0.3">
      <c r="A163" s="101"/>
      <c r="C163" s="137"/>
      <c r="D163" s="145"/>
      <c r="F163" s="115"/>
    </row>
    <row r="164" spans="1:6" ht="13" x14ac:dyDescent="0.3">
      <c r="A164" s="101"/>
      <c r="C164" s="137"/>
      <c r="D164" s="145"/>
      <c r="F164" s="115"/>
    </row>
    <row r="165" spans="1:6" ht="13" x14ac:dyDescent="0.3">
      <c r="A165" s="101"/>
      <c r="C165" s="137"/>
      <c r="D165" s="145"/>
      <c r="F165" s="115"/>
    </row>
    <row r="166" spans="1:6" ht="13" x14ac:dyDescent="0.3">
      <c r="A166" s="101"/>
      <c r="C166" s="137"/>
      <c r="D166" s="145"/>
      <c r="F166" s="115"/>
    </row>
    <row r="167" spans="1:6" ht="13" x14ac:dyDescent="0.3">
      <c r="A167" s="101"/>
      <c r="C167" s="137"/>
      <c r="D167" s="145"/>
      <c r="F167" s="115"/>
    </row>
    <row r="168" spans="1:6" ht="13" x14ac:dyDescent="0.3">
      <c r="A168" s="101"/>
      <c r="C168" s="137"/>
      <c r="D168" s="145"/>
      <c r="F168" s="115"/>
    </row>
    <row r="169" spans="1:6" ht="13" x14ac:dyDescent="0.3">
      <c r="A169" s="101"/>
      <c r="C169" s="137"/>
      <c r="D169" s="145"/>
      <c r="F169" s="115"/>
    </row>
    <row r="170" spans="1:6" ht="13" x14ac:dyDescent="0.3">
      <c r="A170" s="101"/>
      <c r="C170" s="137"/>
      <c r="D170" s="145"/>
      <c r="F170" s="115"/>
    </row>
    <row r="171" spans="1:6" ht="13" x14ac:dyDescent="0.3">
      <c r="A171" s="101"/>
      <c r="C171" s="137"/>
      <c r="D171" s="146"/>
      <c r="F171" s="134"/>
    </row>
    <row r="172" spans="1:6" ht="13" x14ac:dyDescent="0.3">
      <c r="A172" s="101"/>
      <c r="C172" s="140"/>
      <c r="D172" s="145"/>
    </row>
  </sheetData>
  <mergeCells count="1">
    <mergeCell ref="K71:L71"/>
  </mergeCells>
  <pageMargins left="0.75" right="0.75" top="1" bottom="1" header="0.5" footer="0.5"/>
  <pageSetup scale="78" orientation="landscape" cellComments="asDisplayed" r:id="rId1"/>
  <headerFooter alignWithMargins="0">
    <oddHeader>&amp;CSchedule 4
True Up TRR
(TO2020-Attachment 5 TO2018 TrueUpTRR)&amp;RTO2021 Draft Annual Update
Attachment 4
WP-Schedule 3-One Time Adj Prior Period
Page &amp;P of &amp;N</oddHeader>
    <oddFooter>&amp;R&amp;A</oddFooter>
  </headerFooter>
  <rowBreaks count="4" manualBreakCount="4">
    <brk id="46" max="9" man="1"/>
    <brk id="73" max="16383" man="1"/>
    <brk id="119" max="9" man="1"/>
    <brk id="151"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FDBE9-A34D-466F-AD5B-4DCB616582FB}">
  <dimension ref="A1:X104"/>
  <sheetViews>
    <sheetView zoomScaleNormal="100" workbookViewId="0"/>
  </sheetViews>
  <sheetFormatPr defaultRowHeight="12.5" x14ac:dyDescent="0.25"/>
  <cols>
    <col min="1" max="1" width="4.7265625" style="98" customWidth="1"/>
    <col min="2" max="2" width="2.7265625" style="98" customWidth="1"/>
    <col min="3" max="3" width="8.7265625" style="98" customWidth="1"/>
    <col min="4" max="4" width="32.54296875" style="98" customWidth="1"/>
    <col min="5" max="5" width="14.7265625" style="98" customWidth="1"/>
    <col min="6" max="6" width="15.7265625" style="98" customWidth="1"/>
    <col min="7" max="8" width="14.7265625" style="98" customWidth="1"/>
    <col min="9" max="9" width="20" style="98" customWidth="1"/>
    <col min="10" max="10" width="15.81640625" style="98" customWidth="1"/>
    <col min="11" max="11" width="11" style="98" bestFit="1" customWidth="1"/>
    <col min="12" max="16384" width="8.7265625" style="98"/>
  </cols>
  <sheetData>
    <row r="1" spans="1:24" ht="13" x14ac:dyDescent="0.3">
      <c r="A1" s="97" t="s">
        <v>159</v>
      </c>
      <c r="F1" s="147" t="s">
        <v>156</v>
      </c>
      <c r="G1" s="130"/>
      <c r="H1" s="135"/>
      <c r="I1" s="135"/>
    </row>
    <row r="2" spans="1:24" ht="13" x14ac:dyDescent="0.3">
      <c r="E2" s="141" t="s">
        <v>148</v>
      </c>
      <c r="F2" s="141" t="s">
        <v>149</v>
      </c>
      <c r="G2" s="141" t="s">
        <v>150</v>
      </c>
      <c r="H2" s="141" t="s">
        <v>151</v>
      </c>
      <c r="I2" s="135"/>
    </row>
    <row r="3" spans="1:24" x14ac:dyDescent="0.25">
      <c r="G3" s="135" t="s">
        <v>160</v>
      </c>
    </row>
    <row r="4" spans="1:24" ht="13" x14ac:dyDescent="0.3">
      <c r="E4" s="101" t="s">
        <v>161</v>
      </c>
      <c r="F4" s="40" t="s">
        <v>157</v>
      </c>
      <c r="G4" s="101" t="s">
        <v>162</v>
      </c>
      <c r="I4" s="101"/>
    </row>
    <row r="5" spans="1:24" ht="13" x14ac:dyDescent="0.3">
      <c r="A5" s="102" t="s">
        <v>39</v>
      </c>
      <c r="B5" s="105"/>
      <c r="C5" s="105" t="s">
        <v>163</v>
      </c>
      <c r="D5" s="105" t="s">
        <v>31</v>
      </c>
      <c r="E5" s="105" t="s">
        <v>32</v>
      </c>
      <c r="F5" s="139" t="s">
        <v>33</v>
      </c>
      <c r="G5" s="105" t="s">
        <v>164</v>
      </c>
      <c r="H5" s="105" t="s">
        <v>84</v>
      </c>
      <c r="I5" s="105" t="s">
        <v>42</v>
      </c>
      <c r="K5" s="105"/>
      <c r="L5" s="105"/>
      <c r="M5" s="105"/>
      <c r="N5" s="105"/>
      <c r="O5" s="105"/>
      <c r="P5" s="105"/>
      <c r="Q5" s="105"/>
      <c r="R5" s="105"/>
      <c r="S5" s="105"/>
      <c r="T5" s="105"/>
      <c r="U5" s="105"/>
      <c r="V5" s="105"/>
      <c r="W5" s="105"/>
      <c r="X5" s="105"/>
    </row>
    <row r="6" spans="1:24" ht="13" x14ac:dyDescent="0.3">
      <c r="A6" s="101">
        <v>1</v>
      </c>
      <c r="C6" s="135">
        <v>920</v>
      </c>
      <c r="D6" s="98" t="s">
        <v>165</v>
      </c>
      <c r="E6" s="148">
        <v>380019593</v>
      </c>
      <c r="F6" s="135" t="s">
        <v>166</v>
      </c>
      <c r="G6" s="107">
        <f>D37</f>
        <v>171916034.41275966</v>
      </c>
      <c r="H6" s="107">
        <f t="shared" ref="H6:H19" si="0">E6-G6</f>
        <v>208103558.58724034</v>
      </c>
    </row>
    <row r="7" spans="1:24" ht="13" x14ac:dyDescent="0.3">
      <c r="A7" s="101">
        <f>A6+1</f>
        <v>2</v>
      </c>
      <c r="C7" s="135">
        <v>921</v>
      </c>
      <c r="D7" s="98" t="s">
        <v>167</v>
      </c>
      <c r="E7" s="148">
        <v>243397352</v>
      </c>
      <c r="F7" s="135" t="s">
        <v>168</v>
      </c>
      <c r="G7" s="107">
        <f t="shared" ref="G7:G19" si="1">D38</f>
        <v>8604255.4699999988</v>
      </c>
      <c r="H7" s="107">
        <f t="shared" si="0"/>
        <v>234793096.53</v>
      </c>
    </row>
    <row r="8" spans="1:24" ht="13" x14ac:dyDescent="0.3">
      <c r="A8" s="101">
        <f>A7+1</f>
        <v>3</v>
      </c>
      <c r="C8" s="135">
        <v>922</v>
      </c>
      <c r="D8" s="98" t="s">
        <v>169</v>
      </c>
      <c r="E8" s="148">
        <v>-153376384</v>
      </c>
      <c r="F8" s="135" t="s">
        <v>170</v>
      </c>
      <c r="G8" s="107">
        <f t="shared" si="1"/>
        <v>-62480935.075400002</v>
      </c>
      <c r="H8" s="107">
        <f t="shared" si="0"/>
        <v>-90895448.924600005</v>
      </c>
      <c r="I8" s="103" t="s">
        <v>171</v>
      </c>
    </row>
    <row r="9" spans="1:24" ht="13" x14ac:dyDescent="0.3">
      <c r="A9" s="101">
        <f t="shared" ref="A9:A20" si="2">A8+1</f>
        <v>4</v>
      </c>
      <c r="B9" s="101"/>
      <c r="C9" s="135">
        <v>923</v>
      </c>
      <c r="D9" s="98" t="s">
        <v>172</v>
      </c>
      <c r="E9" s="148">
        <v>54239013</v>
      </c>
      <c r="F9" s="135" t="s">
        <v>173</v>
      </c>
      <c r="G9" s="110">
        <f t="shared" si="1"/>
        <v>8764417.7079565898</v>
      </c>
      <c r="H9" s="110">
        <f t="shared" si="0"/>
        <v>45474595.29204341</v>
      </c>
    </row>
    <row r="10" spans="1:24" ht="13" x14ac:dyDescent="0.3">
      <c r="A10" s="101">
        <f t="shared" si="2"/>
        <v>5</v>
      </c>
      <c r="B10" s="101"/>
      <c r="C10" s="135">
        <v>924</v>
      </c>
      <c r="D10" s="98" t="s">
        <v>174</v>
      </c>
      <c r="E10" s="148">
        <v>16155127</v>
      </c>
      <c r="F10" s="135" t="s">
        <v>175</v>
      </c>
      <c r="G10" s="107">
        <f t="shared" si="1"/>
        <v>0</v>
      </c>
      <c r="H10" s="107">
        <f t="shared" si="0"/>
        <v>16155127</v>
      </c>
    </row>
    <row r="11" spans="1:24" ht="13" x14ac:dyDescent="0.3">
      <c r="A11" s="101">
        <f t="shared" si="2"/>
        <v>6</v>
      </c>
      <c r="B11" s="101"/>
      <c r="C11" s="135">
        <v>925</v>
      </c>
      <c r="D11" s="98" t="s">
        <v>176</v>
      </c>
      <c r="E11" s="148">
        <v>2996146771</v>
      </c>
      <c r="F11" s="135" t="s">
        <v>177</v>
      </c>
      <c r="G11" s="107">
        <f t="shared" si="1"/>
        <v>3991252.14</v>
      </c>
      <c r="H11" s="107">
        <f t="shared" si="0"/>
        <v>2992155518.8600001</v>
      </c>
    </row>
    <row r="12" spans="1:24" ht="13" x14ac:dyDescent="0.3">
      <c r="A12" s="101">
        <f t="shared" si="2"/>
        <v>7</v>
      </c>
      <c r="B12" s="101"/>
      <c r="C12" s="135">
        <v>926</v>
      </c>
      <c r="D12" s="98" t="s">
        <v>178</v>
      </c>
      <c r="E12" s="148">
        <v>115626278</v>
      </c>
      <c r="F12" s="135" t="s">
        <v>179</v>
      </c>
      <c r="G12" s="107">
        <f t="shared" si="1"/>
        <v>-12067035</v>
      </c>
      <c r="H12" s="107">
        <f t="shared" si="0"/>
        <v>127693313</v>
      </c>
    </row>
    <row r="13" spans="1:24" ht="13" x14ac:dyDescent="0.3">
      <c r="A13" s="101">
        <f t="shared" si="2"/>
        <v>8</v>
      </c>
      <c r="B13" s="101"/>
      <c r="C13" s="135">
        <v>927</v>
      </c>
      <c r="D13" s="98" t="s">
        <v>152</v>
      </c>
      <c r="E13" s="148">
        <v>113911175</v>
      </c>
      <c r="F13" s="135" t="s">
        <v>180</v>
      </c>
      <c r="G13" s="107">
        <f t="shared" si="1"/>
        <v>113911175</v>
      </c>
      <c r="H13" s="107">
        <f t="shared" si="0"/>
        <v>0</v>
      </c>
    </row>
    <row r="14" spans="1:24" ht="13" x14ac:dyDescent="0.3">
      <c r="A14" s="101">
        <f t="shared" si="2"/>
        <v>9</v>
      </c>
      <c r="B14" s="101"/>
      <c r="C14" s="135">
        <v>928</v>
      </c>
      <c r="D14" s="98" t="s">
        <v>181</v>
      </c>
      <c r="E14" s="148">
        <v>11239506</v>
      </c>
      <c r="F14" s="135" t="s">
        <v>182</v>
      </c>
      <c r="G14" s="107">
        <f t="shared" si="1"/>
        <v>11197494.479999999</v>
      </c>
      <c r="H14" s="107">
        <f t="shared" si="0"/>
        <v>42011.520000001416</v>
      </c>
    </row>
    <row r="15" spans="1:24" ht="13" x14ac:dyDescent="0.3">
      <c r="A15" s="101">
        <f t="shared" si="2"/>
        <v>10</v>
      </c>
      <c r="B15" s="101"/>
      <c r="C15" s="135">
        <v>929</v>
      </c>
      <c r="D15" s="98" t="s">
        <v>183</v>
      </c>
      <c r="E15" s="148">
        <v>0</v>
      </c>
      <c r="F15" s="135" t="s">
        <v>184</v>
      </c>
      <c r="G15" s="107">
        <f t="shared" si="1"/>
        <v>0</v>
      </c>
      <c r="H15" s="107">
        <f t="shared" si="0"/>
        <v>0</v>
      </c>
    </row>
    <row r="16" spans="1:24" ht="13" x14ac:dyDescent="0.3">
      <c r="A16" s="101">
        <f t="shared" si="2"/>
        <v>11</v>
      </c>
      <c r="B16" s="101"/>
      <c r="C16" s="135">
        <v>930.1</v>
      </c>
      <c r="D16" s="98" t="s">
        <v>185</v>
      </c>
      <c r="E16" s="148">
        <v>6438097</v>
      </c>
      <c r="F16" s="135" t="s">
        <v>186</v>
      </c>
      <c r="G16" s="107">
        <f t="shared" si="1"/>
        <v>0</v>
      </c>
      <c r="H16" s="107">
        <f t="shared" si="0"/>
        <v>6438097</v>
      </c>
    </row>
    <row r="17" spans="1:8" ht="13" x14ac:dyDescent="0.3">
      <c r="A17" s="101">
        <f t="shared" si="2"/>
        <v>12</v>
      </c>
      <c r="B17" s="101"/>
      <c r="C17" s="135">
        <v>930.2</v>
      </c>
      <c r="D17" s="98" t="s">
        <v>187</v>
      </c>
      <c r="E17" s="148">
        <v>23890761</v>
      </c>
      <c r="F17" s="135" t="s">
        <v>188</v>
      </c>
      <c r="G17" s="107">
        <f t="shared" si="1"/>
        <v>14064692.309999999</v>
      </c>
      <c r="H17" s="107">
        <f t="shared" si="0"/>
        <v>9826068.6900000013</v>
      </c>
    </row>
    <row r="18" spans="1:8" ht="13" x14ac:dyDescent="0.3">
      <c r="A18" s="101">
        <f t="shared" si="2"/>
        <v>13</v>
      </c>
      <c r="B18" s="101"/>
      <c r="C18" s="135">
        <v>931</v>
      </c>
      <c r="D18" s="98" t="s">
        <v>189</v>
      </c>
      <c r="E18" s="148">
        <v>8428057</v>
      </c>
      <c r="F18" s="135" t="s">
        <v>190</v>
      </c>
      <c r="G18" s="107">
        <f t="shared" si="1"/>
        <v>11993181.66</v>
      </c>
      <c r="H18" s="107">
        <f t="shared" si="0"/>
        <v>-3565124.66</v>
      </c>
    </row>
    <row r="19" spans="1:8" ht="13" x14ac:dyDescent="0.3">
      <c r="A19" s="101">
        <f t="shared" si="2"/>
        <v>14</v>
      </c>
      <c r="B19" s="101"/>
      <c r="C19" s="135">
        <v>935</v>
      </c>
      <c r="D19" s="98" t="s">
        <v>191</v>
      </c>
      <c r="E19" s="149">
        <v>18830965</v>
      </c>
      <c r="F19" s="135" t="s">
        <v>192</v>
      </c>
      <c r="G19" s="107">
        <f t="shared" si="1"/>
        <v>699127.86</v>
      </c>
      <c r="H19" s="113">
        <f t="shared" si="0"/>
        <v>18131837.140000001</v>
      </c>
    </row>
    <row r="20" spans="1:8" ht="13" x14ac:dyDescent="0.3">
      <c r="A20" s="101">
        <f t="shared" si="2"/>
        <v>15</v>
      </c>
      <c r="E20" s="107">
        <f>SUM(E6:E19)</f>
        <v>3834946311</v>
      </c>
      <c r="G20" s="117" t="s">
        <v>193</v>
      </c>
      <c r="H20" s="110">
        <f>SUM(H6:H19)</f>
        <v>3564352650.0346837</v>
      </c>
    </row>
    <row r="22" spans="1:8" ht="13" x14ac:dyDescent="0.3">
      <c r="F22" s="105" t="s">
        <v>32</v>
      </c>
      <c r="G22" s="105" t="s">
        <v>33</v>
      </c>
    </row>
    <row r="23" spans="1:8" ht="13" x14ac:dyDescent="0.3">
      <c r="A23" s="101">
        <f>A20+1</f>
        <v>16</v>
      </c>
      <c r="E23" s="117" t="s">
        <v>194</v>
      </c>
      <c r="F23" s="110">
        <f>H20</f>
        <v>3564352650.0346837</v>
      </c>
      <c r="G23" s="103" t="str">
        <f>"Line "&amp;A20&amp;""</f>
        <v>Line 15</v>
      </c>
    </row>
    <row r="24" spans="1:8" ht="13" x14ac:dyDescent="0.3">
      <c r="A24" s="101">
        <f t="shared" ref="A24:A30" si="3">A23+1</f>
        <v>17</v>
      </c>
      <c r="E24" s="117" t="s">
        <v>195</v>
      </c>
      <c r="F24" s="113">
        <f>E10</f>
        <v>16155127</v>
      </c>
      <c r="G24" s="103" t="str">
        <f>"Line "&amp;A10&amp;""</f>
        <v>Line 5</v>
      </c>
    </row>
    <row r="25" spans="1:8" ht="13" x14ac:dyDescent="0.3">
      <c r="A25" s="101">
        <f t="shared" si="3"/>
        <v>18</v>
      </c>
      <c r="E25" s="117" t="s">
        <v>196</v>
      </c>
      <c r="F25" s="110">
        <f>F23-F24</f>
        <v>3548197523.0346837</v>
      </c>
      <c r="G25" s="103" t="str">
        <f>"Line "&amp;A23&amp;" - Line "&amp;A24&amp;""</f>
        <v>Line 16 - Line 17</v>
      </c>
    </row>
    <row r="26" spans="1:8" ht="13" x14ac:dyDescent="0.3">
      <c r="A26" s="101">
        <f t="shared" si="3"/>
        <v>19</v>
      </c>
      <c r="E26" s="117" t="s">
        <v>197</v>
      </c>
      <c r="F26" s="134">
        <f>'[16]27-Allocators'!G14</f>
        <v>5.742655010962041E-2</v>
      </c>
      <c r="G26" s="103" t="s">
        <v>327</v>
      </c>
    </row>
    <row r="27" spans="1:8" ht="13" x14ac:dyDescent="0.3">
      <c r="A27" s="101">
        <f t="shared" si="3"/>
        <v>20</v>
      </c>
      <c r="E27" s="117" t="s">
        <v>198</v>
      </c>
      <c r="F27" s="110">
        <f>F25*F26</f>
        <v>203760742.85538229</v>
      </c>
      <c r="G27" s="103" t="str">
        <f>"Line "&amp;A25&amp;" * Line "&amp;A26&amp;""</f>
        <v>Line 18 * Line 19</v>
      </c>
    </row>
    <row r="28" spans="1:8" ht="13" x14ac:dyDescent="0.3">
      <c r="A28" s="101">
        <f t="shared" si="3"/>
        <v>21</v>
      </c>
      <c r="E28" s="117" t="s">
        <v>199</v>
      </c>
      <c r="F28" s="115">
        <f>'[16]27-Allocators'!G27</f>
        <v>0.18742153560119321</v>
      </c>
      <c r="G28" s="103" t="s">
        <v>328</v>
      </c>
    </row>
    <row r="29" spans="1:8" ht="13" x14ac:dyDescent="0.3">
      <c r="A29" s="101">
        <f t="shared" si="3"/>
        <v>22</v>
      </c>
      <c r="E29" s="117" t="s">
        <v>200</v>
      </c>
      <c r="F29" s="109">
        <f>H10*F28</f>
        <v>3027818.7101722974</v>
      </c>
      <c r="G29" s="103" t="str">
        <f>"Line "&amp;A10&amp;" Col 4 * Line "&amp;A28&amp;""</f>
        <v>Line 5 Col 4 * Line 21</v>
      </c>
    </row>
    <row r="30" spans="1:8" ht="13" x14ac:dyDescent="0.3">
      <c r="A30" s="101">
        <f t="shared" si="3"/>
        <v>23</v>
      </c>
      <c r="E30" s="117" t="s">
        <v>201</v>
      </c>
      <c r="F30" s="110">
        <f>F27+F29</f>
        <v>206788561.56555459</v>
      </c>
      <c r="G30" s="103" t="str">
        <f>"Line "&amp;A27&amp;" + Line "&amp;A29&amp;""</f>
        <v>Line 20 + Line 22</v>
      </c>
    </row>
    <row r="32" spans="1:8" ht="13" x14ac:dyDescent="0.3">
      <c r="B32" s="97" t="s">
        <v>202</v>
      </c>
      <c r="E32" s="141" t="s">
        <v>148</v>
      </c>
      <c r="F32" s="141" t="s">
        <v>149</v>
      </c>
      <c r="G32" s="141" t="s">
        <v>150</v>
      </c>
      <c r="H32" s="141" t="s">
        <v>151</v>
      </c>
    </row>
    <row r="33" spans="1:11" ht="13" x14ac:dyDescent="0.3">
      <c r="B33" s="97"/>
      <c r="E33" s="101" t="s">
        <v>203</v>
      </c>
      <c r="F33" s="141"/>
      <c r="G33" s="141"/>
      <c r="H33" s="141"/>
    </row>
    <row r="34" spans="1:11" ht="13" x14ac:dyDescent="0.3">
      <c r="E34" s="101" t="s">
        <v>204</v>
      </c>
    </row>
    <row r="35" spans="1:11" ht="13" x14ac:dyDescent="0.3">
      <c r="D35" s="101" t="s">
        <v>205</v>
      </c>
      <c r="E35" s="101" t="s">
        <v>206</v>
      </c>
      <c r="F35" s="101" t="s">
        <v>207</v>
      </c>
      <c r="G35" s="101"/>
      <c r="H35" s="101"/>
    </row>
    <row r="36" spans="1:11" ht="13" x14ac:dyDescent="0.3">
      <c r="C36" s="105" t="s">
        <v>163</v>
      </c>
      <c r="D36" s="141" t="s">
        <v>208</v>
      </c>
      <c r="E36" s="105" t="s">
        <v>209</v>
      </c>
      <c r="F36" s="105" t="s">
        <v>210</v>
      </c>
      <c r="G36" s="105" t="s">
        <v>211</v>
      </c>
      <c r="H36" s="105" t="s">
        <v>212</v>
      </c>
      <c r="I36" s="105" t="s">
        <v>42</v>
      </c>
    </row>
    <row r="37" spans="1:11" ht="13" x14ac:dyDescent="0.3">
      <c r="A37" s="101">
        <f>A30+1</f>
        <v>24</v>
      </c>
      <c r="C37" s="135">
        <v>920</v>
      </c>
      <c r="D37" s="150">
        <f>SUM(E37:H37)</f>
        <v>171916034.41275966</v>
      </c>
      <c r="E37" s="151">
        <v>52489732</v>
      </c>
      <c r="F37" s="151"/>
      <c r="G37" s="107">
        <f>G58</f>
        <v>119426302.41275966</v>
      </c>
      <c r="H37" s="151"/>
      <c r="I37" s="103" t="s">
        <v>213</v>
      </c>
    </row>
    <row r="38" spans="1:11" ht="13" x14ac:dyDescent="0.3">
      <c r="A38" s="101">
        <f>A37+1</f>
        <v>25</v>
      </c>
      <c r="C38" s="135">
        <v>921</v>
      </c>
      <c r="D38" s="150">
        <f t="shared" ref="D38:D50" si="4">SUM(E38:H38)</f>
        <v>8604255.4699999988</v>
      </c>
      <c r="E38" s="151">
        <v>8604255.4699999988</v>
      </c>
      <c r="F38" s="151"/>
      <c r="G38" s="151">
        <v>0</v>
      </c>
      <c r="H38" s="151"/>
      <c r="I38" s="103"/>
    </row>
    <row r="39" spans="1:11" ht="13.5" thickBot="1" x14ac:dyDescent="0.35">
      <c r="A39" s="101">
        <f t="shared" ref="A39:A50" si="5">A38+1</f>
        <v>26</v>
      </c>
      <c r="C39" s="135">
        <v>922</v>
      </c>
      <c r="D39" s="150">
        <f t="shared" si="4"/>
        <v>-62480935.075400002</v>
      </c>
      <c r="E39" s="151">
        <v>-7944352.0754000004</v>
      </c>
      <c r="F39" s="151"/>
      <c r="G39" s="152">
        <v>-54536583</v>
      </c>
      <c r="H39" s="151"/>
      <c r="I39" s="103"/>
    </row>
    <row r="40" spans="1:11" ht="13.5" thickBot="1" x14ac:dyDescent="0.35">
      <c r="A40" s="101">
        <f t="shared" si="5"/>
        <v>27</v>
      </c>
      <c r="C40" s="135">
        <v>923</v>
      </c>
      <c r="D40" s="150">
        <f t="shared" si="4"/>
        <v>8764417.7079565898</v>
      </c>
      <c r="E40" s="215">
        <v>8764417.7079565898</v>
      </c>
      <c r="F40" s="151"/>
      <c r="G40" s="151">
        <v>0</v>
      </c>
      <c r="H40" s="151"/>
      <c r="I40" s="103"/>
      <c r="J40" s="105"/>
      <c r="K40" s="105"/>
    </row>
    <row r="41" spans="1:11" ht="13" x14ac:dyDescent="0.3">
      <c r="A41" s="101">
        <f t="shared" si="5"/>
        <v>28</v>
      </c>
      <c r="C41" s="135">
        <v>924</v>
      </c>
      <c r="D41" s="150">
        <f t="shared" si="4"/>
        <v>0</v>
      </c>
      <c r="E41" s="151">
        <v>0</v>
      </c>
      <c r="F41" s="151"/>
      <c r="G41" s="151">
        <v>0</v>
      </c>
      <c r="H41" s="151"/>
      <c r="I41" s="103"/>
      <c r="K41" s="107"/>
    </row>
    <row r="42" spans="1:11" ht="13" x14ac:dyDescent="0.3">
      <c r="A42" s="101">
        <f t="shared" si="5"/>
        <v>29</v>
      </c>
      <c r="C42" s="135">
        <v>925</v>
      </c>
      <c r="D42" s="150">
        <f t="shared" si="4"/>
        <v>3991252.14</v>
      </c>
      <c r="E42" s="151">
        <v>3991252.14</v>
      </c>
      <c r="F42" s="151"/>
      <c r="G42" s="151">
        <v>0</v>
      </c>
      <c r="H42" s="151"/>
      <c r="I42" s="103"/>
      <c r="K42" s="107"/>
    </row>
    <row r="43" spans="1:11" ht="13" x14ac:dyDescent="0.3">
      <c r="A43" s="101">
        <f t="shared" si="5"/>
        <v>30</v>
      </c>
      <c r="C43" s="135">
        <v>926</v>
      </c>
      <c r="D43" s="150">
        <f t="shared" si="4"/>
        <v>-12067035</v>
      </c>
      <c r="E43" s="151">
        <v>9885298</v>
      </c>
      <c r="F43" s="151"/>
      <c r="G43" s="151">
        <v>0</v>
      </c>
      <c r="H43" s="107">
        <f>E71</f>
        <v>-21952333</v>
      </c>
      <c r="I43" s="103" t="s">
        <v>153</v>
      </c>
      <c r="K43" s="107"/>
    </row>
    <row r="44" spans="1:11" ht="13" x14ac:dyDescent="0.3">
      <c r="A44" s="101">
        <f t="shared" si="5"/>
        <v>31</v>
      </c>
      <c r="C44" s="135">
        <v>927</v>
      </c>
      <c r="D44" s="150">
        <f t="shared" si="4"/>
        <v>113911175</v>
      </c>
      <c r="E44" s="107">
        <v>0</v>
      </c>
      <c r="F44" s="107">
        <f>E13</f>
        <v>113911175</v>
      </c>
      <c r="G44" s="107">
        <v>0</v>
      </c>
      <c r="H44" s="107">
        <v>0</v>
      </c>
      <c r="I44" s="103" t="s">
        <v>214</v>
      </c>
      <c r="K44" s="107"/>
    </row>
    <row r="45" spans="1:11" ht="13" x14ac:dyDescent="0.3">
      <c r="A45" s="101">
        <f t="shared" si="5"/>
        <v>32</v>
      </c>
      <c r="C45" s="135">
        <v>928</v>
      </c>
      <c r="D45" s="150">
        <f t="shared" si="4"/>
        <v>11197494.479999999</v>
      </c>
      <c r="E45" s="151">
        <v>11197494.479999999</v>
      </c>
      <c r="F45" s="151"/>
      <c r="G45" s="151">
        <v>0</v>
      </c>
      <c r="H45" s="151"/>
      <c r="I45" s="103"/>
      <c r="K45" s="107"/>
    </row>
    <row r="46" spans="1:11" ht="13" x14ac:dyDescent="0.3">
      <c r="A46" s="101">
        <f t="shared" si="5"/>
        <v>33</v>
      </c>
      <c r="C46" s="135">
        <v>929</v>
      </c>
      <c r="D46" s="150">
        <f t="shared" si="4"/>
        <v>0</v>
      </c>
      <c r="E46" s="151">
        <v>0</v>
      </c>
      <c r="F46" s="151"/>
      <c r="G46" s="151">
        <v>0</v>
      </c>
      <c r="H46" s="151"/>
      <c r="I46" s="103"/>
      <c r="K46" s="107"/>
    </row>
    <row r="47" spans="1:11" ht="13" x14ac:dyDescent="0.3">
      <c r="A47" s="101">
        <f t="shared" si="5"/>
        <v>34</v>
      </c>
      <c r="C47" s="135">
        <v>930.1</v>
      </c>
      <c r="D47" s="150">
        <f t="shared" si="4"/>
        <v>0</v>
      </c>
      <c r="E47" s="151">
        <v>0</v>
      </c>
      <c r="F47" s="151"/>
      <c r="G47" s="151">
        <v>0</v>
      </c>
      <c r="H47" s="151"/>
      <c r="I47" s="103"/>
      <c r="K47" s="107"/>
    </row>
    <row r="48" spans="1:11" ht="13" x14ac:dyDescent="0.3">
      <c r="A48" s="101">
        <f t="shared" si="5"/>
        <v>35</v>
      </c>
      <c r="C48" s="135">
        <v>930.2</v>
      </c>
      <c r="D48" s="150">
        <f t="shared" si="4"/>
        <v>14064692.309999999</v>
      </c>
      <c r="E48" s="151">
        <v>14064692.309999999</v>
      </c>
      <c r="F48" s="151"/>
      <c r="G48" s="151">
        <v>0</v>
      </c>
      <c r="H48" s="151"/>
      <c r="I48" s="103"/>
      <c r="J48" s="107"/>
    </row>
    <row r="49" spans="1:10" ht="13" x14ac:dyDescent="0.3">
      <c r="A49" s="101">
        <f t="shared" si="5"/>
        <v>36</v>
      </c>
      <c r="C49" s="135">
        <v>931</v>
      </c>
      <c r="D49" s="150">
        <f t="shared" si="4"/>
        <v>11993181.66</v>
      </c>
      <c r="E49" s="151">
        <v>11993181.66</v>
      </c>
      <c r="F49" s="151"/>
      <c r="G49" s="151">
        <v>0</v>
      </c>
      <c r="H49" s="151"/>
      <c r="I49" s="103"/>
      <c r="J49" s="107"/>
    </row>
    <row r="50" spans="1:10" ht="13" x14ac:dyDescent="0.3">
      <c r="A50" s="101">
        <f t="shared" si="5"/>
        <v>37</v>
      </c>
      <c r="C50" s="135">
        <v>935</v>
      </c>
      <c r="D50" s="150">
        <f t="shared" si="4"/>
        <v>699127.86</v>
      </c>
      <c r="E50" s="151">
        <v>699127.86</v>
      </c>
      <c r="F50" s="151"/>
      <c r="G50" s="151">
        <v>0</v>
      </c>
      <c r="H50" s="151"/>
      <c r="I50" s="103"/>
    </row>
    <row r="51" spans="1:10" ht="13" x14ac:dyDescent="0.3">
      <c r="A51" s="101"/>
      <c r="C51" s="135"/>
      <c r="D51" s="150"/>
      <c r="E51" s="107"/>
      <c r="F51" s="107"/>
      <c r="G51" s="107"/>
      <c r="H51" s="107"/>
      <c r="I51" s="103"/>
    </row>
    <row r="52" spans="1:10" ht="13" x14ac:dyDescent="0.3">
      <c r="B52" s="97" t="s">
        <v>215</v>
      </c>
    </row>
    <row r="53" spans="1:10" ht="13" x14ac:dyDescent="0.3">
      <c r="B53" s="97"/>
      <c r="C53" s="98" t="s">
        <v>217</v>
      </c>
      <c r="G53" s="101"/>
      <c r="H53" s="101"/>
    </row>
    <row r="54" spans="1:10" ht="13" x14ac:dyDescent="0.3">
      <c r="B54" s="97"/>
      <c r="C54" s="125" t="s">
        <v>218</v>
      </c>
      <c r="D54" s="125"/>
      <c r="E54" s="125"/>
      <c r="G54" s="101"/>
      <c r="H54" s="101"/>
    </row>
    <row r="55" spans="1:10" ht="13" x14ac:dyDescent="0.3">
      <c r="B55" s="97"/>
      <c r="G55" s="105" t="s">
        <v>32</v>
      </c>
      <c r="H55" s="105" t="s">
        <v>33</v>
      </c>
    </row>
    <row r="56" spans="1:10" ht="13" x14ac:dyDescent="0.3">
      <c r="A56" s="101"/>
      <c r="B56" s="101" t="s">
        <v>118</v>
      </c>
      <c r="F56" s="117" t="s">
        <v>219</v>
      </c>
      <c r="G56" s="151">
        <v>137026591.07999963</v>
      </c>
      <c r="H56" s="103" t="s">
        <v>220</v>
      </c>
    </row>
    <row r="57" spans="1:10" ht="13" x14ac:dyDescent="0.3">
      <c r="A57" s="101"/>
      <c r="B57" s="101" t="s">
        <v>120</v>
      </c>
      <c r="F57" s="117" t="s">
        <v>221</v>
      </c>
      <c r="G57" s="113">
        <f>E61</f>
        <v>17600288.667239957</v>
      </c>
      <c r="H57" s="103" t="str">
        <f>"Note 2, "&amp;B61&amp;""</f>
        <v>Note 2, d</v>
      </c>
    </row>
    <row r="58" spans="1:10" ht="13" x14ac:dyDescent="0.3">
      <c r="A58" s="101"/>
      <c r="B58" s="101" t="s">
        <v>123</v>
      </c>
      <c r="F58" s="117" t="s">
        <v>222</v>
      </c>
      <c r="G58" s="107">
        <f>G56-G57</f>
        <v>119426302.41275966</v>
      </c>
    </row>
    <row r="59" spans="1:10" ht="13" x14ac:dyDescent="0.3">
      <c r="A59" s="101"/>
      <c r="C59" s="125" t="s">
        <v>223</v>
      </c>
      <c r="D59" s="125"/>
      <c r="E59" s="125"/>
      <c r="G59" s="107"/>
    </row>
    <row r="60" spans="1:10" ht="13" x14ac:dyDescent="0.3">
      <c r="A60" s="101"/>
      <c r="D60" s="104" t="s">
        <v>224</v>
      </c>
      <c r="E60" s="105" t="s">
        <v>32</v>
      </c>
      <c r="F60" s="105" t="s">
        <v>33</v>
      </c>
      <c r="G60" s="107"/>
    </row>
    <row r="61" spans="1:10" ht="13" x14ac:dyDescent="0.3">
      <c r="A61" s="101"/>
      <c r="B61" s="101" t="s">
        <v>125</v>
      </c>
      <c r="D61" s="98" t="s">
        <v>225</v>
      </c>
      <c r="E61" s="152">
        <v>17600288.667239957</v>
      </c>
      <c r="F61" s="103" t="s">
        <v>226</v>
      </c>
      <c r="G61" s="107"/>
    </row>
    <row r="62" spans="1:10" ht="13" x14ac:dyDescent="0.3">
      <c r="A62" s="101"/>
      <c r="B62" s="101" t="s">
        <v>129</v>
      </c>
      <c r="D62" s="98" t="s">
        <v>227</v>
      </c>
      <c r="E62" s="152">
        <v>8544924.9171872791</v>
      </c>
      <c r="F62" s="103" t="s">
        <v>226</v>
      </c>
      <c r="G62" s="107"/>
      <c r="I62" s="155"/>
    </row>
    <row r="63" spans="1:10" ht="13" x14ac:dyDescent="0.3">
      <c r="A63" s="101"/>
      <c r="B63" s="101" t="s">
        <v>132</v>
      </c>
      <c r="D63" s="98" t="s">
        <v>228</v>
      </c>
      <c r="E63" s="70">
        <v>26767831.415572762</v>
      </c>
      <c r="F63" s="103" t="s">
        <v>226</v>
      </c>
      <c r="G63" s="107"/>
      <c r="I63" s="107"/>
    </row>
    <row r="64" spans="1:10" ht="13" x14ac:dyDescent="0.3">
      <c r="A64" s="101"/>
      <c r="B64" s="101" t="s">
        <v>134</v>
      </c>
      <c r="D64" s="117" t="s">
        <v>158</v>
      </c>
      <c r="E64" s="107">
        <f>SUM(E61:E63)</f>
        <v>52913045</v>
      </c>
      <c r="F64" s="103" t="str">
        <f>"Sum of "&amp;B61&amp;" to "&amp;B63&amp;""</f>
        <v>Sum of d to f</v>
      </c>
      <c r="G64" s="107"/>
    </row>
    <row r="66" spans="1:7" ht="13" x14ac:dyDescent="0.3">
      <c r="B66" s="97" t="s">
        <v>229</v>
      </c>
    </row>
    <row r="67" spans="1:7" ht="13" x14ac:dyDescent="0.3">
      <c r="E67" s="105" t="s">
        <v>32</v>
      </c>
      <c r="F67" s="104" t="s">
        <v>230</v>
      </c>
    </row>
    <row r="68" spans="1:7" ht="13" x14ac:dyDescent="0.3">
      <c r="A68" s="101"/>
      <c r="B68" s="101" t="s">
        <v>118</v>
      </c>
      <c r="D68" s="117" t="s">
        <v>309</v>
      </c>
      <c r="E68" s="107">
        <v>18219000</v>
      </c>
      <c r="F68" s="103" t="s">
        <v>232</v>
      </c>
      <c r="G68" s="167"/>
    </row>
    <row r="69" spans="1:7" ht="13" x14ac:dyDescent="0.3">
      <c r="A69" s="101"/>
      <c r="B69" s="101" t="s">
        <v>120</v>
      </c>
      <c r="D69" s="117" t="s">
        <v>310</v>
      </c>
      <c r="E69" s="162">
        <v>40171333</v>
      </c>
      <c r="F69" s="103" t="s">
        <v>311</v>
      </c>
    </row>
    <row r="70" spans="1:7" ht="13" x14ac:dyDescent="0.3">
      <c r="A70" s="101"/>
      <c r="B70" s="101" t="s">
        <v>123</v>
      </c>
      <c r="D70" s="117" t="s">
        <v>233</v>
      </c>
      <c r="E70" s="157">
        <v>18219000</v>
      </c>
      <c r="F70" s="103" t="s">
        <v>220</v>
      </c>
    </row>
    <row r="71" spans="1:7" ht="13" x14ac:dyDescent="0.3">
      <c r="A71" s="101"/>
      <c r="B71" s="101" t="s">
        <v>125</v>
      </c>
      <c r="D71" s="117" t="s">
        <v>234</v>
      </c>
      <c r="E71" s="107">
        <f>E70-E69</f>
        <v>-21952333</v>
      </c>
      <c r="F71" s="103" t="str">
        <f>""&amp;B70&amp;" - "&amp;B69&amp;""</f>
        <v>c - b</v>
      </c>
    </row>
    <row r="72" spans="1:7" ht="13" x14ac:dyDescent="0.3">
      <c r="A72" s="101"/>
      <c r="B72" s="97" t="s">
        <v>235</v>
      </c>
      <c r="D72" s="117"/>
      <c r="E72" s="107"/>
      <c r="F72" s="103"/>
    </row>
    <row r="73" spans="1:7" ht="13" x14ac:dyDescent="0.3">
      <c r="A73" s="101"/>
      <c r="B73" s="97"/>
      <c r="C73" s="98" t="str">
        <f>"Amount in Line "&amp;A44&amp;", column 2 equals amount in Line "&amp;A13&amp;", column 1 because all Franchise Requirements Expenses are excluded"</f>
        <v>Amount in Line 31, column 2 equals amount in Line 8, column 1 because all Franchise Requirements Expenses are excluded</v>
      </c>
      <c r="D73" s="117"/>
      <c r="E73" s="107"/>
      <c r="F73" s="103"/>
    </row>
    <row r="74" spans="1:7" ht="13" x14ac:dyDescent="0.3">
      <c r="A74" s="101"/>
      <c r="B74" s="97"/>
      <c r="C74" s="98" t="s">
        <v>236</v>
      </c>
      <c r="D74" s="117"/>
      <c r="E74" s="107"/>
      <c r="F74" s="103"/>
    </row>
    <row r="76" spans="1:7" ht="13" x14ac:dyDescent="0.3">
      <c r="B76" s="97" t="s">
        <v>106</v>
      </c>
    </row>
    <row r="77" spans="1:7" x14ac:dyDescent="0.25">
      <c r="C77" s="98" t="str">
        <f>"1) Enter amounts of A&amp;G expenses from FERC Form 1 in Lines "&amp;A6&amp;" to "&amp;A19&amp;"."</f>
        <v>1) Enter amounts of A&amp;G expenses from FERC Form 1 in Lines 1 to 14.</v>
      </c>
    </row>
    <row r="78" spans="1:7" x14ac:dyDescent="0.25">
      <c r="C78" s="98" t="s">
        <v>237</v>
      </c>
      <c r="G78" s="98" t="str">
        <f>"Column 3, Line "&amp;A37&amp;""</f>
        <v>Column 3, Line 24</v>
      </c>
    </row>
    <row r="79" spans="1:7" x14ac:dyDescent="0.25">
      <c r="C79" s="103" t="str">
        <f>"is calculated in Note 2.  The PBOPs exclusion in Column 4, Line "&amp;A43&amp;" is calculated in Note 3."</f>
        <v>is calculated in Note 2.  The PBOPs exclusion in Column 4, Line 30 is calculated in Note 3.</v>
      </c>
    </row>
    <row r="80" spans="1:7" x14ac:dyDescent="0.25">
      <c r="C80" s="103" t="s">
        <v>238</v>
      </c>
    </row>
    <row r="81" spans="3:7" x14ac:dyDescent="0.25">
      <c r="C81" s="103" t="s">
        <v>239</v>
      </c>
      <c r="D81" s="117"/>
      <c r="E81" s="107"/>
      <c r="F81" s="103"/>
    </row>
    <row r="82" spans="3:7" x14ac:dyDescent="0.25">
      <c r="C82" s="103" t="s">
        <v>240</v>
      </c>
      <c r="D82" s="117"/>
      <c r="E82" s="107"/>
      <c r="F82" s="103"/>
    </row>
    <row r="83" spans="3:7" x14ac:dyDescent="0.25">
      <c r="C83" s="103" t="s">
        <v>241</v>
      </c>
    </row>
    <row r="84" spans="3:7" x14ac:dyDescent="0.25">
      <c r="C84" s="103" t="s">
        <v>242</v>
      </c>
    </row>
    <row r="85" spans="3:7" x14ac:dyDescent="0.25">
      <c r="C85" s="103" t="s">
        <v>243</v>
      </c>
    </row>
    <row r="86" spans="3:7" x14ac:dyDescent="0.25">
      <c r="C86" s="103" t="s">
        <v>244</v>
      </c>
    </row>
    <row r="87" spans="3:7" x14ac:dyDescent="0.25">
      <c r="C87" s="103" t="s">
        <v>245</v>
      </c>
    </row>
    <row r="88" spans="3:7" x14ac:dyDescent="0.25">
      <c r="C88" s="103" t="s">
        <v>246</v>
      </c>
      <c r="E88" s="158"/>
      <c r="F88" s="158"/>
      <c r="G88" s="158"/>
    </row>
    <row r="89" spans="3:7" x14ac:dyDescent="0.25">
      <c r="C89" s="159" t="s">
        <v>247</v>
      </c>
      <c r="E89" s="158"/>
      <c r="F89" s="158"/>
      <c r="G89" s="158"/>
    </row>
    <row r="90" spans="3:7" x14ac:dyDescent="0.25">
      <c r="C90" s="159" t="s">
        <v>248</v>
      </c>
      <c r="E90" s="158"/>
      <c r="F90" s="158"/>
      <c r="G90" s="158"/>
    </row>
    <row r="91" spans="3:7" x14ac:dyDescent="0.25">
      <c r="C91" s="159" t="s">
        <v>249</v>
      </c>
      <c r="E91" s="158"/>
      <c r="F91" s="158"/>
      <c r="G91" s="158"/>
    </row>
    <row r="92" spans="3:7" x14ac:dyDescent="0.25">
      <c r="C92" s="103" t="s">
        <v>250</v>
      </c>
      <c r="E92" s="158"/>
      <c r="F92" s="158"/>
      <c r="G92" s="158"/>
    </row>
    <row r="93" spans="3:7" x14ac:dyDescent="0.25">
      <c r="C93" s="159" t="s">
        <v>251</v>
      </c>
      <c r="E93" s="158"/>
      <c r="F93" s="158"/>
      <c r="G93" s="158"/>
    </row>
    <row r="94" spans="3:7" x14ac:dyDescent="0.25">
      <c r="C94" s="159" t="s">
        <v>252</v>
      </c>
      <c r="E94" s="158"/>
      <c r="F94" s="158"/>
      <c r="G94" s="158"/>
    </row>
    <row r="95" spans="3:7" x14ac:dyDescent="0.25">
      <c r="C95" s="159" t="s">
        <v>312</v>
      </c>
      <c r="E95" s="158"/>
      <c r="F95" s="158"/>
      <c r="G95" s="158"/>
    </row>
    <row r="96" spans="3:7" x14ac:dyDescent="0.25">
      <c r="C96" s="159" t="s">
        <v>254</v>
      </c>
      <c r="E96" s="158"/>
      <c r="F96" s="158"/>
      <c r="G96" s="158"/>
    </row>
    <row r="97" spans="3:10" ht="13" x14ac:dyDescent="0.3">
      <c r="C97" s="137" t="s">
        <v>263</v>
      </c>
      <c r="D97" s="125"/>
      <c r="E97" s="125"/>
      <c r="F97" s="125"/>
      <c r="G97" s="125"/>
      <c r="H97" s="125"/>
      <c r="I97" s="125"/>
      <c r="J97" s="125"/>
    </row>
    <row r="98" spans="3:10" x14ac:dyDescent="0.25">
      <c r="C98" s="98" t="s">
        <v>264</v>
      </c>
    </row>
    <row r="99" spans="3:10" x14ac:dyDescent="0.25">
      <c r="C99" s="137" t="s">
        <v>265</v>
      </c>
      <c r="D99" s="125"/>
      <c r="E99" s="125"/>
      <c r="F99" s="125"/>
      <c r="G99" s="125"/>
      <c r="H99" s="125"/>
      <c r="I99" s="125"/>
    </row>
    <row r="100" spans="3:10" x14ac:dyDescent="0.25">
      <c r="C100" s="98" t="str">
        <f>"4) Determine the PBOPs exclusion.  The authorized amount of PBOPs expense (line "&amp;B68&amp;") may only be revised"</f>
        <v>4) Determine the PBOPs exclusion.  The authorized amount of PBOPs expense (line a) may only be revised</v>
      </c>
    </row>
    <row r="101" spans="3:10" x14ac:dyDescent="0.25">
      <c r="C101" s="98" t="s">
        <v>266</v>
      </c>
    </row>
    <row r="102" spans="3:10" x14ac:dyDescent="0.25">
      <c r="C102" s="98" t="s">
        <v>313</v>
      </c>
    </row>
    <row r="103" spans="3:10" x14ac:dyDescent="0.25">
      <c r="C103" s="98" t="s">
        <v>314</v>
      </c>
      <c r="I103" s="130" t="s">
        <v>315</v>
      </c>
      <c r="J103" s="130"/>
    </row>
    <row r="104" spans="3:10" x14ac:dyDescent="0.25">
      <c r="C104" s="98" t="s">
        <v>269</v>
      </c>
    </row>
  </sheetData>
  <pageMargins left="0.75" right="0.75" top="1" bottom="1" header="0.5" footer="0.5"/>
  <pageSetup scale="71" orientation="landscape" cellComments="asDisplayed" r:id="rId1"/>
  <headerFooter alignWithMargins="0">
    <oddHeader>&amp;CSchedule 20
Administrative and General Expenses
(TO2020-Attachment 5 TO2018 TrueUpTRR)&amp;RTO2021 Draft Annual Update
Attachment 4
WP-Schedule 3-One Time Adj Prior Period
Page &amp;P of &amp;N</oddHeader>
    <oddFooter>&amp;R&amp;A</oddFooter>
  </headerFooter>
  <rowBreaks count="2" manualBreakCount="2">
    <brk id="51" max="9" man="1"/>
    <brk id="7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One Time Adj Explanation</vt:lpstr>
      <vt:lpstr>WP-Total Adj with Int</vt:lpstr>
      <vt:lpstr>WP-2017 True Up TRR Adj</vt:lpstr>
      <vt:lpstr>WP-2017 Sch4-TUTRR</vt:lpstr>
      <vt:lpstr>WP-2017 Sch20-AandG</vt:lpstr>
      <vt:lpstr>WP-2018 True Up TRR Adj</vt:lpstr>
      <vt:lpstr>WP-2018 Sch4-TUTRR</vt:lpstr>
      <vt:lpstr>WP-2018 Sch20-AandG</vt:lpstr>
      <vt:lpstr>'One Time Adj Explanation'!Print_Area</vt:lpstr>
      <vt:lpstr>'WP-2017 Sch20-AandG'!Print_Area</vt:lpstr>
      <vt:lpstr>'WP-2017 Sch4-TUTRR'!Print_Area</vt:lpstr>
      <vt:lpstr>'WP-2017 True Up TRR Adj'!Print_Area</vt:lpstr>
      <vt:lpstr>'WP-2018 Sch20-AandG'!Print_Area</vt:lpstr>
      <vt:lpstr>'WP-2018 Sch4-TUTRR'!Print_Area</vt:lpstr>
      <vt:lpstr>'WP-2018 True Up TRR Adj'!Print_Area</vt:lpstr>
      <vt:lpstr>'WP-Total Adj with Int'!Print_Area</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2019-06-28T23:07:48Z</cp:lastPrinted>
  <dcterms:created xsi:type="dcterms:W3CDTF">2009-02-27T16:01:11Z</dcterms:created>
  <dcterms:modified xsi:type="dcterms:W3CDTF">2020-06-16T22:33:58Z</dcterms:modified>
</cp:coreProperties>
</file>